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fonso\Desktop\"/>
    </mc:Choice>
  </mc:AlternateContent>
  <bookViews>
    <workbookView xWindow="0" yWindow="0" windowWidth="28800" windowHeight="12330" tabRatio="617"/>
  </bookViews>
  <sheets>
    <sheet name="REPROGRAMACIÓN 029 DIC" sheetId="6" r:id="rId1"/>
  </sheets>
  <definedNames>
    <definedName name="_xlnm._FilterDatabase" localSheetId="0" hidden="1">'REPROGRAMACIÓN 029 DIC'!$B$4:$S$139</definedName>
    <definedName name="_xlnm.Print_Area" localSheetId="0">'REPROGRAMACIÓN 029 DIC'!$B$2:$S$461</definedName>
    <definedName name="_xlnm.Print_Titles" localSheetId="0">'REPROGRAMACIÓN 029 DIC'!$10:$12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6" l="1"/>
  <c r="R448" i="6" l="1"/>
  <c r="C20" i="6" l="1"/>
  <c r="R294" i="6" l="1"/>
  <c r="G294" i="6" s="1"/>
  <c r="R133" i="6" l="1"/>
  <c r="G133" i="6" s="1"/>
  <c r="G383" i="6" l="1"/>
  <c r="R279" i="6" l="1"/>
  <c r="G279" i="6" s="1"/>
  <c r="R132" i="6"/>
  <c r="R131" i="6"/>
  <c r="R130" i="6"/>
  <c r="R129" i="6" l="1"/>
  <c r="R128" i="6"/>
  <c r="G340" i="6" l="1"/>
  <c r="G132" i="6" l="1"/>
  <c r="G131" i="6"/>
  <c r="G130" i="6"/>
  <c r="G129" i="6"/>
  <c r="G128" i="6"/>
  <c r="G187" i="6" l="1"/>
  <c r="G155" i="6"/>
  <c r="G88" i="6"/>
  <c r="P84" i="6" l="1"/>
  <c r="Q127" i="6" l="1"/>
  <c r="G127" i="6" s="1"/>
  <c r="Q126" i="6"/>
  <c r="G126" i="6" s="1"/>
  <c r="Q125" i="6"/>
  <c r="G125" i="6" s="1"/>
  <c r="Q124" i="6"/>
  <c r="G124" i="6" s="1"/>
  <c r="Q123" i="6"/>
  <c r="G123" i="6" s="1"/>
  <c r="Q122" i="6"/>
  <c r="G122" i="6" s="1"/>
  <c r="Q121" i="6"/>
  <c r="G121" i="6" s="1"/>
  <c r="Q120" i="6"/>
  <c r="G120" i="6" s="1"/>
  <c r="G84" i="6" l="1"/>
  <c r="G186" i="6" l="1"/>
  <c r="P110" i="6" l="1"/>
  <c r="P113" i="6" l="1"/>
  <c r="P281" i="6" l="1"/>
  <c r="G81" i="6" l="1"/>
  <c r="O108" i="6" l="1"/>
  <c r="G113" i="6"/>
  <c r="O87" i="6"/>
  <c r="G87" i="6" s="1"/>
  <c r="G281" i="6"/>
  <c r="O112" i="6"/>
  <c r="G112" i="6" s="1"/>
  <c r="P86" i="6"/>
  <c r="O86" i="6"/>
  <c r="G86" i="6" l="1"/>
  <c r="G102" i="6"/>
  <c r="M24" i="6" l="1"/>
  <c r="O111" i="6" l="1"/>
  <c r="G111" i="6" l="1"/>
  <c r="G109" i="6"/>
  <c r="G108" i="6"/>
  <c r="G283" i="6"/>
  <c r="O282" i="6" l="1"/>
  <c r="G282" i="6" l="1"/>
  <c r="O348" i="6"/>
  <c r="G348" i="6" s="1"/>
  <c r="G110" i="6" l="1"/>
  <c r="N94" i="6" l="1"/>
  <c r="N93" i="6"/>
  <c r="N119" i="6" l="1"/>
  <c r="G85" i="6" l="1"/>
  <c r="G400" i="6" l="1"/>
  <c r="G399" i="6"/>
  <c r="G398" i="6"/>
  <c r="G397" i="6"/>
  <c r="G396" i="6"/>
  <c r="G379" i="6"/>
  <c r="G373" i="6"/>
  <c r="G372" i="6"/>
  <c r="N349" i="6"/>
  <c r="G338" i="6"/>
  <c r="G337" i="6"/>
  <c r="G336" i="6"/>
  <c r="G335" i="6"/>
  <c r="G334" i="6"/>
  <c r="G333" i="6"/>
  <c r="G317" i="6"/>
  <c r="G316" i="6"/>
  <c r="G315" i="6"/>
  <c r="G302" i="6"/>
  <c r="G293" i="6"/>
  <c r="G296" i="6"/>
  <c r="G295" i="6"/>
  <c r="G272" i="6"/>
  <c r="G271" i="6"/>
  <c r="G270" i="6"/>
  <c r="G269" i="6"/>
  <c r="G268" i="6"/>
  <c r="G267" i="6"/>
  <c r="G339" i="6" l="1"/>
  <c r="G223" i="6"/>
  <c r="M215" i="6"/>
  <c r="L215" i="6"/>
  <c r="K215" i="6"/>
  <c r="M214" i="6"/>
  <c r="L214" i="6"/>
  <c r="K214" i="6"/>
  <c r="G208" i="6"/>
  <c r="G202" i="6"/>
  <c r="G193" i="6"/>
  <c r="G192" i="6"/>
  <c r="G191" i="6"/>
  <c r="G190" i="6"/>
  <c r="G189" i="6"/>
  <c r="G188" i="6"/>
  <c r="G154" i="6"/>
  <c r="G151" i="6"/>
  <c r="G153" i="6"/>
  <c r="G152" i="6"/>
  <c r="G104" i="6"/>
  <c r="G93" i="6"/>
  <c r="G105" i="6"/>
  <c r="K73" i="6"/>
  <c r="G115" i="6"/>
  <c r="N117" i="6"/>
  <c r="G117" i="6" s="1"/>
  <c r="N116" i="6"/>
  <c r="G116" i="6" s="1"/>
  <c r="G114" i="6"/>
  <c r="G107" i="6"/>
  <c r="G90" i="6"/>
  <c r="G106" i="6"/>
  <c r="G103" i="6"/>
  <c r="G101" i="6"/>
  <c r="G100" i="6"/>
  <c r="G99" i="6"/>
  <c r="G98" i="6"/>
  <c r="G97" i="6"/>
  <c r="G96" i="6"/>
  <c r="G95" i="6"/>
  <c r="G94" i="6"/>
  <c r="G82" i="6"/>
  <c r="G92" i="6"/>
  <c r="G91" i="6"/>
  <c r="N20" i="6" l="1"/>
  <c r="G215" i="6"/>
  <c r="G214" i="6"/>
  <c r="K212" i="6"/>
  <c r="G83" i="6"/>
  <c r="G89" i="6"/>
  <c r="G80" i="6"/>
  <c r="G349" i="6" l="1"/>
  <c r="G387" i="6" l="1"/>
  <c r="G255" i="6"/>
  <c r="G179" i="6"/>
  <c r="G76" i="6" l="1"/>
  <c r="G225" i="6"/>
  <c r="I226" i="6"/>
  <c r="G226" i="6" s="1"/>
  <c r="G70" i="6" l="1"/>
  <c r="G74" i="6" l="1"/>
  <c r="G62" i="6" l="1"/>
  <c r="M382" i="6" l="1"/>
  <c r="C144" i="6" l="1"/>
  <c r="C443" i="6"/>
  <c r="C393" i="6"/>
  <c r="C165" i="6"/>
  <c r="G377" i="6"/>
  <c r="G384" i="6"/>
  <c r="G351" i="6"/>
  <c r="G319" i="6"/>
  <c r="G278" i="6" l="1"/>
  <c r="G277" i="6"/>
  <c r="G276" i="6"/>
  <c r="G275" i="6"/>
  <c r="G274" i="6"/>
  <c r="G197" i="6"/>
  <c r="G196" i="6"/>
  <c r="G195" i="6"/>
  <c r="G138" i="6" l="1"/>
  <c r="G137" i="6"/>
  <c r="G136" i="6"/>
  <c r="G135" i="6"/>
  <c r="G134" i="6"/>
  <c r="G119" i="6"/>
  <c r="G118" i="6"/>
  <c r="G314" i="6" l="1"/>
  <c r="G313" i="6"/>
  <c r="S381" i="6" l="1"/>
  <c r="R381" i="6"/>
  <c r="Q381" i="6"/>
  <c r="P381" i="6"/>
  <c r="O381" i="6"/>
  <c r="N381" i="6"/>
  <c r="P350" i="6"/>
  <c r="M284" i="6"/>
  <c r="S284" i="6"/>
  <c r="R284" i="6"/>
  <c r="Q284" i="6"/>
  <c r="P284" i="6"/>
  <c r="O284" i="6"/>
  <c r="N284" i="6"/>
  <c r="S20" i="6"/>
  <c r="S452" i="6" l="1"/>
  <c r="R452" i="6"/>
  <c r="Q452" i="6"/>
  <c r="P452" i="6"/>
  <c r="O452" i="6"/>
  <c r="N452" i="6"/>
  <c r="M452" i="6"/>
  <c r="G452" i="6" l="1"/>
  <c r="H393" i="6" l="1"/>
  <c r="I393" i="6"/>
  <c r="J393" i="6"/>
  <c r="N393" i="6"/>
  <c r="O393" i="6"/>
  <c r="P393" i="6"/>
  <c r="Q393" i="6"/>
  <c r="R393" i="6"/>
  <c r="G394" i="6"/>
  <c r="C289" i="6" l="1"/>
  <c r="K284" i="6" l="1"/>
  <c r="L284" i="6"/>
  <c r="L448" i="6" l="1"/>
  <c r="M451" i="6"/>
  <c r="M453" i="6"/>
  <c r="M455" i="6"/>
  <c r="G63" i="6" l="1"/>
  <c r="S450" i="6" l="1"/>
  <c r="S451" i="6"/>
  <c r="S448" i="6"/>
  <c r="S453" i="6"/>
  <c r="S454" i="6"/>
  <c r="S455" i="6"/>
  <c r="S449" i="6"/>
  <c r="G258" i="6" l="1"/>
  <c r="G257" i="6"/>
  <c r="G292" i="6"/>
  <c r="G249" i="6"/>
  <c r="R299" i="6" l="1"/>
  <c r="Q299" i="6"/>
  <c r="P299" i="6"/>
  <c r="O299" i="6"/>
  <c r="N299" i="6"/>
  <c r="R206" i="6" l="1"/>
  <c r="Q206" i="6"/>
  <c r="P206" i="6"/>
  <c r="O206" i="6"/>
  <c r="N206" i="6"/>
  <c r="R200" i="6"/>
  <c r="Q200" i="6"/>
  <c r="P200" i="6"/>
  <c r="O200" i="6"/>
  <c r="N200" i="6"/>
  <c r="H299" i="6" l="1"/>
  <c r="J299" i="6"/>
  <c r="J200" i="6"/>
  <c r="K206" i="6" l="1"/>
  <c r="G252" i="6" l="1"/>
  <c r="G253" i="6" l="1"/>
  <c r="G256" i="6"/>
  <c r="G263" i="6"/>
  <c r="G254" i="6"/>
  <c r="G247" i="6"/>
  <c r="C233" i="6"/>
  <c r="G264" i="6" l="1"/>
  <c r="G251" i="6"/>
  <c r="G262" i="6"/>
  <c r="G405" i="6"/>
  <c r="G404" i="6"/>
  <c r="G46" i="6"/>
  <c r="G47" i="6"/>
  <c r="G48" i="6"/>
  <c r="G49" i="6"/>
  <c r="G50" i="6"/>
  <c r="G150" i="6" l="1"/>
  <c r="I203" i="6" l="1"/>
  <c r="I200" i="6" s="1"/>
  <c r="C199" i="6"/>
  <c r="K200" i="6" l="1"/>
  <c r="C309" i="6"/>
  <c r="C299" i="6"/>
  <c r="C205" i="6"/>
  <c r="C220" i="6"/>
  <c r="C211" i="6"/>
  <c r="J328" i="6" l="1"/>
  <c r="G173" i="6" l="1"/>
  <c r="G175" i="6"/>
  <c r="G194" i="6"/>
  <c r="G174" i="6"/>
  <c r="K455" i="6" l="1"/>
  <c r="L455" i="6"/>
  <c r="N455" i="6"/>
  <c r="O455" i="6"/>
  <c r="P455" i="6"/>
  <c r="Q455" i="6"/>
  <c r="R455" i="6"/>
  <c r="H374" i="6"/>
  <c r="H368" i="6"/>
  <c r="J355" i="6"/>
  <c r="I332" i="6"/>
  <c r="I331" i="6"/>
  <c r="I330" i="6"/>
  <c r="I318" i="6"/>
  <c r="H318" i="6"/>
  <c r="J246" i="6"/>
  <c r="I246" i="6"/>
  <c r="J245" i="6"/>
  <c r="I245" i="6"/>
  <c r="J244" i="6"/>
  <c r="I244" i="6"/>
  <c r="J243" i="6"/>
  <c r="I243" i="6"/>
  <c r="J242" i="6"/>
  <c r="I242" i="6"/>
  <c r="H242" i="6"/>
  <c r="J241" i="6"/>
  <c r="I241" i="6"/>
  <c r="H241" i="6"/>
  <c r="G241" i="6" l="1"/>
  <c r="G243" i="6"/>
  <c r="G244" i="6"/>
  <c r="G245" i="6"/>
  <c r="G242" i="6"/>
  <c r="G246" i="6"/>
  <c r="G455" i="6"/>
  <c r="I240" i="6"/>
  <c r="H240" i="6"/>
  <c r="J239" i="6"/>
  <c r="I239" i="6"/>
  <c r="H239" i="6"/>
  <c r="J238" i="6"/>
  <c r="I238" i="6"/>
  <c r="H238" i="6"/>
  <c r="J237" i="6"/>
  <c r="I237" i="6"/>
  <c r="H237" i="6"/>
  <c r="J236" i="6"/>
  <c r="I236" i="6"/>
  <c r="H236" i="6"/>
  <c r="J235" i="6"/>
  <c r="I235" i="6"/>
  <c r="I222" i="6"/>
  <c r="I209" i="6"/>
  <c r="I218" i="6"/>
  <c r="I213" i="6"/>
  <c r="J176" i="6"/>
  <c r="G176" i="6" s="1"/>
  <c r="J172" i="6"/>
  <c r="J171" i="6"/>
  <c r="J170" i="6"/>
  <c r="J169" i="6"/>
  <c r="J168" i="6"/>
  <c r="J167" i="6"/>
  <c r="G167" i="6" s="1"/>
  <c r="I157" i="6"/>
  <c r="I156" i="6"/>
  <c r="I146" i="6"/>
  <c r="I145" i="6"/>
  <c r="G145" i="6" s="1"/>
  <c r="G237" i="6" l="1"/>
  <c r="G239" i="6"/>
  <c r="G236" i="6"/>
  <c r="G240" i="6"/>
  <c r="J43" i="6"/>
  <c r="J33" i="6"/>
  <c r="J30" i="6"/>
  <c r="J29" i="6"/>
  <c r="J27" i="6"/>
  <c r="J25" i="6"/>
  <c r="J51" i="6"/>
  <c r="G51" i="6" s="1"/>
  <c r="I42" i="6"/>
  <c r="I41" i="6"/>
  <c r="I37" i="6"/>
  <c r="I36" i="6"/>
  <c r="I35" i="6"/>
  <c r="I33" i="6"/>
  <c r="I31" i="6"/>
  <c r="I30" i="6"/>
  <c r="I29" i="6"/>
  <c r="I28" i="6"/>
  <c r="I27" i="6"/>
  <c r="I26" i="6"/>
  <c r="I25" i="6"/>
  <c r="I23" i="6"/>
  <c r="I22" i="6"/>
  <c r="G22" i="6" s="1"/>
  <c r="I21" i="6"/>
  <c r="J45" i="6"/>
  <c r="J44" i="6"/>
  <c r="J41" i="6"/>
  <c r="J40" i="6"/>
  <c r="J39" i="6"/>
  <c r="J38" i="6"/>
  <c r="J37" i="6"/>
  <c r="J35" i="6"/>
  <c r="J31" i="6"/>
  <c r="J28" i="6"/>
  <c r="J26" i="6"/>
  <c r="J23" i="6"/>
  <c r="G352" i="6"/>
  <c r="M206" i="6" l="1"/>
  <c r="M200" i="6"/>
  <c r="L177" i="6"/>
  <c r="L178" i="6"/>
  <c r="K178" i="6"/>
  <c r="K166" i="6" s="1"/>
  <c r="R454" i="6"/>
  <c r="Q454" i="6"/>
  <c r="P454" i="6"/>
  <c r="O454" i="6"/>
  <c r="N454" i="6"/>
  <c r="M454" i="6"/>
  <c r="L454" i="6"/>
  <c r="R453" i="6"/>
  <c r="Q453" i="6"/>
  <c r="P453" i="6"/>
  <c r="O453" i="6"/>
  <c r="N453" i="6"/>
  <c r="L453" i="6"/>
  <c r="K453" i="6"/>
  <c r="Q448" i="6"/>
  <c r="P448" i="6"/>
  <c r="O448" i="6"/>
  <c r="N448" i="6"/>
  <c r="M448" i="6"/>
  <c r="K448" i="6"/>
  <c r="R451" i="6"/>
  <c r="Q451" i="6"/>
  <c r="P451" i="6"/>
  <c r="L451" i="6"/>
  <c r="K451" i="6"/>
  <c r="R450" i="6"/>
  <c r="Q450" i="6"/>
  <c r="P450" i="6"/>
  <c r="O450" i="6"/>
  <c r="N450" i="6"/>
  <c r="M450" i="6"/>
  <c r="L450" i="6"/>
  <c r="K450" i="6"/>
  <c r="R449" i="6"/>
  <c r="Q449" i="6"/>
  <c r="P449" i="6"/>
  <c r="O449" i="6"/>
  <c r="N449" i="6"/>
  <c r="M449" i="6"/>
  <c r="L449" i="6"/>
  <c r="K449" i="6"/>
  <c r="G370" i="6"/>
  <c r="M350" i="6"/>
  <c r="L350" i="6"/>
  <c r="M299" i="6"/>
  <c r="L299" i="6"/>
  <c r="G207" i="6" l="1"/>
  <c r="G201" i="6"/>
  <c r="K393" i="6"/>
  <c r="L393" i="6"/>
  <c r="M393" i="6"/>
  <c r="L206" i="6"/>
  <c r="G291" i="6"/>
  <c r="G301" i="6"/>
  <c r="K299" i="6"/>
  <c r="G260" i="6"/>
  <c r="L200" i="6"/>
  <c r="G311" i="6"/>
  <c r="G385" i="6"/>
  <c r="G401" i="6"/>
  <c r="G403" i="6"/>
  <c r="G371" i="6"/>
  <c r="G380" i="6"/>
  <c r="G386" i="6"/>
  <c r="G402" i="6"/>
  <c r="G449" i="6"/>
  <c r="G450" i="6"/>
  <c r="G451" i="6"/>
  <c r="G448" i="6"/>
  <c r="G453" i="6"/>
  <c r="G454" i="6"/>
  <c r="G185" i="6"/>
  <c r="G183" i="6"/>
  <c r="G217" i="6"/>
  <c r="K233" i="6"/>
  <c r="G341" i="6"/>
  <c r="G346" i="6"/>
  <c r="G182" i="6"/>
  <c r="G177" i="6"/>
  <c r="G224" i="6"/>
  <c r="G350" i="6"/>
  <c r="G342" i="6"/>
  <c r="G343" i="6"/>
  <c r="G344" i="6"/>
  <c r="G347" i="6"/>
  <c r="G345" i="6"/>
  <c r="G181" i="6"/>
  <c r="G216" i="6"/>
  <c r="G180" i="6" l="1"/>
  <c r="G460" i="6"/>
  <c r="J459" i="6"/>
  <c r="G459" i="6" s="1"/>
  <c r="G458" i="6"/>
  <c r="G457" i="6"/>
  <c r="G456" i="6"/>
  <c r="G446" i="6"/>
  <c r="G445" i="6"/>
  <c r="G444" i="6"/>
  <c r="R443" i="6"/>
  <c r="Q443" i="6"/>
  <c r="Q439" i="6" s="1"/>
  <c r="P443" i="6"/>
  <c r="P439" i="6" s="1"/>
  <c r="O443" i="6"/>
  <c r="O439" i="6" s="1"/>
  <c r="N443" i="6"/>
  <c r="N439" i="6" s="1"/>
  <c r="L443" i="6"/>
  <c r="L439" i="6" s="1"/>
  <c r="K443" i="6"/>
  <c r="K439" i="6" s="1"/>
  <c r="I443" i="6"/>
  <c r="I439" i="6" s="1"/>
  <c r="H443" i="6"/>
  <c r="H439" i="6" s="1"/>
  <c r="C439" i="6"/>
  <c r="S437" i="6"/>
  <c r="S436" i="6" s="1"/>
  <c r="R436" i="6"/>
  <c r="Q436" i="6"/>
  <c r="P436" i="6"/>
  <c r="O436" i="6"/>
  <c r="N436" i="6"/>
  <c r="M436" i="6"/>
  <c r="L436" i="6"/>
  <c r="K436" i="6"/>
  <c r="J436" i="6"/>
  <c r="I436" i="6"/>
  <c r="H436" i="6"/>
  <c r="C423" i="6"/>
  <c r="S434" i="6"/>
  <c r="S433" i="6" s="1"/>
  <c r="R433" i="6"/>
  <c r="Q433" i="6"/>
  <c r="P433" i="6"/>
  <c r="O433" i="6"/>
  <c r="N433" i="6"/>
  <c r="M433" i="6"/>
  <c r="L433" i="6"/>
  <c r="K433" i="6"/>
  <c r="J433" i="6"/>
  <c r="I433" i="6"/>
  <c r="H433" i="6"/>
  <c r="S431" i="6"/>
  <c r="S430" i="6" s="1"/>
  <c r="R430" i="6"/>
  <c r="Q430" i="6"/>
  <c r="P430" i="6"/>
  <c r="O430" i="6"/>
  <c r="N430" i="6"/>
  <c r="M430" i="6"/>
  <c r="L430" i="6"/>
  <c r="K430" i="6"/>
  <c r="J430" i="6"/>
  <c r="I430" i="6"/>
  <c r="H430" i="6"/>
  <c r="S429" i="6"/>
  <c r="S428" i="6" s="1"/>
  <c r="R428" i="6"/>
  <c r="Q428" i="6"/>
  <c r="P428" i="6"/>
  <c r="O428" i="6"/>
  <c r="N428" i="6"/>
  <c r="M428" i="6"/>
  <c r="L428" i="6"/>
  <c r="K428" i="6"/>
  <c r="J428" i="6"/>
  <c r="I428" i="6"/>
  <c r="H428" i="6"/>
  <c r="S427" i="6"/>
  <c r="S426" i="6" s="1"/>
  <c r="R426" i="6"/>
  <c r="Q426" i="6"/>
  <c r="P426" i="6"/>
  <c r="O426" i="6"/>
  <c r="N426" i="6"/>
  <c r="M426" i="6"/>
  <c r="L426" i="6"/>
  <c r="K426" i="6"/>
  <c r="J426" i="6"/>
  <c r="I426" i="6"/>
  <c r="H426" i="6"/>
  <c r="G425" i="6"/>
  <c r="G423" i="6" s="1"/>
  <c r="S422" i="6"/>
  <c r="S421" i="6" s="1"/>
  <c r="R421" i="6"/>
  <c r="Q421" i="6"/>
  <c r="P421" i="6"/>
  <c r="O421" i="6"/>
  <c r="N421" i="6"/>
  <c r="M421" i="6"/>
  <c r="L421" i="6"/>
  <c r="K421" i="6"/>
  <c r="J421" i="6"/>
  <c r="I421" i="6"/>
  <c r="H421" i="6"/>
  <c r="S419" i="6"/>
  <c r="S418" i="6" s="1"/>
  <c r="R418" i="6"/>
  <c r="Q418" i="6"/>
  <c r="P418" i="6"/>
  <c r="O418" i="6"/>
  <c r="N418" i="6"/>
  <c r="M418" i="6"/>
  <c r="L418" i="6"/>
  <c r="K418" i="6"/>
  <c r="J418" i="6"/>
  <c r="I418" i="6"/>
  <c r="H418" i="6"/>
  <c r="G417" i="6"/>
  <c r="G410" i="6" s="1"/>
  <c r="S414" i="6"/>
  <c r="S412" i="6" s="1"/>
  <c r="R412" i="6"/>
  <c r="Q412" i="6"/>
  <c r="P412" i="6"/>
  <c r="O412" i="6"/>
  <c r="N412" i="6"/>
  <c r="M412" i="6"/>
  <c r="L412" i="6"/>
  <c r="K412" i="6"/>
  <c r="J412" i="6"/>
  <c r="I412" i="6"/>
  <c r="H412" i="6"/>
  <c r="C410" i="6"/>
  <c r="G408" i="6"/>
  <c r="G407" i="6"/>
  <c r="G406" i="6"/>
  <c r="G395" i="6"/>
  <c r="G378" i="6"/>
  <c r="G381" i="6"/>
  <c r="J376" i="6"/>
  <c r="H375" i="6"/>
  <c r="H367" i="6" s="1"/>
  <c r="R367" i="6"/>
  <c r="P367" i="6"/>
  <c r="O367" i="6"/>
  <c r="M367" i="6"/>
  <c r="L367" i="6"/>
  <c r="K367" i="6"/>
  <c r="C367" i="6"/>
  <c r="G360" i="6"/>
  <c r="G359" i="6"/>
  <c r="G358" i="6"/>
  <c r="G357" i="6"/>
  <c r="G356" i="6"/>
  <c r="G355" i="6"/>
  <c r="G354" i="6"/>
  <c r="G353" i="6"/>
  <c r="G332" i="6"/>
  <c r="G331" i="6"/>
  <c r="G330" i="6"/>
  <c r="G329" i="6"/>
  <c r="R327" i="6"/>
  <c r="Q327" i="6"/>
  <c r="P327" i="6"/>
  <c r="O327" i="6"/>
  <c r="N327" i="6"/>
  <c r="M327" i="6"/>
  <c r="L327" i="6"/>
  <c r="K327" i="6"/>
  <c r="H327" i="6"/>
  <c r="C327" i="6"/>
  <c r="G320" i="6"/>
  <c r="I309" i="6"/>
  <c r="G310" i="6"/>
  <c r="R309" i="6"/>
  <c r="Q309" i="6"/>
  <c r="P309" i="6"/>
  <c r="O309" i="6"/>
  <c r="K309" i="6"/>
  <c r="I303" i="6"/>
  <c r="I299" i="6" s="1"/>
  <c r="I297" i="6"/>
  <c r="I290" i="6"/>
  <c r="G290" i="6" s="1"/>
  <c r="R289" i="6"/>
  <c r="Q289" i="6"/>
  <c r="P289" i="6"/>
  <c r="O289" i="6"/>
  <c r="N289" i="6"/>
  <c r="M289" i="6"/>
  <c r="L289" i="6"/>
  <c r="K289" i="6"/>
  <c r="K232" i="6" s="1"/>
  <c r="J289" i="6"/>
  <c r="H289" i="6"/>
  <c r="C232" i="6"/>
  <c r="I287" i="6"/>
  <c r="G287" i="6" s="1"/>
  <c r="J286" i="6"/>
  <c r="G286" i="6" s="1"/>
  <c r="J285" i="6"/>
  <c r="G285" i="6" s="1"/>
  <c r="J284" i="6"/>
  <c r="G284" i="6" s="1"/>
  <c r="H235" i="6"/>
  <c r="G235" i="6" s="1"/>
  <c r="R233" i="6"/>
  <c r="G222" i="6"/>
  <c r="G227" i="6" s="1"/>
  <c r="R221" i="6"/>
  <c r="Q221" i="6"/>
  <c r="P221" i="6"/>
  <c r="O221" i="6"/>
  <c r="N221" i="6"/>
  <c r="M221" i="6"/>
  <c r="L221" i="6"/>
  <c r="K221" i="6"/>
  <c r="K163" i="6" s="1"/>
  <c r="J221" i="6"/>
  <c r="H221" i="6"/>
  <c r="G218" i="6"/>
  <c r="G213" i="6"/>
  <c r="R212" i="6"/>
  <c r="Q212" i="6"/>
  <c r="P212" i="6"/>
  <c r="O212" i="6"/>
  <c r="N212" i="6"/>
  <c r="M212" i="6"/>
  <c r="L212" i="6"/>
  <c r="J212" i="6"/>
  <c r="H212" i="6"/>
  <c r="G209" i="6"/>
  <c r="G210" i="6" s="1"/>
  <c r="J206" i="6"/>
  <c r="H206" i="6"/>
  <c r="H200" i="6"/>
  <c r="G172" i="6"/>
  <c r="G171" i="6"/>
  <c r="G170" i="6"/>
  <c r="G169" i="6"/>
  <c r="G168" i="6"/>
  <c r="R166" i="6"/>
  <c r="Q166" i="6"/>
  <c r="P166" i="6"/>
  <c r="O166" i="6"/>
  <c r="N166" i="6"/>
  <c r="I166" i="6"/>
  <c r="H166" i="6"/>
  <c r="G157" i="6"/>
  <c r="G156" i="6"/>
  <c r="G146" i="6"/>
  <c r="R144" i="6"/>
  <c r="Q144" i="6"/>
  <c r="P144" i="6"/>
  <c r="O144" i="6"/>
  <c r="N144" i="6"/>
  <c r="J144" i="6"/>
  <c r="H144" i="6"/>
  <c r="G58" i="6"/>
  <c r="G54" i="6"/>
  <c r="G53" i="6"/>
  <c r="G45" i="6"/>
  <c r="G44" i="6"/>
  <c r="G43" i="6"/>
  <c r="G42" i="6"/>
  <c r="G41" i="6"/>
  <c r="G40" i="6"/>
  <c r="G39" i="6"/>
  <c r="G38" i="6"/>
  <c r="G34" i="6"/>
  <c r="G32" i="6"/>
  <c r="H20" i="6"/>
  <c r="R439" i="6" l="1"/>
  <c r="K20" i="6"/>
  <c r="G409" i="6"/>
  <c r="G219" i="6"/>
  <c r="G393" i="6"/>
  <c r="G391" i="6" s="1"/>
  <c r="G221" i="6"/>
  <c r="G212" i="6"/>
  <c r="G206" i="6"/>
  <c r="Q163" i="6"/>
  <c r="P163" i="6"/>
  <c r="R163" i="6"/>
  <c r="G148" i="6"/>
  <c r="G147" i="6"/>
  <c r="G149" i="6"/>
  <c r="L166" i="6"/>
  <c r="L163" i="6" s="1"/>
  <c r="M144" i="6"/>
  <c r="K144" i="6"/>
  <c r="L144" i="6"/>
  <c r="O417" i="6"/>
  <c r="O410" i="6" s="1"/>
  <c r="N417" i="6"/>
  <c r="N410" i="6" s="1"/>
  <c r="G21" i="6"/>
  <c r="G25" i="6"/>
  <c r="G318" i="6"/>
  <c r="G303" i="6"/>
  <c r="G304" i="6" s="1"/>
  <c r="J367" i="6"/>
  <c r="H417" i="6"/>
  <c r="H410" i="6" s="1"/>
  <c r="J309" i="6"/>
  <c r="G26" i="6"/>
  <c r="G374" i="6"/>
  <c r="M417" i="6"/>
  <c r="M410" i="6" s="1"/>
  <c r="G375" i="6"/>
  <c r="K417" i="6"/>
  <c r="K410" i="6" s="1"/>
  <c r="S417" i="6"/>
  <c r="S410" i="6" s="1"/>
  <c r="I425" i="6"/>
  <c r="I423" i="6" s="1"/>
  <c r="Q425" i="6"/>
  <c r="Q423" i="6" s="1"/>
  <c r="O163" i="6"/>
  <c r="L417" i="6"/>
  <c r="L410" i="6" s="1"/>
  <c r="G368" i="6"/>
  <c r="G376" i="6"/>
  <c r="S425" i="6"/>
  <c r="S423" i="6" s="1"/>
  <c r="I206" i="6"/>
  <c r="I367" i="6"/>
  <c r="J327" i="6"/>
  <c r="J425" i="6"/>
  <c r="J423" i="6" s="1"/>
  <c r="R425" i="6"/>
  <c r="R423" i="6" s="1"/>
  <c r="G23" i="6"/>
  <c r="G36" i="6"/>
  <c r="R232" i="6"/>
  <c r="P417" i="6"/>
  <c r="P410" i="6" s="1"/>
  <c r="H163" i="6"/>
  <c r="I417" i="6"/>
  <c r="I410" i="6" s="1"/>
  <c r="Q417" i="6"/>
  <c r="Q410" i="6" s="1"/>
  <c r="G31" i="6"/>
  <c r="G33" i="6"/>
  <c r="I289" i="6"/>
  <c r="G328" i="6"/>
  <c r="G361" i="6" s="1"/>
  <c r="N425" i="6"/>
  <c r="N423" i="6" s="1"/>
  <c r="K425" i="6"/>
  <c r="K423" i="6" s="1"/>
  <c r="G29" i="6"/>
  <c r="H425" i="6"/>
  <c r="H423" i="6" s="1"/>
  <c r="P425" i="6"/>
  <c r="P423" i="6" s="1"/>
  <c r="S212" i="6"/>
  <c r="G24" i="6"/>
  <c r="G27" i="6"/>
  <c r="I144" i="6"/>
  <c r="G28" i="6"/>
  <c r="N163" i="6"/>
  <c r="G369" i="6"/>
  <c r="L425" i="6"/>
  <c r="L423" i="6" s="1"/>
  <c r="G37" i="6"/>
  <c r="G203" i="6"/>
  <c r="C163" i="6"/>
  <c r="H233" i="6"/>
  <c r="H232" i="6" s="1"/>
  <c r="M425" i="6"/>
  <c r="M423" i="6" s="1"/>
  <c r="H309" i="6"/>
  <c r="J417" i="6"/>
  <c r="J410" i="6" s="1"/>
  <c r="R417" i="6"/>
  <c r="R410" i="6" s="1"/>
  <c r="J443" i="6"/>
  <c r="J439" i="6" s="1"/>
  <c r="J20" i="6"/>
  <c r="I212" i="6"/>
  <c r="I221" i="6"/>
  <c r="O425" i="6"/>
  <c r="O423" i="6" s="1"/>
  <c r="J233" i="6"/>
  <c r="G30" i="6"/>
  <c r="G35" i="6"/>
  <c r="I233" i="6"/>
  <c r="I20" i="6"/>
  <c r="I327" i="6"/>
  <c r="G158" i="6" l="1"/>
  <c r="G204" i="6"/>
  <c r="G200" i="6"/>
  <c r="G327" i="6"/>
  <c r="G325" i="6" s="1"/>
  <c r="S221" i="6"/>
  <c r="S206" i="6"/>
  <c r="G392" i="6"/>
  <c r="G390" i="6" s="1"/>
  <c r="S443" i="6"/>
  <c r="S439" i="6" s="1"/>
  <c r="G299" i="6"/>
  <c r="G144" i="6"/>
  <c r="G142" i="6" s="1"/>
  <c r="S200" i="6"/>
  <c r="C13" i="6"/>
  <c r="K16" i="6"/>
  <c r="K13" i="6" s="1"/>
  <c r="I163" i="6"/>
  <c r="H16" i="6"/>
  <c r="H13" i="6" s="1"/>
  <c r="I232" i="6"/>
  <c r="I16" i="6" l="1"/>
  <c r="I13" i="6" s="1"/>
  <c r="S299" i="6"/>
  <c r="G143" i="6"/>
  <c r="G141" i="6" s="1"/>
  <c r="S144" i="6"/>
  <c r="G326" i="6"/>
  <c r="S327" i="6"/>
  <c r="S367" i="6"/>
  <c r="J166" i="6" l="1"/>
  <c r="J163" i="6" s="1"/>
  <c r="J16" i="6" s="1"/>
  <c r="J13" i="6" s="1"/>
  <c r="G184" i="6"/>
  <c r="S393" i="6" l="1"/>
  <c r="G178" i="6" l="1"/>
  <c r="G198" i="6" s="1"/>
  <c r="M166" i="6"/>
  <c r="M163" i="6" s="1"/>
  <c r="G162" i="6" l="1"/>
  <c r="G166" i="6"/>
  <c r="G163" i="6" s="1"/>
  <c r="G161" i="6" s="1"/>
  <c r="G160" i="6" l="1"/>
  <c r="S166" i="6"/>
  <c r="S163" i="6" s="1"/>
  <c r="G59" i="6" l="1"/>
  <c r="G65" i="6"/>
  <c r="G61" i="6"/>
  <c r="G79" i="6"/>
  <c r="G68" i="6"/>
  <c r="G73" i="6"/>
  <c r="G60" i="6"/>
  <c r="G66" i="6"/>
  <c r="G71" i="6"/>
  <c r="G77" i="6"/>
  <c r="G72" i="6"/>
  <c r="G78" i="6"/>
  <c r="G67" i="6" l="1"/>
  <c r="G64" i="6"/>
  <c r="G248" i="6" l="1"/>
  <c r="O233" i="6"/>
  <c r="O232" i="6" s="1"/>
  <c r="G259" i="6"/>
  <c r="L309" i="6" l="1"/>
  <c r="S309" i="6" l="1"/>
  <c r="L20" i="6"/>
  <c r="P233" i="6" l="1"/>
  <c r="P232" i="6" s="1"/>
  <c r="G261" i="6"/>
  <c r="S233" i="6" l="1"/>
  <c r="G324" i="6" l="1"/>
  <c r="S289" i="6"/>
  <c r="S232" i="6" s="1"/>
  <c r="S16" i="6" s="1"/>
  <c r="S13" i="6" s="1"/>
  <c r="G297" i="6"/>
  <c r="G298" i="6" s="1"/>
  <c r="G289" i="6" l="1"/>
  <c r="G265" i="6"/>
  <c r="M309" i="6" l="1"/>
  <c r="M20" i="6" l="1"/>
  <c r="G56" i="6"/>
  <c r="G57" i="6"/>
  <c r="G55" i="6"/>
  <c r="G52" i="6" l="1"/>
  <c r="M233" i="6" l="1"/>
  <c r="G250" i="6"/>
  <c r="M232" i="6" l="1"/>
  <c r="M16" i="6" l="1"/>
  <c r="L233" i="6"/>
  <c r="L232" i="6" s="1"/>
  <c r="L16" i="6" s="1"/>
  <c r="L13" i="6" s="1"/>
  <c r="G238" i="6"/>
  <c r="G266" i="6" l="1"/>
  <c r="G273" i="6"/>
  <c r="N233" i="6"/>
  <c r="N232" i="6" s="1"/>
  <c r="G280" i="6"/>
  <c r="Q233" i="6"/>
  <c r="Q232" i="6" s="1"/>
  <c r="G288" i="6" l="1"/>
  <c r="G231" i="6" s="1"/>
  <c r="G233" i="6"/>
  <c r="G232" i="6" s="1"/>
  <c r="G230" i="6" l="1"/>
  <c r="G229" i="6" l="1"/>
  <c r="O20" i="6"/>
  <c r="R20" i="6"/>
  <c r="R16" i="6" s="1"/>
  <c r="R13" i="6" s="1"/>
  <c r="G75" i="6"/>
  <c r="Q20" i="6"/>
  <c r="G69" i="6"/>
  <c r="G139" i="6" s="1"/>
  <c r="O16" i="6" l="1"/>
  <c r="O13" i="6" s="1"/>
  <c r="N309" i="6"/>
  <c r="G312" i="6"/>
  <c r="G321" i="6" s="1"/>
  <c r="G309" i="6" l="1"/>
  <c r="G307" i="6" s="1"/>
  <c r="G308" i="6"/>
  <c r="G306" i="6" l="1"/>
  <c r="P20" i="6" l="1"/>
  <c r="G20" i="6"/>
  <c r="G18" i="6" s="1"/>
  <c r="G19" i="6"/>
  <c r="P16" i="6" l="1"/>
  <c r="P13" i="6" s="1"/>
  <c r="G17" i="6"/>
  <c r="M443" i="6" l="1"/>
  <c r="M439" i="6" s="1"/>
  <c r="M13" i="6" s="1"/>
  <c r="G447" i="6"/>
  <c r="G461" i="6" l="1"/>
  <c r="G442" i="6" s="1"/>
  <c r="G443" i="6"/>
  <c r="G439" i="6" l="1"/>
  <c r="G441" i="6"/>
  <c r="G440" i="6" l="1"/>
  <c r="G382" i="6" l="1"/>
  <c r="N367" i="6"/>
  <c r="N16" i="6" s="1"/>
  <c r="N13" i="6" s="1"/>
  <c r="Q367" i="6" l="1"/>
  <c r="Q16" i="6" s="1"/>
  <c r="Q13" i="6" s="1"/>
  <c r="G388" i="6"/>
  <c r="G366" i="6" s="1"/>
  <c r="G15" i="6" s="1"/>
  <c r="G367" i="6"/>
  <c r="G365" i="6" l="1"/>
  <c r="G364" i="6" l="1"/>
  <c r="G13" i="6" s="1"/>
  <c r="G14" i="6"/>
</calcChain>
</file>

<file path=xl/sharedStrings.xml><?xml version="1.0" encoding="utf-8"?>
<sst xmlns="http://schemas.openxmlformats.org/spreadsheetml/2006/main" count="808" uniqueCount="134">
  <si>
    <t>(1)</t>
  </si>
  <si>
    <t>(3)</t>
  </si>
  <si>
    <t>(5)</t>
  </si>
  <si>
    <t>(6)</t>
  </si>
  <si>
    <t>Categoría Programática y Partida Presupuestaria y Naturaleza de los Servicios</t>
  </si>
  <si>
    <t>No. De Contrataciones</t>
  </si>
  <si>
    <t>Vigencia de Contrato</t>
  </si>
  <si>
    <t>Servicios que Presta</t>
  </si>
  <si>
    <t>Monto</t>
  </si>
  <si>
    <t>Total</t>
  </si>
  <si>
    <t>(Técnicos o Profesionales)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</si>
  <si>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</si>
  <si>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</si>
  <si>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</si>
  <si>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</si>
  <si>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</si>
  <si>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</si>
  <si>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</si>
  <si>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</si>
  <si>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</si>
  <si>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</si>
  <si>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</si>
  <si>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</si>
  <si>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TECHO ASIGNADO</t>
  </si>
  <si>
    <t>PENDIENTE DE PROGRAMAR</t>
  </si>
  <si>
    <t>(2) FUENTE DE FINANCIAMIENTO:  11 Ingresos Corrientes</t>
  </si>
  <si>
    <t>DIRECCION Y COORDINACIÓN</t>
  </si>
  <si>
    <t>2021-11130015-103-12-00-000-001-000-029-0101-11-000-000</t>
  </si>
  <si>
    <t>04/01/2021 AL 31/03/2021</t>
  </si>
  <si>
    <t xml:space="preserve"> Profesionales</t>
  </si>
  <si>
    <t>Técnicos</t>
  </si>
  <si>
    <t>04/01/2021 AL 31/01/2021</t>
  </si>
  <si>
    <t>16/02/2021 AL 31/03/2021</t>
  </si>
  <si>
    <t>08/02/2021 AL 31/03/2021</t>
  </si>
  <si>
    <t>01/02/2021 AL 31/03/2021</t>
  </si>
  <si>
    <t>Profesionales</t>
  </si>
  <si>
    <t>18/01/2021 AL 31/03/2021</t>
  </si>
  <si>
    <t>SERVICIOS DE INVESTIGACIÓN, CATALOGACIÓN Y REGISTRO DE BIENES CULTURALES</t>
  </si>
  <si>
    <t>2021-11130015-103-12-00-000-002-000-029-0101-11-0000-0000</t>
  </si>
  <si>
    <t xml:space="preserve"> Técnicos</t>
  </si>
  <si>
    <t>SERVICIOS DE ADMINISTRACIÓN Y PROTECCIÓN DE PARQUES, SITIOS ARQUEOLÓGICOS Y ZONAS DE RESCATE CULTURAL Y NATURAL</t>
  </si>
  <si>
    <t>2021-11130015-103-12-00-000-003-000-029-11-0000-0000</t>
  </si>
  <si>
    <t>2021-11130015-103-12-00-000-003-000-029-0101-11-0000-0000</t>
  </si>
  <si>
    <t>2021-11130015-103-12-00-000-003-000-029-1109-11-0000-0000</t>
  </si>
  <si>
    <t>2021-11130015-103-12-00-000-003-000-029-0403-11-0000-0000</t>
  </si>
  <si>
    <t>2021-11130015-103-12-00-000-003-000-029-0406-11-0000-0000</t>
  </si>
  <si>
    <t>2021-11130015-103-12-00-000-003-000-029-1701-11-0000-0000</t>
  </si>
  <si>
    <t>Profesionaels</t>
  </si>
  <si>
    <t xml:space="preserve"> SERVICIOS DE ADMINISTRACIÓN DE MUSEOS</t>
  </si>
  <si>
    <t>2021-11130015-103-12-00-000-004-000-029-11-0000-0000</t>
  </si>
  <si>
    <t>2021-11130015-103-12-00-000-004-000-029-0101-11-0000-0000</t>
  </si>
  <si>
    <t>04/01/2021 AL 28/02/2021</t>
  </si>
  <si>
    <t>2021-11130015-103-12-00-000-004-000-029-0301-11-0000-0000</t>
  </si>
  <si>
    <t>2021-11130015-103-12-00-000-004-000-029-0503-11-0000-0000</t>
  </si>
  <si>
    <t>SERVICIOS DE SALVAGUARDIA Y DIFUSIÓN DEL PATRIMONIO INTANGIBLE</t>
  </si>
  <si>
    <t>2021-11130015-103-12-00-000-005-000-029-0101-11-0000-0000</t>
  </si>
  <si>
    <t>2021-11130015-103-12-00-000-006-000-029-0101-11-0000-0000</t>
  </si>
  <si>
    <t>Profesional</t>
  </si>
  <si>
    <t xml:space="preserve">Profesional </t>
  </si>
  <si>
    <t>SERVICIOS DE CONSERVACIÓN Y RESTAURACIÓN DE BIENES CULTURALES</t>
  </si>
  <si>
    <t>2021-11130015-103-12-00-000-008-000-029-0101-11-0000-0000</t>
  </si>
  <si>
    <t xml:space="preserve"> SERVICIOS DE RESCATE Y CONSERVACIÓN DE SITIOS ARQUEOLÓGICOS Y PREHISPÁNICOS</t>
  </si>
  <si>
    <t>2021-11130015-103-12-00-000-009-000-029-1701-11-0000-0000</t>
  </si>
  <si>
    <t>(2) FUENTE DE FINANCIAMIENTO:  29 OTROS RECURSOS DEL TESORO CON AFECTACIÓN ESPECÍFICA</t>
  </si>
  <si>
    <t>2021-11130015-103-12-00-000-003-000-029-0101-29-0101-0005</t>
  </si>
  <si>
    <t>2021-11130015-103-12-00-000-004-000-029-29-0101-0005</t>
  </si>
  <si>
    <t>2021-11130015-103-12-00-000-004-000-029-0101-29-0101-0005</t>
  </si>
  <si>
    <t>2021-11130015-103-12-00-000-004-000-029-0301-29-0101-0005</t>
  </si>
  <si>
    <t/>
  </si>
  <si>
    <t>(2) FUENTE DE FINANCIAMIENTO:  31 INGRESOS PROPIOS</t>
  </si>
  <si>
    <t>2021-11130015-103-12-00-000-003-000-029-31-0000-0000</t>
  </si>
  <si>
    <t>2021-11130015-103-12-00-000-003-000-029-0101-31-0000-0000</t>
  </si>
  <si>
    <t>2021-11130015-103-12-00-000-003-000-029-0403-31-0000-0000</t>
  </si>
  <si>
    <t>2021-11130015-103-12-00-000-003-000-029-0406-31-0000-0000</t>
  </si>
  <si>
    <t>2021-11130015-103-12-00-000-004-000-029-0101-31-0000-0000</t>
  </si>
  <si>
    <t xml:space="preserve"> SERVICIOS DE ADMINISTRACIÓN DEL PARQUE NACIONAL TIKAL</t>
  </si>
  <si>
    <t>2021-11130015-103-12-00-000-007-000-029-1701-31-0000-0000</t>
  </si>
  <si>
    <t>(2) FUENTE DE FINANCIAMIENTO:  32 DISMINUCIÓN DE CAJA Y BANCOS DE INGRESOS PROPIOS</t>
  </si>
  <si>
    <t>2021-11130015-103-12-00-000-007-000-029-1701-32-0000-0000</t>
  </si>
  <si>
    <t>01/03/2021 AL 31/05/2021</t>
  </si>
  <si>
    <t>profesionales</t>
  </si>
  <si>
    <t>05/03/2021 AL 31/12/2021</t>
  </si>
  <si>
    <t>03/03/2021 AL 31/12/2021</t>
  </si>
  <si>
    <t>02/03/2021 AL 31/12/2021</t>
  </si>
  <si>
    <t>EJERCICIO FISCAL 2021</t>
  </si>
  <si>
    <t>(1) ENTIDAD:  Ministerio de Cultura y Deportes</t>
  </si>
  <si>
    <t>05/04/2021 AL 30/06/2021</t>
  </si>
  <si>
    <t>08/03/2021 AL 31/12/2021</t>
  </si>
  <si>
    <t>05/04/2021 AL 31/05/2021</t>
  </si>
  <si>
    <t>05/04/2021 AL 31/12/2021</t>
  </si>
  <si>
    <t>16/03/2021 Al 31/05/2021</t>
  </si>
  <si>
    <t>16/03/2021 AL 31/05/2021</t>
  </si>
  <si>
    <t>05/04/2021 al 30/06/2021</t>
  </si>
  <si>
    <t>05/04/2021 al 31/05/2021</t>
  </si>
  <si>
    <t>5/04/2021 AL 31/05/2021</t>
  </si>
  <si>
    <t>PROGRAMADO</t>
  </si>
  <si>
    <t>PROGRAMACION (REPROGRAMACION ) DEL RENGLÓN 029 "OTRAS REMUNERACIONES DE PERSONAL TEMPORAL"</t>
  </si>
  <si>
    <t>PROGRAMACION (REPROGRAMACION ) DE PUESTOS DEL RENGLON 029 "OTRAS REMUNERACIONES DE PERSONAL TEMPORAL"</t>
  </si>
  <si>
    <t xml:space="preserve">(2) FUENTE DE FINANCIAMIENTO:  </t>
  </si>
  <si>
    <t>(4)</t>
  </si>
  <si>
    <t>(7) PROGRAMACION MENSUAL (REPROGRAMACION)</t>
  </si>
  <si>
    <t xml:space="preserve">PENDIENTE DE PROGRAMAR </t>
  </si>
  <si>
    <t>03/05/2021 AL 30/06/2021</t>
  </si>
  <si>
    <t>TECHO VIGENTE</t>
  </si>
  <si>
    <t>06/05/2021 al 31/07/2021</t>
  </si>
  <si>
    <t>01/06/2021 AL 31/12/2021</t>
  </si>
  <si>
    <t>17/05/2021 AL 31/07/2021</t>
  </si>
  <si>
    <t>01/06/2021 AL 31/08/2021</t>
  </si>
  <si>
    <t>01/07/2021 AL 31/12/2021</t>
  </si>
  <si>
    <t>16/06/2021 AL 31/12/2021</t>
  </si>
  <si>
    <t>01/07/2021 AL 31/08/2021</t>
  </si>
  <si>
    <t>SERVICIOS DE ADMINISTRACIÓN DEL PATRIMONIO BIBLIOGRÁFICO Y DOCUMENTAL</t>
  </si>
  <si>
    <t>16/07/2021 AL 31/12/2021</t>
  </si>
  <si>
    <t>02/08/2021 AL 31/12/2021</t>
  </si>
  <si>
    <t>02/08/2021 AL 30/09/2021</t>
  </si>
  <si>
    <t>01/07/2021 AL 31/07/2021</t>
  </si>
  <si>
    <t>SERVICIOS DE ADMINISTRACIÓN DE MUSEOS</t>
  </si>
  <si>
    <t>01/07/2021 AL 09/09/2021</t>
  </si>
  <si>
    <t>05/04/2021 AL 31/07/2021</t>
  </si>
  <si>
    <t>16/09/2021 AL 31/12/2021</t>
  </si>
  <si>
    <t>01/10/2021 AL 31/10/2021</t>
  </si>
  <si>
    <t>01/10/2021 AL 31/12/2021</t>
  </si>
  <si>
    <t>01/07/2021 AL 30/09/2021</t>
  </si>
  <si>
    <t>01/06/2021 AL 30/09/2021</t>
  </si>
  <si>
    <t>08/10/2021 AL 31/12/2021</t>
  </si>
  <si>
    <t>01/07/2021 AL 04/10/2021</t>
  </si>
  <si>
    <t>19/10/2021 AL 31/12/2021</t>
  </si>
  <si>
    <t>18/10/2021 AL 31/12/2021</t>
  </si>
  <si>
    <t>02/11/2021 AL 31/12/2021</t>
  </si>
  <si>
    <t>15/10/2021 AL 31/12/2021</t>
  </si>
  <si>
    <t>01/07/2021 AL 30/11/2021</t>
  </si>
  <si>
    <t>01/06/2021 AL 30/11/2021</t>
  </si>
  <si>
    <t>01/08/2021 AL 30/11/2021</t>
  </si>
  <si>
    <t>02/08/2021 AL 31/10/2021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</si>
</sst>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Q&quot;* #,##0.00_-;\-&quot;Q&quot;* #,##0.00_-;_-&quot;Q&quot;* &quot;-&quot;??_-;_-@_-"/>
    <numFmt numFmtId="164" formatCode="_(\Q* #,##0.00_);_(\Q* \(#,##0.00\);_(\Q* \-??_);_(@_)"/>
    <numFmt numFmtId="165" formatCode="#,##0.00;[Red]#,##0.00"/>
    <numFmt numFmtId="166" formatCode="#,000%;[Red]\ \-#,000%"/>
  </numFmts>
  <fonts count="17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1"/>
      <name val="Arial Unicode MS"/>
      <family val="2"/>
    </font>
    <font>
      <b/>
      <sz val="11"/>
      <name val="Verdana"/>
      <family val="2"/>
    </font>
    <font>
      <u/>
      <sz val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Verdana"/>
      <family val="2"/>
    </font>
    <font>
      <sz val="11"/>
      <name val="Arial Unicode MS"/>
      <family val="2"/>
    </font>
    <font>
      <b/>
      <sz val="16"/>
      <name val="Arial Unicode MS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164" fontId="6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6" fillId="0" borderId="0"/>
  </cellStyleXfs>
  <cellXfs count="299">
    <xf numFmtId="0" fontId="0" fillId="0" borderId="0" xfId="0"/>
    <xf numFmtId="49" fontId="2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/>
    </xf>
    <xf numFmtId="4" fontId="3" fillId="2" borderId="5" xfId="0" applyNumberFormat="1" applyFont="1" applyFill="1" applyBorder="1"/>
    <xf numFmtId="4" fontId="3" fillId="2" borderId="9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wrapText="1"/>
    </xf>
    <xf numFmtId="1" fontId="3" fillId="0" borderId="5" xfId="0" applyNumberFormat="1" applyFont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/>
    </xf>
    <xf numFmtId="4" fontId="1" fillId="0" borderId="5" xfId="0" applyNumberFormat="1" applyFont="1" applyBorder="1"/>
    <xf numFmtId="4" fontId="4" fillId="0" borderId="5" xfId="0" applyNumberFormat="1" applyFont="1" applyBorder="1" applyAlignment="1">
      <alignment vertical="center"/>
    </xf>
    <xf numFmtId="1" fontId="3" fillId="0" borderId="10" xfId="1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/>
    </xf>
    <xf numFmtId="4" fontId="1" fillId="3" borderId="11" xfId="0" applyNumberFormat="1" applyFont="1" applyFill="1" applyBorder="1"/>
    <xf numFmtId="4" fontId="3" fillId="0" borderId="5" xfId="0" applyNumberFormat="1" applyFont="1" applyFill="1" applyBorder="1"/>
    <xf numFmtId="4" fontId="1" fillId="3" borderId="5" xfId="0" applyNumberFormat="1" applyFont="1" applyFill="1" applyBorder="1"/>
    <xf numFmtId="49" fontId="1" fillId="0" borderId="12" xfId="0" applyNumberFormat="1" applyFont="1" applyBorder="1" applyAlignment="1">
      <alignment wrapText="1"/>
    </xf>
    <xf numFmtId="1" fontId="1" fillId="0" borderId="12" xfId="0" applyNumberFormat="1" applyFont="1" applyBorder="1" applyAlignment="1">
      <alignment horizontal="center" wrapText="1"/>
    </xf>
    <xf numFmtId="165" fontId="1" fillId="4" borderId="12" xfId="2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/>
    <xf numFmtId="4" fontId="5" fillId="0" borderId="12" xfId="0" applyNumberFormat="1" applyFont="1" applyBorder="1"/>
    <xf numFmtId="1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65" fontId="1" fillId="0" borderId="12" xfId="2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1" fontId="1" fillId="0" borderId="5" xfId="0" applyNumberFormat="1" applyFont="1" applyBorder="1" applyAlignment="1">
      <alignment horizontal="center" wrapText="1"/>
    </xf>
    <xf numFmtId="0" fontId="7" fillId="4" borderId="5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5" fillId="0" borderId="0" xfId="0" applyNumberFormat="1" applyFont="1" applyBorder="1"/>
    <xf numFmtId="4" fontId="1" fillId="0" borderId="10" xfId="0" applyNumberFormat="1" applyFont="1" applyBorder="1" applyAlignment="1">
      <alignment vertical="center"/>
    </xf>
    <xf numFmtId="49" fontId="1" fillId="0" borderId="5" xfId="0" applyNumberFormat="1" applyFont="1" applyBorder="1"/>
    <xf numFmtId="4" fontId="1" fillId="0" borderId="10" xfId="0" applyNumberFormat="1" applyFont="1" applyBorder="1"/>
    <xf numFmtId="49" fontId="3" fillId="0" borderId="8" xfId="0" applyNumberFormat="1" applyFont="1" applyBorder="1" applyAlignment="1">
      <alignment wrapText="1"/>
    </xf>
    <xf numFmtId="4" fontId="1" fillId="0" borderId="7" xfId="0" applyNumberFormat="1" applyFont="1" applyBorder="1"/>
    <xf numFmtId="4" fontId="1" fillId="3" borderId="8" xfId="0" applyNumberFormat="1" applyFont="1" applyFill="1" applyBorder="1"/>
    <xf numFmtId="4" fontId="1" fillId="0" borderId="8" xfId="0" applyNumberFormat="1" applyFont="1" applyBorder="1"/>
    <xf numFmtId="49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/>
    <xf numFmtId="49" fontId="1" fillId="0" borderId="5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horizontal="center" wrapText="1"/>
    </xf>
    <xf numFmtId="4" fontId="3" fillId="0" borderId="5" xfId="0" applyNumberFormat="1" applyFont="1" applyBorder="1"/>
    <xf numFmtId="49" fontId="0" fillId="0" borderId="12" xfId="0" applyNumberFormat="1" applyFill="1" applyBorder="1" applyAlignment="1">
      <alignment horizontal="left" vertical="center" wrapText="1"/>
    </xf>
    <xf numFmtId="4" fontId="1" fillId="0" borderId="12" xfId="0" applyNumberFormat="1" applyFont="1" applyFill="1" applyBorder="1"/>
    <xf numFmtId="0" fontId="7" fillId="0" borderId="12" xfId="0" applyFont="1" applyFill="1" applyBorder="1" applyAlignment="1">
      <alignment horizontal="left" vertical="center" wrapText="1"/>
    </xf>
    <xf numFmtId="49" fontId="1" fillId="0" borderId="8" xfId="0" applyNumberFormat="1" applyFont="1" applyBorder="1" applyAlignment="1">
      <alignment wrapText="1"/>
    </xf>
    <xf numFmtId="1" fontId="1" fillId="0" borderId="8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9" fontId="0" fillId="0" borderId="12" xfId="0" applyNumberFormat="1" applyBorder="1" applyAlignment="1">
      <alignment horizontal="left" vertical="center" wrapText="1"/>
    </xf>
    <xf numFmtId="165" fontId="1" fillId="4" borderId="5" xfId="2" applyNumberFormat="1" applyFont="1" applyFill="1" applyBorder="1" applyAlignment="1">
      <alignment horizontal="right" vertical="center"/>
    </xf>
    <xf numFmtId="4" fontId="0" fillId="0" borderId="5" xfId="0" applyNumberFormat="1" applyBorder="1"/>
    <xf numFmtId="49" fontId="0" fillId="0" borderId="12" xfId="0" applyNumberFormat="1" applyBorder="1"/>
    <xf numFmtId="4" fontId="0" fillId="0" borderId="5" xfId="0" applyNumberFormat="1" applyFill="1" applyBorder="1"/>
    <xf numFmtId="4" fontId="0" fillId="0" borderId="10" xfId="0" applyNumberFormat="1" applyBorder="1"/>
    <xf numFmtId="49" fontId="0" fillId="0" borderId="5" xfId="0" applyNumberFormat="1" applyBorder="1"/>
    <xf numFmtId="1" fontId="3" fillId="0" borderId="8" xfId="0" applyNumberFormat="1" applyFont="1" applyBorder="1" applyAlignment="1">
      <alignment horizontal="center" wrapText="1"/>
    </xf>
    <xf numFmtId="49" fontId="1" fillId="0" borderId="8" xfId="0" applyNumberFormat="1" applyFont="1" applyBorder="1"/>
    <xf numFmtId="4" fontId="1" fillId="4" borderId="5" xfId="0" applyNumberFormat="1" applyFont="1" applyFill="1" applyBorder="1"/>
    <xf numFmtId="49" fontId="0" fillId="0" borderId="5" xfId="0" applyNumberForma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wrapText="1"/>
    </xf>
    <xf numFmtId="4" fontId="8" fillId="2" borderId="5" xfId="0" applyNumberFormat="1" applyFont="1" applyFill="1" applyBorder="1"/>
    <xf numFmtId="4" fontId="3" fillId="2" borderId="5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4" fontId="3" fillId="0" borderId="8" xfId="0" applyNumberFormat="1" applyFont="1" applyBorder="1"/>
    <xf numFmtId="1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vertical="center"/>
    </xf>
    <xf numFmtId="49" fontId="1" fillId="0" borderId="5" xfId="0" applyNumberFormat="1" applyFont="1" applyFill="1" applyBorder="1" applyAlignment="1">
      <alignment wrapText="1"/>
    </xf>
    <xf numFmtId="49" fontId="3" fillId="0" borderId="5" xfId="0" applyNumberFormat="1" applyFont="1" applyFill="1" applyBorder="1"/>
    <xf numFmtId="49" fontId="1" fillId="0" borderId="12" xfId="0" applyNumberFormat="1" applyFont="1" applyBorder="1"/>
    <xf numFmtId="4" fontId="3" fillId="0" borderId="12" xfId="0" applyNumberFormat="1" applyFont="1" applyBorder="1"/>
    <xf numFmtId="4" fontId="1" fillId="0" borderId="5" xfId="0" applyNumberFormat="1" applyFont="1" applyFill="1" applyBorder="1"/>
    <xf numFmtId="4" fontId="0" fillId="0" borderId="0" xfId="0" applyNumberFormat="1"/>
    <xf numFmtId="49" fontId="3" fillId="5" borderId="5" xfId="0" applyNumberFormat="1" applyFont="1" applyFill="1" applyBorder="1" applyAlignment="1">
      <alignment wrapText="1"/>
    </xf>
    <xf numFmtId="4" fontId="3" fillId="3" borderId="5" xfId="0" applyNumberFormat="1" applyFont="1" applyFill="1" applyBorder="1"/>
    <xf numFmtId="49" fontId="1" fillId="4" borderId="12" xfId="0" applyNumberFormat="1" applyFont="1" applyFill="1" applyBorder="1" applyAlignment="1">
      <alignment wrapText="1"/>
    </xf>
    <xf numFmtId="1" fontId="1" fillId="4" borderId="12" xfId="0" applyNumberFormat="1" applyFont="1" applyFill="1" applyBorder="1" applyAlignment="1">
      <alignment horizontal="center" wrapText="1"/>
    </xf>
    <xf numFmtId="49" fontId="1" fillId="4" borderId="12" xfId="0" applyNumberFormat="1" applyFont="1" applyFill="1" applyBorder="1" applyAlignment="1">
      <alignment horizontal="left" vertical="center" wrapText="1"/>
    </xf>
    <xf numFmtId="4" fontId="1" fillId="4" borderId="12" xfId="0" applyNumberFormat="1" applyFont="1" applyFill="1" applyBorder="1" applyAlignment="1">
      <alignment vertical="center"/>
    </xf>
    <xf numFmtId="4" fontId="1" fillId="4" borderId="12" xfId="0" applyNumberFormat="1" applyFont="1" applyFill="1" applyBorder="1"/>
    <xf numFmtId="0" fontId="0" fillId="4" borderId="0" xfId="0" applyFill="1"/>
    <xf numFmtId="49" fontId="3" fillId="6" borderId="5" xfId="0" applyNumberFormat="1" applyFont="1" applyFill="1" applyBorder="1" applyAlignment="1">
      <alignment wrapText="1"/>
    </xf>
    <xf numFmtId="4" fontId="1" fillId="6" borderId="5" xfId="0" applyNumberFormat="1" applyFont="1" applyFill="1" applyBorder="1"/>
    <xf numFmtId="4" fontId="1" fillId="6" borderId="11" xfId="0" applyNumberFormat="1" applyFont="1" applyFill="1" applyBorder="1"/>
    <xf numFmtId="0" fontId="0" fillId="6" borderId="0" xfId="0" applyFill="1"/>
    <xf numFmtId="49" fontId="1" fillId="4" borderId="5" xfId="0" applyNumberFormat="1" applyFont="1" applyFill="1" applyBorder="1" applyAlignment="1">
      <alignment wrapText="1"/>
    </xf>
    <xf numFmtId="1" fontId="3" fillId="4" borderId="5" xfId="0" applyNumberFormat="1" applyFont="1" applyFill="1" applyBorder="1" applyAlignment="1">
      <alignment horizontal="center" wrapText="1"/>
    </xf>
    <xf numFmtId="49" fontId="1" fillId="4" borderId="5" xfId="0" applyNumberFormat="1" applyFont="1" applyFill="1" applyBorder="1"/>
    <xf numFmtId="4" fontId="1" fillId="4" borderId="10" xfId="0" applyNumberFormat="1" applyFont="1" applyFill="1" applyBorder="1"/>
    <xf numFmtId="4" fontId="3" fillId="4" borderId="5" xfId="0" applyNumberFormat="1" applyFont="1" applyFill="1" applyBorder="1"/>
    <xf numFmtId="49" fontId="0" fillId="4" borderId="5" xfId="0" applyNumberFormat="1" applyFill="1" applyBorder="1" applyAlignment="1">
      <alignment wrapText="1"/>
    </xf>
    <xf numFmtId="0" fontId="8" fillId="4" borderId="5" xfId="0" applyNumberFormat="1" applyFont="1" applyFill="1" applyBorder="1" applyAlignment="1">
      <alignment horizontal="left"/>
    </xf>
    <xf numFmtId="4" fontId="0" fillId="4" borderId="5" xfId="0" applyNumberFormat="1" applyFill="1" applyBorder="1"/>
    <xf numFmtId="4" fontId="0" fillId="4" borderId="0" xfId="0" applyNumberFormat="1" applyFill="1"/>
    <xf numFmtId="0" fontId="0" fillId="0" borderId="0" xfId="0" applyBorder="1"/>
    <xf numFmtId="166" fontId="0" fillId="0" borderId="5" xfId="0" applyNumberFormat="1" applyBorder="1"/>
    <xf numFmtId="4" fontId="11" fillId="0" borderId="5" xfId="0" applyNumberFormat="1" applyFont="1" applyFill="1" applyBorder="1"/>
    <xf numFmtId="4" fontId="11" fillId="0" borderId="10" xfId="0" applyNumberFormat="1" applyFont="1" applyFill="1" applyBorder="1"/>
    <xf numFmtId="0" fontId="0" fillId="0" borderId="0" xfId="0" applyFill="1"/>
    <xf numFmtId="1" fontId="3" fillId="0" borderId="10" xfId="0" applyNumberFormat="1" applyFont="1" applyBorder="1" applyAlignment="1">
      <alignment horizontal="center" wrapText="1"/>
    </xf>
    <xf numFmtId="4" fontId="3" fillId="4" borderId="12" xfId="0" applyNumberFormat="1" applyFont="1" applyFill="1" applyBorder="1" applyAlignment="1">
      <alignment vertical="center"/>
    </xf>
    <xf numFmtId="4" fontId="0" fillId="0" borderId="0" xfId="0" applyNumberFormat="1" applyFill="1"/>
    <xf numFmtId="49" fontId="2" fillId="0" borderId="12" xfId="0" applyNumberFormat="1" applyFont="1" applyFill="1" applyBorder="1" applyAlignment="1">
      <alignment horizontal="left" wrapText="1"/>
    </xf>
    <xf numFmtId="1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165" fontId="1" fillId="4" borderId="0" xfId="2" applyNumberFormat="1" applyFont="1" applyFill="1" applyBorder="1" applyAlignment="1">
      <alignment horizontal="right" vertic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vertical="center"/>
    </xf>
    <xf numFmtId="1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65" fontId="1" fillId="0" borderId="1" xfId="2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wrapText="1"/>
    </xf>
    <xf numFmtId="4" fontId="1" fillId="0" borderId="14" xfId="0" applyNumberFormat="1" applyFont="1" applyBorder="1"/>
    <xf numFmtId="4" fontId="1" fillId="0" borderId="0" xfId="0" applyNumberFormat="1" applyFont="1" applyFill="1" applyBorder="1"/>
    <xf numFmtId="49" fontId="2" fillId="0" borderId="1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165" fontId="1" fillId="0" borderId="0" xfId="2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3" xfId="0" applyBorder="1"/>
    <xf numFmtId="49" fontId="2" fillId="0" borderId="1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0" fillId="0" borderId="0" xfId="0" applyNumberFormat="1" applyBorder="1"/>
    <xf numFmtId="4" fontId="0" fillId="0" borderId="1" xfId="0" applyNumberFormat="1" applyBorder="1"/>
    <xf numFmtId="4" fontId="0" fillId="0" borderId="4" xfId="0" applyNumberFormat="1" applyBorder="1"/>
    <xf numFmtId="49" fontId="2" fillId="0" borderId="1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0" fillId="0" borderId="16" xfId="0" applyNumberFormat="1" applyBorder="1"/>
    <xf numFmtId="49" fontId="13" fillId="0" borderId="0" xfId="0" applyNumberFormat="1" applyFont="1" applyAlignment="1">
      <alignment wrapText="1"/>
    </xf>
    <xf numFmtId="49" fontId="13" fillId="0" borderId="0" xfId="0" applyNumberFormat="1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Continuous" vertical="center" wrapText="1"/>
    </xf>
    <xf numFmtId="49" fontId="2" fillId="0" borderId="0" xfId="0" applyNumberFormat="1" applyFont="1" applyAlignment="1">
      <alignment horizontal="centerContinuous" vertical="center" wrapText="1"/>
    </xf>
    <xf numFmtId="49" fontId="14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4" fontId="13" fillId="0" borderId="0" xfId="0" applyNumberFormat="1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center" wrapText="1"/>
    </xf>
    <xf numFmtId="4" fontId="3" fillId="7" borderId="9" xfId="0" applyNumberFormat="1" applyFont="1" applyFill="1" applyBorder="1" applyAlignment="1">
      <alignment vertical="center"/>
    </xf>
    <xf numFmtId="49" fontId="0" fillId="0" borderId="12" xfId="0" applyNumberFormat="1" applyFill="1" applyBorder="1"/>
    <xf numFmtId="4" fontId="1" fillId="0" borderId="12" xfId="1" applyNumberFormat="1" applyFont="1" applyFill="1" applyBorder="1"/>
    <xf numFmtId="4" fontId="1" fillId="0" borderId="12" xfId="1" applyNumberFormat="1" applyFont="1" applyFill="1" applyBorder="1" applyAlignment="1">
      <alignment horizontal="right"/>
    </xf>
    <xf numFmtId="49" fontId="0" fillId="0" borderId="8" xfId="0" applyNumberForma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4" fontId="3" fillId="7" borderId="1" xfId="0" applyNumberFormat="1" applyFont="1" applyFill="1" applyBorder="1" applyAlignment="1">
      <alignment vertical="center"/>
    </xf>
    <xf numFmtId="49" fontId="2" fillId="7" borderId="12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wrapText="1"/>
    </xf>
    <xf numFmtId="1" fontId="1" fillId="0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12" xfId="0" applyFill="1" applyBorder="1"/>
    <xf numFmtId="0" fontId="0" fillId="0" borderId="12" xfId="0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49" fontId="1" fillId="0" borderId="12" xfId="0" applyNumberFormat="1" applyFont="1" applyFill="1" applyBorder="1"/>
    <xf numFmtId="49" fontId="12" fillId="0" borderId="12" xfId="0" applyNumberFormat="1" applyFont="1" applyFill="1" applyBorder="1" applyAlignment="1">
      <alignment wrapText="1"/>
    </xf>
    <xf numFmtId="0" fontId="0" fillId="0" borderId="15" xfId="0" applyBorder="1"/>
    <xf numFmtId="0" fontId="0" fillId="0" borderId="16" xfId="0" applyBorder="1"/>
    <xf numFmtId="1" fontId="1" fillId="0" borderId="12" xfId="0" quotePrefix="1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8" xfId="0" applyBorder="1"/>
    <xf numFmtId="49" fontId="1" fillId="0" borderId="12" xfId="0" quotePrefix="1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/>
    <xf numFmtId="49" fontId="11" fillId="0" borderId="12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Alignment="1">
      <alignment vertical="center" wrapText="1"/>
    </xf>
    <xf numFmtId="49" fontId="0" fillId="4" borderId="12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horizontal="left" wrapText="1"/>
    </xf>
    <xf numFmtId="0" fontId="8" fillId="0" borderId="5" xfId="0" applyNumberFormat="1" applyFont="1" applyFill="1" applyBorder="1" applyAlignment="1">
      <alignment horizontal="left"/>
    </xf>
    <xf numFmtId="49" fontId="0" fillId="0" borderId="5" xfId="0" applyNumberFormat="1" applyFill="1" applyBorder="1"/>
    <xf numFmtId="49" fontId="2" fillId="7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0" fillId="4" borderId="5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" fillId="0" borderId="5" xfId="3" applyFont="1" applyBorder="1" applyAlignment="1">
      <alignment vertical="center"/>
    </xf>
    <xf numFmtId="44" fontId="0" fillId="0" borderId="0" xfId="3" applyFont="1" applyAlignment="1">
      <alignment vertical="center"/>
    </xf>
    <xf numFmtId="49" fontId="2" fillId="0" borderId="8" xfId="0" applyNumberFormat="1" applyFont="1" applyFill="1" applyBorder="1" applyAlignment="1">
      <alignment horizontal="left" vertical="center" wrapText="1"/>
    </xf>
    <xf numFmtId="4" fontId="3" fillId="4" borderId="8" xfId="0" applyNumberFormat="1" applyFont="1" applyFill="1" applyBorder="1" applyAlignment="1">
      <alignment vertical="center"/>
    </xf>
    <xf numFmtId="1" fontId="3" fillId="2" borderId="12" xfId="0" applyNumberFormat="1" applyFont="1" applyFill="1" applyBorder="1" applyAlignment="1">
      <alignment horizont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left"/>
    </xf>
    <xf numFmtId="4" fontId="3" fillId="2" borderId="12" xfId="0" applyNumberFormat="1" applyFont="1" applyFill="1" applyBorder="1"/>
    <xf numFmtId="4" fontId="3" fillId="2" borderId="12" xfId="0" applyNumberFormat="1" applyFont="1" applyFill="1" applyBorder="1" applyAlignment="1">
      <alignment vertical="center"/>
    </xf>
    <xf numFmtId="1" fontId="3" fillId="0" borderId="5" xfId="1" applyNumberFormat="1" applyFont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>
      <alignment horizontal="right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44" fontId="13" fillId="0" borderId="0" xfId="3" applyFont="1" applyAlignment="1">
      <alignment wrapText="1"/>
    </xf>
    <xf numFmtId="44" fontId="13" fillId="0" borderId="0" xfId="3" applyFont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left" wrapText="1"/>
    </xf>
    <xf numFmtId="0" fontId="11" fillId="4" borderId="0" xfId="0" applyFont="1" applyFill="1"/>
    <xf numFmtId="49" fontId="3" fillId="2" borderId="12" xfId="0" quotePrefix="1" applyNumberFormat="1" applyFont="1" applyFill="1" applyBorder="1" applyAlignment="1">
      <alignment horizontal="left" wrapText="1"/>
    </xf>
    <xf numFmtId="1" fontId="3" fillId="2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9" fontId="3" fillId="7" borderId="1" xfId="0" applyNumberFormat="1" applyFont="1" applyFill="1" applyBorder="1" applyAlignment="1">
      <alignment horizontal="center" wrapText="1"/>
    </xf>
    <xf numFmtId="49" fontId="3" fillId="7" borderId="12" xfId="0" applyNumberFormat="1" applyFont="1" applyFill="1" applyBorder="1" applyAlignment="1">
      <alignment horizontal="center" wrapText="1"/>
    </xf>
    <xf numFmtId="1" fontId="3" fillId="7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/>
    </xf>
    <xf numFmtId="1" fontId="15" fillId="4" borderId="5" xfId="0" applyNumberFormat="1" applyFont="1" applyFill="1" applyBorder="1" applyAlignment="1">
      <alignment horizontal="center"/>
    </xf>
    <xf numFmtId="0" fontId="16" fillId="0" borderId="2" xfId="0" applyFont="1" applyFill="1" applyBorder="1"/>
    <xf numFmtId="1" fontId="15" fillId="0" borderId="5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/>
    </xf>
    <xf numFmtId="0" fontId="16" fillId="0" borderId="5" xfId="0" applyFont="1" applyBorder="1"/>
    <xf numFmtId="1" fontId="1" fillId="0" borderId="14" xfId="0" applyNumberFormat="1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/>
    </xf>
    <xf numFmtId="0" fontId="16" fillId="0" borderId="0" xfId="0" applyFont="1"/>
    <xf numFmtId="1" fontId="16" fillId="0" borderId="12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0" fontId="3" fillId="0" borderId="12" xfId="1" applyFont="1" applyBorder="1" applyAlignment="1">
      <alignment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left" vertical="center" wrapText="1"/>
    </xf>
    <xf numFmtId="1" fontId="3" fillId="6" borderId="12" xfId="0" applyNumberFormat="1" applyFont="1" applyFill="1" applyBorder="1" applyAlignment="1">
      <alignment horizontal="left" vertical="center" wrapText="1"/>
    </xf>
  </cellXfs>
  <cellStyles count="6">
    <cellStyle name="Moneda" xfId="3" builtinId="4"/>
    <cellStyle name="Moneda 2" xfId="4"/>
    <cellStyle name="Moneda_programacion de compromiso 029 hasta el 09-11-2012" xfId="2"/>
    <cellStyle name="Normal" xfId="0" builtinId="0"/>
    <cellStyle name="Normal 2 2" xfId="1"/>
    <cellStyle name="Normal 8" xfId="5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343477</xdr:colOff>
      <xdr:row>0</xdr:row>
      <xdr:rowOff>93602</xdr:rowOff>
    </xdr:from>
    <xdr:to>
      <xdr:col>3</xdr:col>
      <xdr:colOff>1091869</xdr:colOff>
      <xdr:row>4</xdr:row>
      <xdr:rowOff>101263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372341" y="93602"/>
          <a:ext cx="5554187" cy="1205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C461"/>
  <sheetViews>
    <sheetView tabSelected="1" zoomScale="70" zoomScaleNormal="70" zoomScaleSheetLayoutView="40" workbookViewId="0">
      <selection activeCell="H16" sqref="H16:S16"/>
    </sheetView>
  </sheetViews>
  <sheetFormatPr baseColWidth="10" defaultRowHeight="15"/>
  <cols>
    <col min="1" max="1" width="0.42578125" customWidth="1"/>
    <col min="2" max="2" width="44.28515625" customWidth="1"/>
    <col min="3" max="3" width="27.7109375" style="275" bestFit="1" customWidth="1"/>
    <col min="4" max="4" width="32.5703125" style="232" customWidth="1"/>
    <col min="5" max="5" width="32.5703125" customWidth="1"/>
    <col min="6" max="6" width="28.85546875" customWidth="1"/>
    <col min="7" max="7" width="22.140625" customWidth="1"/>
    <col min="8" max="8" width="19.28515625" customWidth="1"/>
    <col min="9" max="10" width="17.5703125" customWidth="1"/>
    <col min="11" max="11" width="17.85546875" customWidth="1"/>
    <col min="12" max="12" width="17.7109375" customWidth="1"/>
    <col min="13" max="13" width="17.85546875" bestFit="1" customWidth="1"/>
    <col min="14" max="15" width="18.140625" bestFit="1" customWidth="1"/>
    <col min="16" max="16" width="18.7109375" customWidth="1"/>
    <col min="17" max="17" width="18.140625" bestFit="1" customWidth="1"/>
    <col min="18" max="18" width="17.7109375" bestFit="1" customWidth="1"/>
    <col min="19" max="19" width="19" customWidth="1"/>
    <col min="20" max="20" width="21.85546875" customWidth="1"/>
    <col min="21" max="21" width="16.5703125" customWidth="1"/>
    <col min="22" max="22" width="15.140625" customWidth="1"/>
    <col min="23" max="24" width="19.85546875" customWidth="1"/>
    <col min="28" max="28" width="11.42578125" customWidth="1"/>
  </cols>
  <sheetData>
    <row r="1" spans="2:22" s="148" customFormat="1" ht="14.25">
      <c r="B1" s="146"/>
      <c r="C1" s="252"/>
      <c r="D1" s="228"/>
      <c r="E1" s="147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2:22" s="148" customFormat="1">
      <c r="B2" s="146"/>
      <c r="C2" s="252"/>
      <c r="D2" s="228"/>
      <c r="E2" s="147"/>
      <c r="F2"/>
      <c r="G2"/>
      <c r="H2"/>
      <c r="I2"/>
      <c r="J2"/>
      <c r="K2"/>
      <c r="L2"/>
      <c r="M2"/>
      <c r="N2"/>
      <c r="O2" s="195"/>
      <c r="P2" s="149"/>
      <c r="Q2" s="149"/>
      <c r="R2" s="149"/>
      <c r="S2" s="149"/>
    </row>
    <row r="3" spans="2:22" s="148" customFormat="1">
      <c r="B3" s="150"/>
      <c r="C3" s="253"/>
      <c r="D3" s="229"/>
      <c r="E3" s="150"/>
      <c r="G3" s="149"/>
      <c r="H3" s="149"/>
      <c r="I3" s="149"/>
      <c r="J3" s="149"/>
      <c r="K3"/>
      <c r="L3"/>
      <c r="M3"/>
      <c r="N3"/>
      <c r="O3" s="149"/>
      <c r="P3" s="149"/>
      <c r="Q3" s="149"/>
      <c r="R3" s="149"/>
      <c r="S3" s="149"/>
    </row>
    <row r="4" spans="2:22" s="148" customFormat="1" ht="49.5" customHeight="1">
      <c r="B4" s="279" t="s">
        <v>96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</row>
    <row r="5" spans="2:22" s="148" customFormat="1" ht="20.25">
      <c r="B5" s="151"/>
      <c r="C5" s="254"/>
      <c r="D5" s="230"/>
      <c r="E5" s="152"/>
      <c r="F5" s="280" t="s">
        <v>84</v>
      </c>
      <c r="G5" s="280"/>
      <c r="H5" s="280"/>
      <c r="I5" s="280"/>
      <c r="J5" s="280"/>
      <c r="K5" s="280"/>
      <c r="L5" s="280"/>
      <c r="M5" s="280"/>
      <c r="N5" s="153"/>
      <c r="O5" s="153"/>
      <c r="P5" s="153"/>
      <c r="Q5" s="153"/>
      <c r="R5" s="153"/>
      <c r="S5" s="153"/>
    </row>
    <row r="6" spans="2:22" s="148" customFormat="1" ht="60">
      <c r="B6" s="151" t="s">
        <v>97</v>
      </c>
      <c r="C6" s="254"/>
      <c r="D6" s="230"/>
      <c r="E6" s="152"/>
      <c r="F6" s="154"/>
      <c r="G6" s="154"/>
      <c r="H6" s="154"/>
      <c r="I6" s="154"/>
      <c r="J6" s="154"/>
      <c r="K6" s="154"/>
      <c r="L6" s="154"/>
      <c r="M6" s="154"/>
      <c r="N6" s="153"/>
      <c r="O6" s="153"/>
      <c r="P6" s="153"/>
      <c r="Q6" s="153"/>
      <c r="R6" s="153"/>
      <c r="S6" s="153"/>
    </row>
    <row r="7" spans="2:22" s="148" customFormat="1" ht="20.25">
      <c r="B7" s="151" t="s">
        <v>84</v>
      </c>
      <c r="C7" s="254"/>
      <c r="D7" s="230"/>
      <c r="E7" s="152"/>
      <c r="F7" s="154"/>
      <c r="G7" s="154"/>
      <c r="H7" s="154"/>
      <c r="I7" s="154"/>
      <c r="J7" s="154"/>
      <c r="K7" s="154"/>
      <c r="L7" s="154"/>
      <c r="M7" s="154"/>
      <c r="N7" s="153"/>
      <c r="O7" s="153"/>
      <c r="P7" s="153"/>
      <c r="Q7" s="153"/>
      <c r="R7" s="153"/>
      <c r="S7" s="153"/>
    </row>
    <row r="8" spans="2:22" s="148" customFormat="1" ht="30">
      <c r="B8" s="155" t="s">
        <v>85</v>
      </c>
      <c r="C8" s="255"/>
      <c r="D8" s="231"/>
      <c r="E8" s="150"/>
      <c r="G8" s="156"/>
      <c r="H8" s="156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</row>
    <row r="9" spans="2:22" s="148" customFormat="1">
      <c r="B9" s="155" t="s">
        <v>98</v>
      </c>
      <c r="C9" s="255"/>
      <c r="D9" s="231"/>
      <c r="E9" s="150"/>
      <c r="G9" s="149"/>
      <c r="H9" s="149"/>
      <c r="I9" s="149"/>
      <c r="J9" s="149"/>
      <c r="K9" s="149"/>
      <c r="L9" s="149"/>
      <c r="M9" s="149"/>
      <c r="N9" s="149"/>
      <c r="O9" s="156"/>
      <c r="P9" s="149"/>
      <c r="Q9" s="246"/>
      <c r="R9" s="246"/>
      <c r="S9" s="247"/>
      <c r="T9" s="246"/>
    </row>
    <row r="10" spans="2:22" s="160" customFormat="1">
      <c r="B10" s="157" t="s">
        <v>0</v>
      </c>
      <c r="C10" s="284" t="s">
        <v>5</v>
      </c>
      <c r="D10" s="157" t="s">
        <v>1</v>
      </c>
      <c r="E10" s="157" t="s">
        <v>99</v>
      </c>
      <c r="F10" s="157" t="s">
        <v>2</v>
      </c>
      <c r="G10" s="157" t="s">
        <v>3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9"/>
    </row>
    <row r="11" spans="2:22" s="160" customFormat="1" ht="25.5" customHeight="1">
      <c r="B11" s="281" t="s">
        <v>4</v>
      </c>
      <c r="C11" s="285"/>
      <c r="D11" s="1" t="s">
        <v>6</v>
      </c>
      <c r="E11" s="176" t="s">
        <v>7</v>
      </c>
      <c r="F11" s="1" t="s">
        <v>8</v>
      </c>
      <c r="G11" s="1" t="s">
        <v>9</v>
      </c>
      <c r="H11" s="282" t="s">
        <v>100</v>
      </c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3"/>
    </row>
    <row r="12" spans="2:22" s="160" customFormat="1" ht="15.75" customHeight="1">
      <c r="B12" s="281"/>
      <c r="C12" s="285"/>
      <c r="D12" s="1"/>
      <c r="E12" s="177" t="s">
        <v>10</v>
      </c>
      <c r="F12" s="161"/>
      <c r="G12" s="161"/>
      <c r="H12" s="161" t="s">
        <v>11</v>
      </c>
      <c r="I12" s="161" t="s">
        <v>12</v>
      </c>
      <c r="J12" s="161" t="s">
        <v>13</v>
      </c>
      <c r="K12" s="161" t="s">
        <v>14</v>
      </c>
      <c r="L12" s="161" t="s">
        <v>15</v>
      </c>
      <c r="M12" s="161" t="s">
        <v>16</v>
      </c>
      <c r="N12" s="161" t="s">
        <v>17</v>
      </c>
      <c r="O12" s="161" t="s">
        <v>18</v>
      </c>
      <c r="P12" s="161" t="s">
        <v>19</v>
      </c>
      <c r="Q12" s="161" t="s">
        <v>20</v>
      </c>
      <c r="R12" s="161" t="s">
        <v>21</v>
      </c>
      <c r="S12" s="161" t="s">
        <v>22</v>
      </c>
    </row>
    <row r="13" spans="2:22" ht="15.75" thickBot="1">
      <c r="B13" s="173" t="s">
        <v>103</v>
      </c>
      <c r="C13" s="258">
        <f>C20+C163+C232+C309+C327+C367+C393+C443+C144</f>
        <v>195</v>
      </c>
      <c r="D13" s="173"/>
      <c r="E13" s="162"/>
      <c r="F13" s="162"/>
      <c r="G13" s="164">
        <f>SUM(G17+G141+G160+G229+G306+G324+G364+G440+G390)</f>
        <v>17382047</v>
      </c>
      <c r="H13" s="5">
        <f>SUM(H16+H410+H423)+H439</f>
        <v>705193.51</v>
      </c>
      <c r="I13" s="5">
        <f>SUM(I16+I410+I423)+I439</f>
        <v>1462129.02</v>
      </c>
      <c r="J13" s="5">
        <f>SUM(J16+J410+J423)+J439</f>
        <v>1468304.72</v>
      </c>
      <c r="K13" s="5">
        <f>SUM(K16+K410+K423)+K439</f>
        <v>1301043.07</v>
      </c>
      <c r="L13" s="5">
        <f>SUM(L16+L410+L423)+L439</f>
        <v>1430322.58</v>
      </c>
      <c r="M13" s="5">
        <f>SUM(M16+M410+M423)+M439</f>
        <v>1505580.65</v>
      </c>
      <c r="N13" s="5">
        <f>SUM(N16+N410+N423+N439)</f>
        <v>1438000</v>
      </c>
      <c r="O13" s="5">
        <f>SUM(O16+O410+O423)+O439</f>
        <v>1598193.56</v>
      </c>
      <c r="P13" s="5">
        <f>SUM(P16+P410+P423)+P439</f>
        <v>1509693.56</v>
      </c>
      <c r="Q13" s="5">
        <f>SUM(Q16+Q410+Q423)+Q439</f>
        <v>1551750</v>
      </c>
      <c r="R13" s="5">
        <f>SUM(R16+R410+R423)+R439</f>
        <v>1673032.79</v>
      </c>
      <c r="S13" s="5">
        <f>SUM(S16+S410+S423+S439)</f>
        <v>1573800</v>
      </c>
      <c r="T13" s="78"/>
      <c r="U13" s="78"/>
    </row>
    <row r="14" spans="2:22" ht="16.5" thickTop="1" thickBot="1">
      <c r="B14" s="173" t="s">
        <v>95</v>
      </c>
      <c r="C14" s="256"/>
      <c r="D14" s="202"/>
      <c r="E14" s="163"/>
      <c r="F14" s="163"/>
      <c r="G14" s="172">
        <f>G18+G142+G161+G230+G307+G325+G365+G391+G441</f>
        <v>17217043.460000001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2:22" ht="16.5" thickTop="1" thickBot="1">
      <c r="B15" s="173" t="s">
        <v>101</v>
      </c>
      <c r="C15" s="257"/>
      <c r="D15" s="173"/>
      <c r="E15" s="162"/>
      <c r="F15" s="162"/>
      <c r="G15" s="172">
        <f>SUM(G19,G143,G162,G231,G308,G326,G366,G392,G442)</f>
        <v>165003.54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22" ht="30" thickTop="1" thickBot="1">
      <c r="B16" s="277" t="s">
        <v>25</v>
      </c>
      <c r="C16" s="251"/>
      <c r="D16" s="194"/>
      <c r="E16" s="6"/>
      <c r="F16" s="4"/>
      <c r="G16" s="241">
        <f>+G20+G144+G163+G232+G309+G327+G367+G393</f>
        <v>15884825.1</v>
      </c>
      <c r="H16" s="5">
        <f>+H20+H144+H163+H232+H309+H327+H367+H393</f>
        <v>705193.51</v>
      </c>
      <c r="I16" s="5">
        <f>+I20+I144+I163+I232+I309+I327+I367+I393</f>
        <v>1289887.0900000001</v>
      </c>
      <c r="J16" s="5">
        <f>+J20+J144+J163+J232+J309+J327+J367+J393</f>
        <v>1334626.1499999999</v>
      </c>
      <c r="K16" s="5">
        <f>+K20+K144+K163+K232+K309+K327+K367+K393</f>
        <v>1201809.73</v>
      </c>
      <c r="L16" s="5">
        <f>+L20+L144+L163+L232+L309+L327+L367+L393</f>
        <v>1315822.58</v>
      </c>
      <c r="M16" s="5">
        <f>+M20+M144+M163+M232+M309+M327+M367+M393</f>
        <v>1384080.65</v>
      </c>
      <c r="N16" s="5">
        <f>+N20+N144+N163+N232+N309+N327+N367+N393</f>
        <v>1316500</v>
      </c>
      <c r="O16" s="5">
        <f>+O20+O144+O163+O232+O309+O327+O367+O393</f>
        <v>1483693.56</v>
      </c>
      <c r="P16" s="5">
        <f>+P20+P144+P163+P232+P309+P327+P367+P393</f>
        <v>1395193.56</v>
      </c>
      <c r="Q16" s="5">
        <f>+Q20+Q144+Q163+Q232+Q309+Q327+Q367+Q393</f>
        <v>1437250</v>
      </c>
      <c r="R16" s="5">
        <f>+R20+R144+R163+R232+R309+R327+R367+R393</f>
        <v>1561468.27</v>
      </c>
      <c r="S16" s="5">
        <f>+S20+S144+S163+S232+S309+S327+S367+S393</f>
        <v>1459300</v>
      </c>
      <c r="T16" s="78"/>
      <c r="U16" s="78"/>
      <c r="V16" s="78"/>
    </row>
    <row r="17" spans="2:38" ht="15.75" thickTop="1">
      <c r="B17" s="286" t="s">
        <v>26</v>
      </c>
      <c r="C17" s="8"/>
      <c r="D17" s="203"/>
      <c r="E17" s="9"/>
      <c r="F17" s="108" t="s">
        <v>23</v>
      </c>
      <c r="G17" s="106">
        <f>G18+G19</f>
        <v>6318805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38">
      <c r="B18" s="286"/>
      <c r="C18" s="105"/>
      <c r="D18" s="204"/>
      <c r="E18" s="9"/>
      <c r="F18" s="108" t="s">
        <v>95</v>
      </c>
      <c r="G18" s="106">
        <f>G20</f>
        <v>6269104.96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38" ht="30">
      <c r="B19" s="286"/>
      <c r="C19" s="8"/>
      <c r="D19" s="204"/>
      <c r="E19" s="9"/>
      <c r="F19" s="108" t="s">
        <v>24</v>
      </c>
      <c r="G19" s="106">
        <f>G139</f>
        <v>49700.04</v>
      </c>
      <c r="H19" s="11"/>
      <c r="I19" s="11"/>
      <c r="J19" s="11"/>
      <c r="K19" s="11"/>
      <c r="L19" s="11"/>
      <c r="M19" s="11"/>
      <c r="N19" s="11"/>
      <c r="O19" s="233"/>
      <c r="P19" s="234"/>
      <c r="Q19" s="29"/>
      <c r="R19" s="11"/>
      <c r="S19" s="11"/>
    </row>
    <row r="20" spans="2:38" ht="29.25" customHeight="1" thickBot="1">
      <c r="B20" s="278" t="s">
        <v>27</v>
      </c>
      <c r="C20" s="242">
        <f>SUM(C21:C138)</f>
        <v>67</v>
      </c>
      <c r="D20" s="205"/>
      <c r="E20" s="13"/>
      <c r="F20" s="10"/>
      <c r="G20" s="16">
        <f>SUM(G21:G138)</f>
        <v>6269104.96</v>
      </c>
      <c r="H20" s="14">
        <f t="shared" ref="H20:M20" si="0">SUM(H21:H139)</f>
        <v>251322.56</v>
      </c>
      <c r="I20" s="14">
        <f t="shared" si="0"/>
        <v>383249.99</v>
      </c>
      <c r="J20" s="14">
        <f t="shared" si="0"/>
        <v>489767.86</v>
      </c>
      <c r="K20" s="14">
        <f t="shared" si="0"/>
        <v>439681.74</v>
      </c>
      <c r="L20" s="14">
        <f t="shared" si="0"/>
        <v>476000</v>
      </c>
      <c r="M20" s="14">
        <f t="shared" si="0"/>
        <v>524870.97</v>
      </c>
      <c r="N20" s="14">
        <f>SUM(N21:N138)</f>
        <v>534000</v>
      </c>
      <c r="O20" s="14">
        <f>SUM(O21:O139)</f>
        <v>610548.39</v>
      </c>
      <c r="P20" s="14">
        <f>SUM(P21:P139)</f>
        <v>581822.59</v>
      </c>
      <c r="Q20" s="14">
        <f>SUM(Q21:Q139)</f>
        <v>645750</v>
      </c>
      <c r="R20" s="14">
        <f>SUM(R21:R139)</f>
        <v>696290.86</v>
      </c>
      <c r="S20" s="14">
        <f>SUM(S21:S139)</f>
        <v>635800</v>
      </c>
      <c r="T20" s="78"/>
      <c r="U20" s="78"/>
      <c r="V20" s="78"/>
    </row>
    <row r="21" spans="2:38" s="86" customFormat="1" ht="15" customHeight="1" thickTop="1">
      <c r="B21" s="81"/>
      <c r="C21" s="82">
        <v>0</v>
      </c>
      <c r="D21" s="206" t="s">
        <v>28</v>
      </c>
      <c r="E21" s="83" t="s">
        <v>29</v>
      </c>
      <c r="F21" s="19">
        <v>6000</v>
      </c>
      <c r="G21" s="84">
        <f t="shared" ref="G21:G50" si="1">SUM(H21:S21)</f>
        <v>17419.349999999999</v>
      </c>
      <c r="H21" s="84">
        <v>5419.35</v>
      </c>
      <c r="I21" s="84">
        <f>6000*1</f>
        <v>6000</v>
      </c>
      <c r="J21" s="85">
        <v>6000</v>
      </c>
      <c r="K21" s="84">
        <v>0</v>
      </c>
      <c r="L21" s="84">
        <v>0</v>
      </c>
      <c r="M21" s="84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2:38" s="86" customFormat="1" ht="15" customHeight="1">
      <c r="B22" s="81"/>
      <c r="C22" s="82">
        <v>0</v>
      </c>
      <c r="D22" s="206" t="s">
        <v>28</v>
      </c>
      <c r="E22" s="83" t="s">
        <v>29</v>
      </c>
      <c r="F22" s="19">
        <v>8000</v>
      </c>
      <c r="G22" s="84">
        <f t="shared" si="1"/>
        <v>23225.81</v>
      </c>
      <c r="H22" s="84">
        <v>7225.81</v>
      </c>
      <c r="I22" s="84">
        <f>8000*1</f>
        <v>8000</v>
      </c>
      <c r="J22" s="85">
        <v>8000</v>
      </c>
      <c r="K22" s="84">
        <v>0</v>
      </c>
      <c r="L22" s="84">
        <v>0</v>
      </c>
      <c r="M22" s="84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2:38" s="86" customFormat="1" ht="15" customHeight="1">
      <c r="B23" s="81"/>
      <c r="C23" s="82">
        <v>0</v>
      </c>
      <c r="D23" s="206" t="s">
        <v>28</v>
      </c>
      <c r="E23" s="83" t="s">
        <v>29</v>
      </c>
      <c r="F23" s="19">
        <v>9000</v>
      </c>
      <c r="G23" s="84">
        <f t="shared" si="1"/>
        <v>26129.03</v>
      </c>
      <c r="H23" s="84">
        <v>8129.03</v>
      </c>
      <c r="I23" s="84">
        <f>9000*1</f>
        <v>9000</v>
      </c>
      <c r="J23" s="85">
        <f>F23</f>
        <v>9000</v>
      </c>
      <c r="K23" s="84">
        <v>0</v>
      </c>
      <c r="L23" s="84">
        <v>0</v>
      </c>
      <c r="M23" s="84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2:38" s="86" customFormat="1" ht="15" customHeight="1">
      <c r="B24" s="81"/>
      <c r="C24" s="82">
        <v>0</v>
      </c>
      <c r="D24" s="206" t="s">
        <v>28</v>
      </c>
      <c r="E24" s="83" t="s">
        <v>29</v>
      </c>
      <c r="F24" s="19">
        <v>10000</v>
      </c>
      <c r="G24" s="84">
        <f t="shared" si="1"/>
        <v>38064.519999999997</v>
      </c>
      <c r="H24" s="84">
        <v>18064.52</v>
      </c>
      <c r="I24" s="84">
        <v>20000</v>
      </c>
      <c r="J24" s="85">
        <v>10000</v>
      </c>
      <c r="K24" s="84">
        <v>0</v>
      </c>
      <c r="L24" s="84">
        <v>0</v>
      </c>
      <c r="M24" s="26">
        <f>-(10000)</f>
        <v>-10000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</row>
    <row r="25" spans="2:38" s="86" customFormat="1" ht="15" customHeight="1">
      <c r="B25" s="81"/>
      <c r="C25" s="82">
        <v>0</v>
      </c>
      <c r="D25" s="206" t="s">
        <v>28</v>
      </c>
      <c r="E25" s="83" t="s">
        <v>29</v>
      </c>
      <c r="F25" s="19">
        <v>12000</v>
      </c>
      <c r="G25" s="84">
        <f t="shared" si="1"/>
        <v>139354.84</v>
      </c>
      <c r="H25" s="84">
        <v>43354.84</v>
      </c>
      <c r="I25" s="84">
        <f>12000*4</f>
        <v>48000</v>
      </c>
      <c r="J25" s="85">
        <f>12000*4</f>
        <v>48000</v>
      </c>
      <c r="K25" s="84">
        <v>0</v>
      </c>
      <c r="L25" s="84">
        <v>0</v>
      </c>
      <c r="M25" s="84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2:38" s="86" customFormat="1" ht="15" customHeight="1">
      <c r="B26" s="81"/>
      <c r="C26" s="82">
        <v>0</v>
      </c>
      <c r="D26" s="206" t="s">
        <v>28</v>
      </c>
      <c r="E26" s="83" t="s">
        <v>29</v>
      </c>
      <c r="F26" s="19">
        <v>15000</v>
      </c>
      <c r="G26" s="84">
        <f t="shared" si="1"/>
        <v>43548.39</v>
      </c>
      <c r="H26" s="84">
        <v>13548.39</v>
      </c>
      <c r="I26" s="84">
        <f>15000*1</f>
        <v>15000</v>
      </c>
      <c r="J26" s="85">
        <f t="shared" ref="J26:J45" si="2">F26</f>
        <v>15000</v>
      </c>
      <c r="K26" s="84">
        <v>0</v>
      </c>
      <c r="L26" s="84">
        <v>0</v>
      </c>
      <c r="M26" s="84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2:38" s="86" customFormat="1" ht="15" customHeight="1">
      <c r="B27" s="81"/>
      <c r="C27" s="82">
        <v>0</v>
      </c>
      <c r="D27" s="206" t="s">
        <v>28</v>
      </c>
      <c r="E27" s="83" t="s">
        <v>29</v>
      </c>
      <c r="F27" s="19">
        <v>18000</v>
      </c>
      <c r="G27" s="84">
        <f t="shared" si="1"/>
        <v>104516.12</v>
      </c>
      <c r="H27" s="84">
        <v>32516.12</v>
      </c>
      <c r="I27" s="84">
        <f>18000*2</f>
        <v>36000</v>
      </c>
      <c r="J27" s="85">
        <f>18000*2</f>
        <v>36000</v>
      </c>
      <c r="K27" s="84">
        <v>0</v>
      </c>
      <c r="L27" s="84">
        <v>0</v>
      </c>
      <c r="M27" s="84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2:38" s="86" customFormat="1" ht="15" customHeight="1">
      <c r="B28" s="81"/>
      <c r="C28" s="82">
        <v>0</v>
      </c>
      <c r="D28" s="206" t="s">
        <v>28</v>
      </c>
      <c r="E28" s="83" t="s">
        <v>30</v>
      </c>
      <c r="F28" s="19">
        <v>12000</v>
      </c>
      <c r="G28" s="84">
        <f t="shared" si="1"/>
        <v>34838.699999999997</v>
      </c>
      <c r="H28" s="84">
        <v>10838.7</v>
      </c>
      <c r="I28" s="84">
        <f>12000*1</f>
        <v>12000</v>
      </c>
      <c r="J28" s="85">
        <f t="shared" si="2"/>
        <v>12000</v>
      </c>
      <c r="K28" s="84">
        <v>0</v>
      </c>
      <c r="L28" s="84">
        <v>0</v>
      </c>
      <c r="M28" s="84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2:38" s="86" customFormat="1" ht="15" customHeight="1">
      <c r="B29" s="81"/>
      <c r="C29" s="82">
        <v>0</v>
      </c>
      <c r="D29" s="206" t="s">
        <v>28</v>
      </c>
      <c r="E29" s="83" t="s">
        <v>30</v>
      </c>
      <c r="F29" s="19">
        <v>5000</v>
      </c>
      <c r="G29" s="84">
        <f t="shared" si="1"/>
        <v>43548.38</v>
      </c>
      <c r="H29" s="84">
        <v>13548.38</v>
      </c>
      <c r="I29" s="84">
        <f>5000*3</f>
        <v>15000</v>
      </c>
      <c r="J29" s="85">
        <f>5000*3</f>
        <v>15000</v>
      </c>
      <c r="K29" s="84">
        <v>0</v>
      </c>
      <c r="L29" s="84">
        <v>0</v>
      </c>
      <c r="M29" s="84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2:38" s="86" customFormat="1" ht="15" customHeight="1">
      <c r="B30" s="81"/>
      <c r="C30" s="82">
        <v>0</v>
      </c>
      <c r="D30" s="206" t="s">
        <v>28</v>
      </c>
      <c r="E30" s="83" t="s">
        <v>30</v>
      </c>
      <c r="F30" s="19">
        <v>6000</v>
      </c>
      <c r="G30" s="84">
        <f t="shared" si="1"/>
        <v>52258.06</v>
      </c>
      <c r="H30" s="84">
        <v>16258.06</v>
      </c>
      <c r="I30" s="84">
        <f>6000*3</f>
        <v>18000</v>
      </c>
      <c r="J30" s="85">
        <f>6000*3</f>
        <v>18000</v>
      </c>
      <c r="K30" s="84">
        <v>0</v>
      </c>
      <c r="L30" s="84">
        <v>0</v>
      </c>
      <c r="M30" s="84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2:38" s="86" customFormat="1" ht="15" customHeight="1">
      <c r="B31" s="81"/>
      <c r="C31" s="82">
        <v>0</v>
      </c>
      <c r="D31" s="206" t="s">
        <v>28</v>
      </c>
      <c r="E31" s="83" t="s">
        <v>30</v>
      </c>
      <c r="F31" s="19">
        <v>6500</v>
      </c>
      <c r="G31" s="84">
        <f t="shared" si="1"/>
        <v>18870.97</v>
      </c>
      <c r="H31" s="84">
        <v>5870.97</v>
      </c>
      <c r="I31" s="84">
        <f>6500*1</f>
        <v>6500</v>
      </c>
      <c r="J31" s="85">
        <f t="shared" si="2"/>
        <v>6500</v>
      </c>
      <c r="K31" s="84">
        <v>0</v>
      </c>
      <c r="L31" s="84">
        <v>0</v>
      </c>
      <c r="M31" s="84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2:38" s="86" customFormat="1" ht="15" customHeight="1">
      <c r="B32" s="81"/>
      <c r="C32" s="82">
        <v>0</v>
      </c>
      <c r="D32" s="206" t="s">
        <v>28</v>
      </c>
      <c r="E32" s="83" t="s">
        <v>30</v>
      </c>
      <c r="F32" s="19">
        <v>6750</v>
      </c>
      <c r="G32" s="84">
        <f t="shared" si="1"/>
        <v>8507.48</v>
      </c>
      <c r="H32" s="84">
        <v>6096.77</v>
      </c>
      <c r="I32" s="84">
        <v>0</v>
      </c>
      <c r="J32" s="45">
        <v>2410.71</v>
      </c>
      <c r="K32" s="84">
        <v>0</v>
      </c>
      <c r="L32" s="84">
        <v>0</v>
      </c>
      <c r="M32" s="84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2:283" s="86" customFormat="1" ht="15" customHeight="1">
      <c r="B33" s="81"/>
      <c r="C33" s="82">
        <v>0</v>
      </c>
      <c r="D33" s="206" t="s">
        <v>28</v>
      </c>
      <c r="E33" s="83" t="s">
        <v>30</v>
      </c>
      <c r="F33" s="19">
        <v>7000</v>
      </c>
      <c r="G33" s="84">
        <f t="shared" si="1"/>
        <v>101612.91</v>
      </c>
      <c r="H33" s="84">
        <v>31612.91</v>
      </c>
      <c r="I33" s="84">
        <f>7000*5</f>
        <v>35000</v>
      </c>
      <c r="J33" s="85">
        <f>7000*5</f>
        <v>35000</v>
      </c>
      <c r="K33" s="84">
        <v>0</v>
      </c>
      <c r="L33" s="84">
        <v>0</v>
      </c>
      <c r="M33" s="84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2:283" s="86" customFormat="1" ht="15" customHeight="1">
      <c r="B34" s="81"/>
      <c r="C34" s="82">
        <v>0</v>
      </c>
      <c r="D34" s="206" t="s">
        <v>31</v>
      </c>
      <c r="E34" s="83" t="s">
        <v>30</v>
      </c>
      <c r="F34" s="19">
        <v>7000</v>
      </c>
      <c r="G34" s="84">
        <f t="shared" si="1"/>
        <v>6322.58</v>
      </c>
      <c r="H34" s="84">
        <v>6322.58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2:283" s="86" customFormat="1" ht="15" customHeight="1">
      <c r="B35" s="81"/>
      <c r="C35" s="82">
        <v>0</v>
      </c>
      <c r="D35" s="206" t="s">
        <v>28</v>
      </c>
      <c r="E35" s="83" t="s">
        <v>30</v>
      </c>
      <c r="F35" s="19">
        <v>8000</v>
      </c>
      <c r="G35" s="84">
        <f t="shared" si="1"/>
        <v>23225.81</v>
      </c>
      <c r="H35" s="84">
        <v>7225.81</v>
      </c>
      <c r="I35" s="84">
        <f>8000*1</f>
        <v>8000</v>
      </c>
      <c r="J35" s="85">
        <f t="shared" si="2"/>
        <v>8000</v>
      </c>
      <c r="K35" s="84">
        <v>0</v>
      </c>
      <c r="L35" s="84">
        <v>0</v>
      </c>
      <c r="M35" s="84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2:283" s="86" customFormat="1" ht="15" customHeight="1">
      <c r="B36" s="81"/>
      <c r="C36" s="82">
        <v>0</v>
      </c>
      <c r="D36" s="206" t="s">
        <v>28</v>
      </c>
      <c r="E36" s="83" t="s">
        <v>30</v>
      </c>
      <c r="F36" s="19">
        <v>9000</v>
      </c>
      <c r="G36" s="84">
        <f t="shared" si="1"/>
        <v>43258.06</v>
      </c>
      <c r="H36" s="84">
        <v>16258.06</v>
      </c>
      <c r="I36" s="84">
        <f>9000*2</f>
        <v>18000</v>
      </c>
      <c r="J36" s="85">
        <v>9000</v>
      </c>
      <c r="K36" s="84">
        <v>0</v>
      </c>
      <c r="L36" s="84">
        <v>0</v>
      </c>
      <c r="M36" s="84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2:283" s="86" customFormat="1" ht="15" customHeight="1">
      <c r="B37" s="81"/>
      <c r="C37" s="82">
        <v>0</v>
      </c>
      <c r="D37" s="206" t="s">
        <v>28</v>
      </c>
      <c r="E37" s="83" t="s">
        <v>30</v>
      </c>
      <c r="F37" s="19">
        <v>10000</v>
      </c>
      <c r="G37" s="84">
        <f t="shared" si="1"/>
        <v>29032.26</v>
      </c>
      <c r="H37" s="84">
        <v>9032.26</v>
      </c>
      <c r="I37" s="84">
        <f>10000*1</f>
        <v>10000</v>
      </c>
      <c r="J37" s="85">
        <f t="shared" si="2"/>
        <v>10000</v>
      </c>
      <c r="K37" s="84">
        <v>0</v>
      </c>
      <c r="L37" s="84">
        <v>0</v>
      </c>
      <c r="M37" s="84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2:283" s="86" customFormat="1" ht="15" customHeight="1">
      <c r="B38" s="81"/>
      <c r="C38" s="82">
        <v>0</v>
      </c>
      <c r="D38" s="206" t="s">
        <v>28</v>
      </c>
      <c r="E38" s="83" t="s">
        <v>30</v>
      </c>
      <c r="F38" s="19">
        <v>5000</v>
      </c>
      <c r="G38" s="84">
        <f t="shared" si="1"/>
        <v>14516.13</v>
      </c>
      <c r="H38" s="84">
        <v>0</v>
      </c>
      <c r="I38" s="84">
        <v>9516.1299999999992</v>
      </c>
      <c r="J38" s="85">
        <f t="shared" si="2"/>
        <v>5000</v>
      </c>
      <c r="K38" s="84">
        <v>0</v>
      </c>
      <c r="L38" s="84">
        <v>0</v>
      </c>
      <c r="M38" s="84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2:283" s="86" customFormat="1" ht="15" customHeight="1">
      <c r="B39" s="81"/>
      <c r="C39" s="82">
        <v>0</v>
      </c>
      <c r="D39" s="206" t="s">
        <v>33</v>
      </c>
      <c r="E39" s="83" t="s">
        <v>30</v>
      </c>
      <c r="F39" s="19">
        <v>7000</v>
      </c>
      <c r="G39" s="84">
        <f t="shared" si="1"/>
        <v>12250</v>
      </c>
      <c r="H39" s="84">
        <v>0</v>
      </c>
      <c r="I39" s="84">
        <v>5250</v>
      </c>
      <c r="J39" s="85">
        <f t="shared" si="2"/>
        <v>7000</v>
      </c>
      <c r="K39" s="84">
        <v>0</v>
      </c>
      <c r="L39" s="84">
        <v>0</v>
      </c>
      <c r="M39" s="84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2:283" s="86" customFormat="1" ht="15" customHeight="1">
      <c r="B40" s="81"/>
      <c r="C40" s="82">
        <v>0</v>
      </c>
      <c r="D40" s="206" t="s">
        <v>36</v>
      </c>
      <c r="E40" s="83" t="s">
        <v>30</v>
      </c>
      <c r="F40" s="19">
        <v>8000</v>
      </c>
      <c r="G40" s="84">
        <f t="shared" si="1"/>
        <v>19612.900000000001</v>
      </c>
      <c r="H40" s="84">
        <v>0</v>
      </c>
      <c r="I40" s="84">
        <v>11612.9</v>
      </c>
      <c r="J40" s="85">
        <f t="shared" si="2"/>
        <v>8000</v>
      </c>
      <c r="K40" s="84">
        <v>0</v>
      </c>
      <c r="L40" s="84">
        <v>0</v>
      </c>
      <c r="M40" s="84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2:283" s="86" customFormat="1" ht="15" customHeight="1">
      <c r="B41" s="81"/>
      <c r="C41" s="82">
        <v>0</v>
      </c>
      <c r="D41" s="206" t="s">
        <v>33</v>
      </c>
      <c r="E41" s="83" t="s">
        <v>30</v>
      </c>
      <c r="F41" s="19">
        <v>6000</v>
      </c>
      <c r="G41" s="84">
        <f t="shared" si="1"/>
        <v>10500</v>
      </c>
      <c r="H41" s="84">
        <v>0</v>
      </c>
      <c r="I41" s="84">
        <f>F41*21/28</f>
        <v>4500</v>
      </c>
      <c r="J41" s="85">
        <f t="shared" si="2"/>
        <v>6000</v>
      </c>
      <c r="K41" s="84">
        <v>0</v>
      </c>
      <c r="L41" s="84">
        <v>0</v>
      </c>
      <c r="M41" s="84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2:283" s="86" customFormat="1" ht="15" customHeight="1">
      <c r="B42" s="81"/>
      <c r="C42" s="82">
        <v>0</v>
      </c>
      <c r="D42" s="206" t="s">
        <v>33</v>
      </c>
      <c r="E42" s="83" t="s">
        <v>30</v>
      </c>
      <c r="F42" s="19">
        <v>10000</v>
      </c>
      <c r="G42" s="84">
        <f t="shared" si="1"/>
        <v>17500</v>
      </c>
      <c r="H42" s="84">
        <v>0</v>
      </c>
      <c r="I42" s="84">
        <f>F42*21/28</f>
        <v>7500</v>
      </c>
      <c r="J42" s="85">
        <v>10000</v>
      </c>
      <c r="K42" s="84">
        <v>0</v>
      </c>
      <c r="L42" s="84">
        <v>0</v>
      </c>
      <c r="M42" s="84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2:283" s="86" customFormat="1" ht="15" customHeight="1">
      <c r="B43" s="81"/>
      <c r="C43" s="82">
        <v>0</v>
      </c>
      <c r="D43" s="206" t="s">
        <v>33</v>
      </c>
      <c r="E43" s="83" t="s">
        <v>35</v>
      </c>
      <c r="F43" s="19">
        <v>10000</v>
      </c>
      <c r="G43" s="84">
        <f t="shared" si="1"/>
        <v>70000</v>
      </c>
      <c r="H43" s="84">
        <v>0</v>
      </c>
      <c r="I43" s="84">
        <v>30000</v>
      </c>
      <c r="J43" s="85">
        <f>10000*4</f>
        <v>40000</v>
      </c>
      <c r="K43" s="84">
        <v>0</v>
      </c>
      <c r="L43" s="84">
        <v>0</v>
      </c>
      <c r="M43" s="84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2:283" s="86" customFormat="1" ht="15" customHeight="1">
      <c r="B44" s="81"/>
      <c r="C44" s="82">
        <v>0</v>
      </c>
      <c r="D44" s="206" t="s">
        <v>33</v>
      </c>
      <c r="E44" s="83" t="s">
        <v>35</v>
      </c>
      <c r="F44" s="19">
        <v>12000</v>
      </c>
      <c r="G44" s="84">
        <f t="shared" si="1"/>
        <v>21000</v>
      </c>
      <c r="H44" s="84">
        <v>0</v>
      </c>
      <c r="I44" s="84">
        <v>9000</v>
      </c>
      <c r="J44" s="85">
        <f t="shared" si="2"/>
        <v>12000</v>
      </c>
      <c r="K44" s="84">
        <v>0</v>
      </c>
      <c r="L44" s="84">
        <v>0</v>
      </c>
      <c r="M44" s="84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2:283" s="86" customFormat="1" ht="15" customHeight="1">
      <c r="B45" s="81"/>
      <c r="C45" s="82">
        <v>0</v>
      </c>
      <c r="D45" s="206" t="s">
        <v>36</v>
      </c>
      <c r="E45" s="83" t="s">
        <v>35</v>
      </c>
      <c r="F45" s="19">
        <v>13500</v>
      </c>
      <c r="G45" s="84">
        <f t="shared" si="1"/>
        <v>33096.769999999997</v>
      </c>
      <c r="H45" s="84">
        <v>0</v>
      </c>
      <c r="I45" s="84">
        <v>19596.77</v>
      </c>
      <c r="J45" s="85">
        <f t="shared" si="2"/>
        <v>13500</v>
      </c>
      <c r="K45" s="84">
        <v>0</v>
      </c>
      <c r="L45" s="84">
        <v>0</v>
      </c>
      <c r="M45" s="84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2:283" ht="15" customHeight="1">
      <c r="B46" s="17"/>
      <c r="C46" s="23">
        <v>0</v>
      </c>
      <c r="D46" s="178" t="s">
        <v>32</v>
      </c>
      <c r="E46" s="24" t="s">
        <v>35</v>
      </c>
      <c r="F46" s="25">
        <v>10000</v>
      </c>
      <c r="G46" s="26">
        <f t="shared" si="1"/>
        <v>29285.72</v>
      </c>
      <c r="H46" s="26">
        <v>0</v>
      </c>
      <c r="I46" s="26">
        <v>0</v>
      </c>
      <c r="J46" s="45">
        <v>29285.72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  <c r="IW46" s="104"/>
      <c r="IX46" s="104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</row>
    <row r="47" spans="2:283" ht="15" customHeight="1">
      <c r="B47" s="17"/>
      <c r="C47" s="23">
        <v>0</v>
      </c>
      <c r="D47" s="178" t="s">
        <v>32</v>
      </c>
      <c r="E47" s="24" t="s">
        <v>30</v>
      </c>
      <c r="F47" s="25">
        <v>6000</v>
      </c>
      <c r="G47" s="26">
        <f t="shared" si="1"/>
        <v>8785.7099999999991</v>
      </c>
      <c r="H47" s="26">
        <v>0</v>
      </c>
      <c r="I47" s="26">
        <v>0</v>
      </c>
      <c r="J47" s="45">
        <v>8785.7099999999991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  <c r="IW47" s="104"/>
      <c r="IX47" s="104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</row>
    <row r="48" spans="2:283" ht="15" customHeight="1">
      <c r="B48" s="17"/>
      <c r="C48" s="23">
        <v>0</v>
      </c>
      <c r="D48" s="178" t="s">
        <v>32</v>
      </c>
      <c r="E48" s="24" t="s">
        <v>35</v>
      </c>
      <c r="F48" s="25">
        <v>12000</v>
      </c>
      <c r="G48" s="26">
        <f t="shared" si="1"/>
        <v>17571.43</v>
      </c>
      <c r="H48" s="26">
        <v>0</v>
      </c>
      <c r="I48" s="26">
        <v>0</v>
      </c>
      <c r="J48" s="45">
        <v>17571.43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  <c r="IW48" s="104"/>
      <c r="IX48" s="104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</row>
    <row r="49" spans="2:283" ht="15" customHeight="1">
      <c r="B49" s="17"/>
      <c r="C49" s="23">
        <v>0</v>
      </c>
      <c r="D49" s="178" t="s">
        <v>32</v>
      </c>
      <c r="E49" s="24" t="s">
        <v>30</v>
      </c>
      <c r="F49" s="25">
        <v>8000</v>
      </c>
      <c r="G49" s="26">
        <f t="shared" si="1"/>
        <v>11714.29</v>
      </c>
      <c r="H49" s="26">
        <v>0</v>
      </c>
      <c r="I49" s="26">
        <v>0</v>
      </c>
      <c r="J49" s="45">
        <v>11714.29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  <c r="IW49" s="104"/>
      <c r="IX49" s="104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</row>
    <row r="50" spans="2:283" ht="15" customHeight="1">
      <c r="B50" s="17"/>
      <c r="C50" s="23">
        <v>0</v>
      </c>
      <c r="D50" s="178" t="s">
        <v>34</v>
      </c>
      <c r="E50" s="24" t="s">
        <v>30</v>
      </c>
      <c r="F50" s="25">
        <v>10000</v>
      </c>
      <c r="G50" s="26">
        <f t="shared" si="1"/>
        <v>20000</v>
      </c>
      <c r="H50" s="26">
        <v>0</v>
      </c>
      <c r="I50" s="26">
        <v>0</v>
      </c>
      <c r="J50" s="45">
        <v>20000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  <c r="IW50" s="104"/>
      <c r="IX50" s="104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</row>
    <row r="51" spans="2:283" ht="15" customHeight="1">
      <c r="B51" s="17"/>
      <c r="C51" s="119">
        <v>0</v>
      </c>
      <c r="D51" s="207" t="s">
        <v>36</v>
      </c>
      <c r="E51" s="120" t="s">
        <v>35</v>
      </c>
      <c r="F51" s="121">
        <v>15000</v>
      </c>
      <c r="G51" s="122">
        <f t="shared" ref="G51:G58" si="3">SUM(H51:S51)</f>
        <v>36774.19</v>
      </c>
      <c r="H51" s="122">
        <v>0</v>
      </c>
      <c r="I51" s="122">
        <v>21774.19</v>
      </c>
      <c r="J51" s="111">
        <f>F51*1</f>
        <v>15000</v>
      </c>
      <c r="K51" s="122">
        <v>0</v>
      </c>
      <c r="L51" s="122">
        <v>0</v>
      </c>
      <c r="M51" s="122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  <c r="IW51" s="104"/>
      <c r="IX51" s="104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</row>
    <row r="52" spans="2:283" s="104" customFormat="1" ht="15" customHeight="1" thickTop="1">
      <c r="B52" s="66"/>
      <c r="C52" s="23">
        <v>0</v>
      </c>
      <c r="D52" s="178" t="s">
        <v>79</v>
      </c>
      <c r="E52" s="24" t="s">
        <v>30</v>
      </c>
      <c r="F52" s="25">
        <v>6000</v>
      </c>
      <c r="G52" s="26">
        <f t="shared" si="3"/>
        <v>18000</v>
      </c>
      <c r="H52" s="26">
        <v>0</v>
      </c>
      <c r="I52" s="26">
        <v>0</v>
      </c>
      <c r="J52" s="45">
        <v>6000</v>
      </c>
      <c r="K52" s="26">
        <v>6000</v>
      </c>
      <c r="L52" s="26">
        <v>6000</v>
      </c>
      <c r="M52" s="45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</row>
    <row r="53" spans="2:283" s="104" customFormat="1" ht="15" customHeight="1">
      <c r="B53" s="66"/>
      <c r="C53" s="23">
        <v>0</v>
      </c>
      <c r="D53" s="178" t="s">
        <v>79</v>
      </c>
      <c r="E53" s="24" t="s">
        <v>30</v>
      </c>
      <c r="F53" s="25">
        <v>7000</v>
      </c>
      <c r="G53" s="26">
        <f t="shared" si="3"/>
        <v>21000</v>
      </c>
      <c r="H53" s="26">
        <v>0</v>
      </c>
      <c r="I53" s="26">
        <v>0</v>
      </c>
      <c r="J53" s="45">
        <v>7000</v>
      </c>
      <c r="K53" s="26">
        <v>7000</v>
      </c>
      <c r="L53" s="26">
        <v>7000</v>
      </c>
      <c r="M53" s="45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</row>
    <row r="54" spans="2:283" s="104" customFormat="1" ht="15" customHeight="1">
      <c r="B54" s="66"/>
      <c r="C54" s="178">
        <v>0</v>
      </c>
      <c r="D54" s="178" t="s">
        <v>79</v>
      </c>
      <c r="E54" s="24" t="s">
        <v>35</v>
      </c>
      <c r="F54" s="25">
        <v>12000</v>
      </c>
      <c r="G54" s="26">
        <f t="shared" si="3"/>
        <v>30000</v>
      </c>
      <c r="H54" s="26">
        <v>0</v>
      </c>
      <c r="I54" s="26">
        <v>0</v>
      </c>
      <c r="J54" s="26">
        <v>10000</v>
      </c>
      <c r="K54" s="26">
        <v>10000</v>
      </c>
      <c r="L54" s="26">
        <v>10000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</row>
    <row r="55" spans="2:283" s="104" customFormat="1" ht="15" customHeight="1">
      <c r="B55" s="66"/>
      <c r="C55" s="23">
        <v>0</v>
      </c>
      <c r="D55" s="178" t="s">
        <v>91</v>
      </c>
      <c r="E55" s="24" t="s">
        <v>35</v>
      </c>
      <c r="F55" s="25">
        <v>10000</v>
      </c>
      <c r="G55" s="26">
        <f t="shared" si="3"/>
        <v>25161.3</v>
      </c>
      <c r="H55" s="26">
        <v>0</v>
      </c>
      <c r="I55" s="26">
        <v>0</v>
      </c>
      <c r="J55" s="45">
        <v>0</v>
      </c>
      <c r="K55" s="26">
        <v>15161.3</v>
      </c>
      <c r="L55" s="26">
        <v>10000</v>
      </c>
      <c r="M55" s="45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</row>
    <row r="56" spans="2:283" s="104" customFormat="1" ht="15" customHeight="1">
      <c r="B56" s="66"/>
      <c r="C56" s="23">
        <v>0</v>
      </c>
      <c r="D56" s="178" t="s">
        <v>91</v>
      </c>
      <c r="E56" s="24" t="s">
        <v>35</v>
      </c>
      <c r="F56" s="25">
        <v>15000</v>
      </c>
      <c r="G56" s="26">
        <f t="shared" si="3"/>
        <v>37741.949999999997</v>
      </c>
      <c r="H56" s="26">
        <v>0</v>
      </c>
      <c r="I56" s="26">
        <v>0</v>
      </c>
      <c r="J56" s="45">
        <v>0</v>
      </c>
      <c r="K56" s="26">
        <v>22741.95</v>
      </c>
      <c r="L56" s="26">
        <v>15000</v>
      </c>
      <c r="M56" s="45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</row>
    <row r="57" spans="2:283" s="104" customFormat="1" ht="15" customHeight="1">
      <c r="B57" s="66"/>
      <c r="C57" s="23">
        <v>0</v>
      </c>
      <c r="D57" s="178" t="s">
        <v>91</v>
      </c>
      <c r="E57" s="24" t="s">
        <v>30</v>
      </c>
      <c r="F57" s="25">
        <v>9000</v>
      </c>
      <c r="G57" s="26">
        <f t="shared" si="3"/>
        <v>22645.16</v>
      </c>
      <c r="H57" s="26">
        <v>0</v>
      </c>
      <c r="I57" s="26">
        <v>0</v>
      </c>
      <c r="J57" s="45">
        <v>0</v>
      </c>
      <c r="K57" s="26">
        <v>13645.16</v>
      </c>
      <c r="L57" s="26">
        <v>9000</v>
      </c>
      <c r="M57" s="45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</row>
    <row r="58" spans="2:283" s="104" customFormat="1" ht="15" customHeight="1">
      <c r="B58" s="66"/>
      <c r="C58" s="23">
        <v>0</v>
      </c>
      <c r="D58" s="178" t="s">
        <v>79</v>
      </c>
      <c r="E58" s="24" t="s">
        <v>35</v>
      </c>
      <c r="F58" s="25">
        <v>15000</v>
      </c>
      <c r="G58" s="26">
        <f t="shared" si="3"/>
        <v>45000</v>
      </c>
      <c r="H58" s="26">
        <v>0</v>
      </c>
      <c r="I58" s="26">
        <v>0</v>
      </c>
      <c r="J58" s="45">
        <v>15000</v>
      </c>
      <c r="K58" s="26">
        <v>15000</v>
      </c>
      <c r="L58" s="26">
        <v>15000</v>
      </c>
      <c r="M58" s="45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</row>
    <row r="59" spans="2:283" s="104" customFormat="1" ht="15" customHeight="1">
      <c r="B59" s="66"/>
      <c r="C59" s="23">
        <v>0</v>
      </c>
      <c r="D59" s="178" t="s">
        <v>86</v>
      </c>
      <c r="E59" s="24" t="s">
        <v>30</v>
      </c>
      <c r="F59" s="25">
        <v>12000</v>
      </c>
      <c r="G59" s="26">
        <f t="shared" ref="G59:G75" si="4">SUM(H59:S59)</f>
        <v>34400</v>
      </c>
      <c r="H59" s="26">
        <v>0</v>
      </c>
      <c r="I59" s="26">
        <v>0</v>
      </c>
      <c r="J59" s="45">
        <v>0</v>
      </c>
      <c r="K59" s="26">
        <v>10400</v>
      </c>
      <c r="L59" s="26">
        <v>12000</v>
      </c>
      <c r="M59" s="45">
        <v>12000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</row>
    <row r="60" spans="2:283" s="104" customFormat="1" ht="15" customHeight="1">
      <c r="B60" s="66"/>
      <c r="C60" s="23">
        <v>0</v>
      </c>
      <c r="D60" s="178" t="s">
        <v>86</v>
      </c>
      <c r="E60" s="24" t="s">
        <v>35</v>
      </c>
      <c r="F60" s="25">
        <v>18000</v>
      </c>
      <c r="G60" s="26">
        <f t="shared" si="4"/>
        <v>103200</v>
      </c>
      <c r="H60" s="26">
        <v>0</v>
      </c>
      <c r="I60" s="26">
        <v>0</v>
      </c>
      <c r="J60" s="45">
        <v>0</v>
      </c>
      <c r="K60" s="26">
        <v>31200</v>
      </c>
      <c r="L60" s="26">
        <v>36000</v>
      </c>
      <c r="M60" s="45">
        <v>36000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</row>
    <row r="61" spans="2:283" s="104" customFormat="1" ht="15" customHeight="1">
      <c r="B61" s="66"/>
      <c r="C61" s="23">
        <v>0</v>
      </c>
      <c r="D61" s="178" t="s">
        <v>86</v>
      </c>
      <c r="E61" s="24" t="s">
        <v>30</v>
      </c>
      <c r="F61" s="25">
        <v>7000</v>
      </c>
      <c r="G61" s="26">
        <f t="shared" si="4"/>
        <v>80266.67</v>
      </c>
      <c r="H61" s="26">
        <v>0</v>
      </c>
      <c r="I61" s="26">
        <v>0</v>
      </c>
      <c r="J61" s="45">
        <v>0</v>
      </c>
      <c r="K61" s="26">
        <v>24266.67</v>
      </c>
      <c r="L61" s="26">
        <v>28000</v>
      </c>
      <c r="M61" s="45">
        <v>28000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</row>
    <row r="62" spans="2:283" s="104" customFormat="1" ht="15" customHeight="1">
      <c r="B62" s="66"/>
      <c r="C62" s="23">
        <v>0</v>
      </c>
      <c r="D62" s="178" t="s">
        <v>86</v>
      </c>
      <c r="E62" s="24" t="s">
        <v>30</v>
      </c>
      <c r="F62" s="25">
        <v>7000</v>
      </c>
      <c r="G62" s="26">
        <f t="shared" si="4"/>
        <v>20066.669999999998</v>
      </c>
      <c r="H62" s="26">
        <v>0</v>
      </c>
      <c r="I62" s="26">
        <v>0</v>
      </c>
      <c r="J62" s="26">
        <v>0</v>
      </c>
      <c r="K62" s="26">
        <v>6066.67</v>
      </c>
      <c r="L62" s="26">
        <v>7000</v>
      </c>
      <c r="M62" s="45">
        <v>7000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</row>
    <row r="63" spans="2:283" s="104" customFormat="1" ht="15" customHeight="1">
      <c r="B63" s="66"/>
      <c r="C63" s="23">
        <v>0</v>
      </c>
      <c r="D63" s="178" t="s">
        <v>102</v>
      </c>
      <c r="E63" s="24" t="s">
        <v>35</v>
      </c>
      <c r="F63" s="25">
        <v>15000</v>
      </c>
      <c r="G63" s="26">
        <f t="shared" si="4"/>
        <v>29032.26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45">
        <v>29032.26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</row>
    <row r="64" spans="2:283" s="104" customFormat="1" ht="15" customHeight="1">
      <c r="B64" s="66"/>
      <c r="C64" s="23">
        <v>0</v>
      </c>
      <c r="D64" s="178" t="s">
        <v>86</v>
      </c>
      <c r="E64" s="24" t="s">
        <v>30</v>
      </c>
      <c r="F64" s="25">
        <v>6000</v>
      </c>
      <c r="G64" s="26">
        <f t="shared" si="4"/>
        <v>103200</v>
      </c>
      <c r="H64" s="26">
        <v>0</v>
      </c>
      <c r="I64" s="26">
        <v>0</v>
      </c>
      <c r="J64" s="45">
        <v>0</v>
      </c>
      <c r="K64" s="26">
        <v>31200</v>
      </c>
      <c r="L64" s="26">
        <v>36000</v>
      </c>
      <c r="M64" s="45">
        <v>36000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</row>
    <row r="65" spans="2:19" s="104" customFormat="1" ht="15" customHeight="1">
      <c r="B65" s="66"/>
      <c r="C65" s="23">
        <v>0</v>
      </c>
      <c r="D65" s="178" t="s">
        <v>86</v>
      </c>
      <c r="E65" s="24" t="s">
        <v>30</v>
      </c>
      <c r="F65" s="25">
        <v>6500</v>
      </c>
      <c r="G65" s="26">
        <f t="shared" si="4"/>
        <v>18633.330000000002</v>
      </c>
      <c r="H65" s="26">
        <v>0</v>
      </c>
      <c r="I65" s="26">
        <v>0</v>
      </c>
      <c r="J65" s="45">
        <v>0</v>
      </c>
      <c r="K65" s="26">
        <v>5633.33</v>
      </c>
      <c r="L65" s="26">
        <v>6500</v>
      </c>
      <c r="M65" s="45">
        <v>6500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</row>
    <row r="66" spans="2:19" s="104" customFormat="1" ht="15" customHeight="1">
      <c r="B66" s="66"/>
      <c r="C66" s="23">
        <v>0</v>
      </c>
      <c r="D66" s="178" t="s">
        <v>86</v>
      </c>
      <c r="E66" s="24" t="s">
        <v>35</v>
      </c>
      <c r="F66" s="25">
        <v>12000</v>
      </c>
      <c r="G66" s="26">
        <f t="shared" si="4"/>
        <v>172000</v>
      </c>
      <c r="H66" s="26">
        <v>0</v>
      </c>
      <c r="I66" s="26">
        <v>0</v>
      </c>
      <c r="J66" s="45">
        <v>0</v>
      </c>
      <c r="K66" s="26">
        <v>52000</v>
      </c>
      <c r="L66" s="26">
        <v>60000</v>
      </c>
      <c r="M66" s="45">
        <v>60000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</row>
    <row r="67" spans="2:19" s="104" customFormat="1" ht="15" customHeight="1">
      <c r="B67" s="66"/>
      <c r="C67" s="23">
        <v>0</v>
      </c>
      <c r="D67" s="178" t="s">
        <v>86</v>
      </c>
      <c r="E67" s="24" t="s">
        <v>30</v>
      </c>
      <c r="F67" s="25">
        <v>5000</v>
      </c>
      <c r="G67" s="26">
        <f t="shared" si="4"/>
        <v>43000</v>
      </c>
      <c r="H67" s="26">
        <v>0</v>
      </c>
      <c r="I67" s="26">
        <v>0</v>
      </c>
      <c r="J67" s="45">
        <v>0</v>
      </c>
      <c r="K67" s="26">
        <v>13000</v>
      </c>
      <c r="L67" s="26">
        <v>15000</v>
      </c>
      <c r="M67" s="45">
        <v>15000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</row>
    <row r="68" spans="2:19" s="104" customFormat="1" ht="15" customHeight="1">
      <c r="B68" s="66"/>
      <c r="C68" s="23">
        <v>0</v>
      </c>
      <c r="D68" s="178" t="s">
        <v>86</v>
      </c>
      <c r="E68" s="24" t="s">
        <v>30</v>
      </c>
      <c r="F68" s="25">
        <v>9000</v>
      </c>
      <c r="G68" s="26">
        <f t="shared" si="4"/>
        <v>25800</v>
      </c>
      <c r="H68" s="26">
        <v>0</v>
      </c>
      <c r="I68" s="26">
        <v>0</v>
      </c>
      <c r="J68" s="45">
        <v>0</v>
      </c>
      <c r="K68" s="26">
        <v>7800</v>
      </c>
      <c r="L68" s="26">
        <v>9000</v>
      </c>
      <c r="M68" s="45">
        <v>9000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</row>
    <row r="69" spans="2:19" s="104" customFormat="1" ht="15" customHeight="1">
      <c r="B69" s="66"/>
      <c r="C69" s="23">
        <v>0</v>
      </c>
      <c r="D69" s="178" t="s">
        <v>86</v>
      </c>
      <c r="E69" s="24" t="s">
        <v>35</v>
      </c>
      <c r="F69" s="25">
        <v>6000</v>
      </c>
      <c r="G69" s="26">
        <f t="shared" si="4"/>
        <v>17200</v>
      </c>
      <c r="H69" s="26">
        <v>0</v>
      </c>
      <c r="I69" s="26">
        <v>0</v>
      </c>
      <c r="J69" s="45">
        <v>0</v>
      </c>
      <c r="K69" s="26">
        <v>5200</v>
      </c>
      <c r="L69" s="26">
        <v>6000</v>
      </c>
      <c r="M69" s="45">
        <v>6000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</row>
    <row r="70" spans="2:19" s="104" customFormat="1" ht="15" customHeight="1">
      <c r="B70" s="66"/>
      <c r="C70" s="23">
        <v>0</v>
      </c>
      <c r="D70" s="178" t="s">
        <v>86</v>
      </c>
      <c r="E70" s="24" t="s">
        <v>35</v>
      </c>
      <c r="F70" s="25">
        <v>6000</v>
      </c>
      <c r="G70" s="26">
        <f t="shared" si="4"/>
        <v>17200</v>
      </c>
      <c r="H70" s="26">
        <v>0</v>
      </c>
      <c r="I70" s="26">
        <v>0</v>
      </c>
      <c r="J70" s="45">
        <v>0</v>
      </c>
      <c r="K70" s="26">
        <v>5200</v>
      </c>
      <c r="L70" s="26">
        <v>6000</v>
      </c>
      <c r="M70" s="45">
        <v>6000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</row>
    <row r="71" spans="2:19" s="104" customFormat="1" ht="15" customHeight="1">
      <c r="B71" s="66"/>
      <c r="C71" s="23">
        <v>0</v>
      </c>
      <c r="D71" s="178" t="s">
        <v>86</v>
      </c>
      <c r="E71" s="24" t="s">
        <v>35</v>
      </c>
      <c r="F71" s="25">
        <v>10000</v>
      </c>
      <c r="G71" s="26">
        <f t="shared" si="4"/>
        <v>172000</v>
      </c>
      <c r="H71" s="26">
        <v>0</v>
      </c>
      <c r="I71" s="26">
        <v>0</v>
      </c>
      <c r="J71" s="45">
        <v>0</v>
      </c>
      <c r="K71" s="26">
        <v>52000</v>
      </c>
      <c r="L71" s="26">
        <v>60000</v>
      </c>
      <c r="M71" s="45">
        <v>60000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</row>
    <row r="72" spans="2:19" s="104" customFormat="1" ht="15" customHeight="1">
      <c r="B72" s="66"/>
      <c r="C72" s="23">
        <v>0</v>
      </c>
      <c r="D72" s="178" t="s">
        <v>86</v>
      </c>
      <c r="E72" s="24" t="s">
        <v>30</v>
      </c>
      <c r="F72" s="25">
        <v>10000</v>
      </c>
      <c r="G72" s="26">
        <f t="shared" si="4"/>
        <v>86000</v>
      </c>
      <c r="H72" s="26">
        <v>0</v>
      </c>
      <c r="I72" s="26">
        <v>0</v>
      </c>
      <c r="J72" s="45">
        <v>0</v>
      </c>
      <c r="K72" s="26">
        <v>26000</v>
      </c>
      <c r="L72" s="26">
        <v>30000</v>
      </c>
      <c r="M72" s="45">
        <v>30000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</row>
    <row r="73" spans="2:19" s="104" customFormat="1" ht="15" customHeight="1">
      <c r="B73" s="66"/>
      <c r="C73" s="23">
        <v>0</v>
      </c>
      <c r="D73" s="178" t="s">
        <v>86</v>
      </c>
      <c r="E73" s="24" t="s">
        <v>35</v>
      </c>
      <c r="F73" s="25">
        <v>8000</v>
      </c>
      <c r="G73" s="26">
        <f t="shared" si="4"/>
        <v>22933.33</v>
      </c>
      <c r="H73" s="26">
        <v>0</v>
      </c>
      <c r="I73" s="26">
        <v>0</v>
      </c>
      <c r="J73" s="45">
        <v>0</v>
      </c>
      <c r="K73" s="26">
        <f>266.666666666667*26</f>
        <v>6933.33</v>
      </c>
      <c r="L73" s="26">
        <v>8000</v>
      </c>
      <c r="M73" s="45">
        <v>8000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</row>
    <row r="74" spans="2:19" s="104" customFormat="1" ht="15" customHeight="1">
      <c r="B74" s="66"/>
      <c r="C74" s="23">
        <v>0</v>
      </c>
      <c r="D74" s="178" t="s">
        <v>86</v>
      </c>
      <c r="E74" s="24" t="s">
        <v>35</v>
      </c>
      <c r="F74" s="25">
        <v>8000</v>
      </c>
      <c r="G74" s="26">
        <f t="shared" si="4"/>
        <v>22933.33</v>
      </c>
      <c r="H74" s="26">
        <v>0</v>
      </c>
      <c r="I74" s="26">
        <v>0</v>
      </c>
      <c r="J74" s="26">
        <v>0</v>
      </c>
      <c r="K74" s="26">
        <v>6933.33</v>
      </c>
      <c r="L74" s="26">
        <v>8000</v>
      </c>
      <c r="M74" s="45">
        <v>8000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</row>
    <row r="75" spans="2:19" s="104" customFormat="1" ht="15" customHeight="1">
      <c r="B75" s="66"/>
      <c r="C75" s="23">
        <v>0</v>
      </c>
      <c r="D75" s="178" t="s">
        <v>86</v>
      </c>
      <c r="E75" s="24" t="s">
        <v>30</v>
      </c>
      <c r="F75" s="25">
        <v>8000</v>
      </c>
      <c r="G75" s="26">
        <f t="shared" si="4"/>
        <v>45866.67</v>
      </c>
      <c r="H75" s="26">
        <v>0</v>
      </c>
      <c r="I75" s="26">
        <v>0</v>
      </c>
      <c r="J75" s="45">
        <v>0</v>
      </c>
      <c r="K75" s="26">
        <v>13866.67</v>
      </c>
      <c r="L75" s="26">
        <v>16000</v>
      </c>
      <c r="M75" s="45">
        <v>16000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</row>
    <row r="76" spans="2:19" s="104" customFormat="1" ht="15" customHeight="1">
      <c r="B76" s="66"/>
      <c r="C76" s="23">
        <v>0</v>
      </c>
      <c r="D76" s="178" t="s">
        <v>86</v>
      </c>
      <c r="E76" s="24" t="s">
        <v>30</v>
      </c>
      <c r="F76" s="25">
        <v>8000</v>
      </c>
      <c r="G76" s="26">
        <f>SUM(H76:S76)</f>
        <v>22933.33</v>
      </c>
      <c r="H76" s="26">
        <v>0</v>
      </c>
      <c r="I76" s="26">
        <v>0</v>
      </c>
      <c r="J76" s="26">
        <v>0</v>
      </c>
      <c r="K76" s="26">
        <v>6933.33</v>
      </c>
      <c r="L76" s="26">
        <v>8000</v>
      </c>
      <c r="M76" s="45">
        <v>8000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</row>
    <row r="77" spans="2:19" s="104" customFormat="1" ht="15" customHeight="1">
      <c r="B77" s="66"/>
      <c r="C77" s="23">
        <v>0</v>
      </c>
      <c r="D77" s="178" t="s">
        <v>86</v>
      </c>
      <c r="E77" s="24" t="s">
        <v>35</v>
      </c>
      <c r="F77" s="25">
        <v>9000</v>
      </c>
      <c r="G77" s="26">
        <f t="shared" ref="G77:G92" si="5">SUM(H77:S77)</f>
        <v>25800</v>
      </c>
      <c r="H77" s="26">
        <v>0</v>
      </c>
      <c r="I77" s="26">
        <v>0</v>
      </c>
      <c r="J77" s="45">
        <v>0</v>
      </c>
      <c r="K77" s="26">
        <v>7800</v>
      </c>
      <c r="L77" s="26">
        <v>9000</v>
      </c>
      <c r="M77" s="45">
        <v>9000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</row>
    <row r="78" spans="2:19" s="104" customFormat="1" ht="15" customHeight="1">
      <c r="B78" s="66"/>
      <c r="C78" s="23">
        <v>0</v>
      </c>
      <c r="D78" s="178" t="s">
        <v>86</v>
      </c>
      <c r="E78" s="24" t="s">
        <v>35</v>
      </c>
      <c r="F78" s="25">
        <v>15000</v>
      </c>
      <c r="G78" s="26">
        <f t="shared" si="5"/>
        <v>86000</v>
      </c>
      <c r="H78" s="26">
        <v>0</v>
      </c>
      <c r="I78" s="26">
        <v>0</v>
      </c>
      <c r="J78" s="45">
        <v>0</v>
      </c>
      <c r="K78" s="26">
        <v>26000</v>
      </c>
      <c r="L78" s="26">
        <v>30000</v>
      </c>
      <c r="M78" s="45">
        <v>30000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</row>
    <row r="79" spans="2:19" s="104" customFormat="1" ht="15" customHeight="1">
      <c r="B79" s="66"/>
      <c r="C79" s="23">
        <v>0</v>
      </c>
      <c r="D79" s="178" t="s">
        <v>86</v>
      </c>
      <c r="E79" s="24" t="s">
        <v>35</v>
      </c>
      <c r="F79" s="25">
        <v>13500</v>
      </c>
      <c r="G79" s="26">
        <f t="shared" si="5"/>
        <v>38700</v>
      </c>
      <c r="H79" s="26">
        <v>0</v>
      </c>
      <c r="I79" s="26">
        <v>0</v>
      </c>
      <c r="J79" s="45">
        <v>0</v>
      </c>
      <c r="K79" s="26">
        <v>11700</v>
      </c>
      <c r="L79" s="26">
        <v>13500</v>
      </c>
      <c r="M79" s="45">
        <v>13500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</row>
    <row r="80" spans="2:19" s="104" customFormat="1" ht="15" customHeight="1">
      <c r="B80" s="66"/>
      <c r="C80" s="23">
        <v>0</v>
      </c>
      <c r="D80" s="178" t="s">
        <v>106</v>
      </c>
      <c r="E80" s="24" t="s">
        <v>30</v>
      </c>
      <c r="F80" s="25">
        <v>10000</v>
      </c>
      <c r="G80" s="26">
        <f>SUM(H80:S80)</f>
        <v>24838.71</v>
      </c>
      <c r="H80" s="26">
        <v>0</v>
      </c>
      <c r="I80" s="26">
        <v>0</v>
      </c>
      <c r="J80" s="45">
        <v>0</v>
      </c>
      <c r="K80" s="26">
        <v>0</v>
      </c>
      <c r="L80" s="26">
        <v>0</v>
      </c>
      <c r="M80" s="26">
        <v>14838.71</v>
      </c>
      <c r="N80" s="26">
        <v>10000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</row>
    <row r="81" spans="2:19" s="104" customFormat="1" ht="15" customHeight="1">
      <c r="B81" s="66"/>
      <c r="C81" s="23">
        <v>0</v>
      </c>
      <c r="D81" s="188" t="s">
        <v>115</v>
      </c>
      <c r="E81" s="24" t="s">
        <v>35</v>
      </c>
      <c r="F81" s="25">
        <v>9000</v>
      </c>
      <c r="G81" s="26">
        <f t="shared" ref="G81" si="6">SUM(H81:S81)</f>
        <v>9000</v>
      </c>
      <c r="H81" s="26">
        <v>0</v>
      </c>
      <c r="I81" s="26">
        <v>0</v>
      </c>
      <c r="J81" s="45">
        <v>0</v>
      </c>
      <c r="K81" s="45">
        <v>0</v>
      </c>
      <c r="L81" s="45">
        <v>0</v>
      </c>
      <c r="M81" s="45">
        <v>0</v>
      </c>
      <c r="N81" s="26">
        <v>9000</v>
      </c>
      <c r="O81" s="26">
        <v>0</v>
      </c>
      <c r="P81" s="45">
        <v>0</v>
      </c>
      <c r="Q81" s="45">
        <v>0</v>
      </c>
      <c r="R81" s="45">
        <v>0</v>
      </c>
      <c r="S81" s="45">
        <v>0</v>
      </c>
    </row>
    <row r="82" spans="2:19" s="104" customFormat="1" ht="15" customHeight="1">
      <c r="B82" s="66"/>
      <c r="C82" s="23">
        <v>0</v>
      </c>
      <c r="D82" s="188" t="s">
        <v>110</v>
      </c>
      <c r="E82" s="24" t="s">
        <v>30</v>
      </c>
      <c r="F82" s="25">
        <v>7000</v>
      </c>
      <c r="G82" s="26">
        <f>SUM(H82:S82)</f>
        <v>14000</v>
      </c>
      <c r="H82" s="26">
        <v>0</v>
      </c>
      <c r="I82" s="26">
        <v>0</v>
      </c>
      <c r="J82" s="45">
        <v>0</v>
      </c>
      <c r="K82" s="26">
        <v>0</v>
      </c>
      <c r="L82" s="26">
        <v>0</v>
      </c>
      <c r="M82" s="26">
        <v>0</v>
      </c>
      <c r="N82" s="25">
        <v>7000</v>
      </c>
      <c r="O82" s="25">
        <v>7000</v>
      </c>
      <c r="P82" s="25">
        <v>0</v>
      </c>
      <c r="Q82" s="25">
        <v>0</v>
      </c>
      <c r="R82" s="25">
        <v>0</v>
      </c>
      <c r="S82" s="25">
        <v>0</v>
      </c>
    </row>
    <row r="83" spans="2:19" s="104" customFormat="1" ht="15" customHeight="1">
      <c r="B83" s="66"/>
      <c r="C83" s="23">
        <v>0</v>
      </c>
      <c r="D83" s="178" t="s">
        <v>107</v>
      </c>
      <c r="E83" s="24" t="s">
        <v>35</v>
      </c>
      <c r="F83" s="25">
        <v>10000</v>
      </c>
      <c r="G83" s="26">
        <f>SUM(H83:S83)</f>
        <v>30000</v>
      </c>
      <c r="H83" s="26">
        <v>0</v>
      </c>
      <c r="I83" s="26">
        <v>0</v>
      </c>
      <c r="J83" s="45">
        <v>0</v>
      </c>
      <c r="K83" s="26">
        <v>0</v>
      </c>
      <c r="L83" s="26">
        <v>0</v>
      </c>
      <c r="M83" s="26">
        <v>10000</v>
      </c>
      <c r="N83" s="26">
        <v>10000</v>
      </c>
      <c r="O83" s="26">
        <v>10000</v>
      </c>
      <c r="P83" s="26">
        <v>0</v>
      </c>
      <c r="Q83" s="26">
        <v>0</v>
      </c>
      <c r="R83" s="26">
        <v>0</v>
      </c>
      <c r="S83" s="26">
        <v>0</v>
      </c>
    </row>
    <row r="84" spans="2:19" s="104" customFormat="1" ht="15" customHeight="1">
      <c r="B84" s="66"/>
      <c r="C84" s="23">
        <v>0</v>
      </c>
      <c r="D84" s="188" t="s">
        <v>117</v>
      </c>
      <c r="E84" s="24" t="s">
        <v>35</v>
      </c>
      <c r="F84" s="25">
        <v>15000</v>
      </c>
      <c r="G84" s="26">
        <f t="shared" ref="G84" si="7">SUM(H84:S84)</f>
        <v>34000</v>
      </c>
      <c r="H84" s="26">
        <v>0</v>
      </c>
      <c r="I84" s="26">
        <v>0</v>
      </c>
      <c r="J84" s="45">
        <v>0</v>
      </c>
      <c r="K84" s="26">
        <v>0</v>
      </c>
      <c r="L84" s="26">
        <v>0</v>
      </c>
      <c r="M84" s="26">
        <v>0</v>
      </c>
      <c r="N84" s="25">
        <v>15000</v>
      </c>
      <c r="O84" s="25">
        <v>15000</v>
      </c>
      <c r="P84" s="25">
        <f>+F84/30*8</f>
        <v>4000</v>
      </c>
      <c r="Q84" s="25">
        <v>0</v>
      </c>
      <c r="R84" s="25">
        <v>0</v>
      </c>
      <c r="S84" s="25">
        <v>0</v>
      </c>
    </row>
    <row r="85" spans="2:19" s="104" customFormat="1" ht="15" customHeight="1">
      <c r="B85" s="66"/>
      <c r="C85" s="23">
        <v>0</v>
      </c>
      <c r="D85" s="188" t="s">
        <v>122</v>
      </c>
      <c r="E85" s="24" t="s">
        <v>35</v>
      </c>
      <c r="F85" s="25">
        <v>20000</v>
      </c>
      <c r="G85" s="26">
        <f t="shared" ref="G85:G90" si="8">SUM(H85:S85)</f>
        <v>60000</v>
      </c>
      <c r="H85" s="26">
        <v>0</v>
      </c>
      <c r="I85" s="26">
        <v>0</v>
      </c>
      <c r="J85" s="45">
        <v>0</v>
      </c>
      <c r="K85" s="26">
        <v>0</v>
      </c>
      <c r="L85" s="26">
        <v>0</v>
      </c>
      <c r="M85" s="26">
        <v>0</v>
      </c>
      <c r="N85" s="26">
        <v>20000</v>
      </c>
      <c r="O85" s="26">
        <v>20000</v>
      </c>
      <c r="P85" s="26">
        <v>20000</v>
      </c>
      <c r="Q85" s="26">
        <v>0</v>
      </c>
      <c r="R85" s="26">
        <v>0</v>
      </c>
      <c r="S85" s="26">
        <v>0</v>
      </c>
    </row>
    <row r="86" spans="2:19" s="104" customFormat="1" ht="15" customHeight="1">
      <c r="B86" s="66"/>
      <c r="C86" s="23">
        <v>0</v>
      </c>
      <c r="D86" s="178" t="s">
        <v>114</v>
      </c>
      <c r="E86" s="24" t="s">
        <v>30</v>
      </c>
      <c r="F86" s="25">
        <v>10000</v>
      </c>
      <c r="G86" s="26">
        <f t="shared" si="8"/>
        <v>19677.419999999998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5">
        <f>+F86/31*30</f>
        <v>9677.42</v>
      </c>
      <c r="P86" s="25">
        <f>+F86</f>
        <v>10000</v>
      </c>
      <c r="Q86" s="26">
        <v>0</v>
      </c>
      <c r="R86" s="26">
        <v>0</v>
      </c>
      <c r="S86" s="26">
        <v>0</v>
      </c>
    </row>
    <row r="87" spans="2:19" s="104" customFormat="1" ht="15" customHeight="1">
      <c r="B87" s="66"/>
      <c r="C87" s="23">
        <v>0</v>
      </c>
      <c r="D87" s="178" t="s">
        <v>133</v>
      </c>
      <c r="E87" s="24" t="s">
        <v>30</v>
      </c>
      <c r="F87" s="25">
        <v>9000</v>
      </c>
      <c r="G87" s="26">
        <f t="shared" si="8"/>
        <v>26709.68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5">
        <f>+F87*0.967741935483871</f>
        <v>8709.68</v>
      </c>
      <c r="P87" s="25">
        <v>9000</v>
      </c>
      <c r="Q87" s="25">
        <v>9000</v>
      </c>
      <c r="R87" s="25">
        <v>0</v>
      </c>
      <c r="S87" s="25">
        <v>0</v>
      </c>
    </row>
    <row r="88" spans="2:19" s="104" customFormat="1" ht="15" customHeight="1">
      <c r="B88" s="66"/>
      <c r="C88" s="23">
        <v>0</v>
      </c>
      <c r="D88" s="188" t="s">
        <v>120</v>
      </c>
      <c r="E88" s="24" t="s">
        <v>35</v>
      </c>
      <c r="F88" s="25">
        <v>14350</v>
      </c>
      <c r="G88" s="26">
        <f t="shared" si="8"/>
        <v>14350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5">
        <v>14350</v>
      </c>
      <c r="S88" s="26">
        <v>0</v>
      </c>
    </row>
    <row r="89" spans="2:19" s="104" customFormat="1" ht="15" customHeight="1">
      <c r="B89" s="165"/>
      <c r="C89" s="276">
        <v>0</v>
      </c>
      <c r="D89" s="178" t="s">
        <v>131</v>
      </c>
      <c r="E89" s="26" t="s">
        <v>30</v>
      </c>
      <c r="F89" s="26">
        <v>10000</v>
      </c>
      <c r="G89" s="26">
        <f t="shared" si="8"/>
        <v>60000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45">
        <v>10000</v>
      </c>
      <c r="N89" s="45">
        <v>10000</v>
      </c>
      <c r="O89" s="45">
        <v>10000</v>
      </c>
      <c r="P89" s="45">
        <v>10000</v>
      </c>
      <c r="Q89" s="45">
        <v>10000</v>
      </c>
      <c r="R89" s="45">
        <v>10000</v>
      </c>
      <c r="S89" s="26">
        <v>0</v>
      </c>
    </row>
    <row r="90" spans="2:19" s="104" customFormat="1" ht="15" customHeight="1">
      <c r="B90" s="66"/>
      <c r="C90" s="23">
        <v>0</v>
      </c>
      <c r="D90" s="188" t="s">
        <v>132</v>
      </c>
      <c r="E90" s="24" t="s">
        <v>35</v>
      </c>
      <c r="F90" s="25">
        <v>9000</v>
      </c>
      <c r="G90" s="26">
        <f t="shared" si="8"/>
        <v>33300</v>
      </c>
      <c r="H90" s="26">
        <v>0</v>
      </c>
      <c r="I90" s="26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26">
        <v>9000</v>
      </c>
      <c r="P90" s="45">
        <v>9000</v>
      </c>
      <c r="Q90" s="45">
        <v>9000</v>
      </c>
      <c r="R90" s="45">
        <v>9000</v>
      </c>
      <c r="S90" s="45">
        <v>-2700</v>
      </c>
    </row>
    <row r="91" spans="2:19" s="104" customFormat="1" ht="15" customHeight="1">
      <c r="B91" s="66"/>
      <c r="C91" s="23">
        <v>1</v>
      </c>
      <c r="D91" s="178" t="s">
        <v>108</v>
      </c>
      <c r="E91" s="24" t="s">
        <v>30</v>
      </c>
      <c r="F91" s="25">
        <v>12000</v>
      </c>
      <c r="G91" s="26">
        <f t="shared" si="5"/>
        <v>72000</v>
      </c>
      <c r="H91" s="26">
        <v>0</v>
      </c>
      <c r="I91" s="26">
        <v>0</v>
      </c>
      <c r="J91" s="45">
        <v>0</v>
      </c>
      <c r="K91" s="26">
        <v>0</v>
      </c>
      <c r="L91" s="26">
        <v>0</v>
      </c>
      <c r="M91" s="26">
        <v>0</v>
      </c>
      <c r="N91" s="26">
        <v>12000</v>
      </c>
      <c r="O91" s="26">
        <v>12000</v>
      </c>
      <c r="P91" s="45">
        <v>12000</v>
      </c>
      <c r="Q91" s="45">
        <v>12000</v>
      </c>
      <c r="R91" s="45">
        <v>12000</v>
      </c>
      <c r="S91" s="45">
        <v>12000</v>
      </c>
    </row>
    <row r="92" spans="2:19" s="104" customFormat="1" ht="15" customHeight="1">
      <c r="B92" s="66"/>
      <c r="C92" s="23">
        <v>2</v>
      </c>
      <c r="D92" s="178" t="s">
        <v>108</v>
      </c>
      <c r="E92" s="24" t="s">
        <v>35</v>
      </c>
      <c r="F92" s="25">
        <v>18000</v>
      </c>
      <c r="G92" s="26">
        <f t="shared" si="5"/>
        <v>216000</v>
      </c>
      <c r="H92" s="26">
        <v>0</v>
      </c>
      <c r="I92" s="26">
        <v>0</v>
      </c>
      <c r="J92" s="45">
        <v>0</v>
      </c>
      <c r="K92" s="26">
        <v>0</v>
      </c>
      <c r="L92" s="26">
        <v>0</v>
      </c>
      <c r="M92" s="26">
        <v>0</v>
      </c>
      <c r="N92" s="25">
        <v>36000</v>
      </c>
      <c r="O92" s="25">
        <v>36000</v>
      </c>
      <c r="P92" s="25">
        <v>36000</v>
      </c>
      <c r="Q92" s="25">
        <v>36000</v>
      </c>
      <c r="R92" s="25">
        <v>36000</v>
      </c>
      <c r="S92" s="25">
        <v>36000</v>
      </c>
    </row>
    <row r="93" spans="2:19" s="104" customFormat="1" ht="15" customHeight="1">
      <c r="B93" s="66"/>
      <c r="C93" s="23">
        <v>3</v>
      </c>
      <c r="D93" s="178" t="s">
        <v>108</v>
      </c>
      <c r="E93" s="24" t="s">
        <v>30</v>
      </c>
      <c r="F93" s="25">
        <v>7000</v>
      </c>
      <c r="G93" s="26">
        <f t="shared" ref="G93:G104" si="9">SUM(H93:S93)</f>
        <v>126000</v>
      </c>
      <c r="H93" s="26">
        <v>0</v>
      </c>
      <c r="I93" s="26">
        <v>0</v>
      </c>
      <c r="J93" s="45">
        <v>0</v>
      </c>
      <c r="K93" s="26">
        <v>0</v>
      </c>
      <c r="L93" s="26">
        <v>0</v>
      </c>
      <c r="M93" s="26">
        <v>0</v>
      </c>
      <c r="N93" s="25">
        <f>+F93*C93</f>
        <v>21000</v>
      </c>
      <c r="O93" s="25">
        <v>21000</v>
      </c>
      <c r="P93" s="25">
        <v>21000</v>
      </c>
      <c r="Q93" s="25">
        <v>21000</v>
      </c>
      <c r="R93" s="25">
        <v>21000</v>
      </c>
      <c r="S93" s="25">
        <v>21000</v>
      </c>
    </row>
    <row r="94" spans="2:19" s="104" customFormat="1" ht="15" customHeight="1">
      <c r="B94" s="66"/>
      <c r="C94" s="23">
        <v>2</v>
      </c>
      <c r="D94" s="178" t="s">
        <v>108</v>
      </c>
      <c r="E94" s="24" t="s">
        <v>30</v>
      </c>
      <c r="F94" s="25">
        <v>6000</v>
      </c>
      <c r="G94" s="26">
        <f t="shared" si="9"/>
        <v>72000</v>
      </c>
      <c r="H94" s="26">
        <v>0</v>
      </c>
      <c r="I94" s="26">
        <v>0</v>
      </c>
      <c r="J94" s="45">
        <v>0</v>
      </c>
      <c r="K94" s="26">
        <v>0</v>
      </c>
      <c r="L94" s="26">
        <v>0</v>
      </c>
      <c r="M94" s="26">
        <v>0</v>
      </c>
      <c r="N94" s="25">
        <f>+F94*C94</f>
        <v>12000</v>
      </c>
      <c r="O94" s="25">
        <v>12000</v>
      </c>
      <c r="P94" s="25">
        <v>12000</v>
      </c>
      <c r="Q94" s="25">
        <v>12000</v>
      </c>
      <c r="R94" s="25">
        <v>12000</v>
      </c>
      <c r="S94" s="25">
        <v>12000</v>
      </c>
    </row>
    <row r="95" spans="2:19" s="104" customFormat="1" ht="15" customHeight="1">
      <c r="B95" s="66"/>
      <c r="C95" s="23">
        <v>5</v>
      </c>
      <c r="D95" s="178" t="s">
        <v>108</v>
      </c>
      <c r="E95" s="24" t="s">
        <v>30</v>
      </c>
      <c r="F95" s="25">
        <v>6000</v>
      </c>
      <c r="G95" s="26">
        <f t="shared" si="9"/>
        <v>180000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5">
        <v>30000</v>
      </c>
      <c r="O95" s="25">
        <v>30000</v>
      </c>
      <c r="P95" s="25">
        <v>30000</v>
      </c>
      <c r="Q95" s="25">
        <v>30000</v>
      </c>
      <c r="R95" s="25">
        <v>30000</v>
      </c>
      <c r="S95" s="25">
        <v>30000</v>
      </c>
    </row>
    <row r="96" spans="2:19" s="104" customFormat="1" ht="15" customHeight="1">
      <c r="B96" s="66"/>
      <c r="C96" s="23">
        <v>1</v>
      </c>
      <c r="D96" s="178" t="s">
        <v>108</v>
      </c>
      <c r="E96" s="24" t="s">
        <v>30</v>
      </c>
      <c r="F96" s="25">
        <v>6500</v>
      </c>
      <c r="G96" s="26">
        <f t="shared" si="9"/>
        <v>39000</v>
      </c>
      <c r="H96" s="26">
        <v>0</v>
      </c>
      <c r="I96" s="26">
        <v>0</v>
      </c>
      <c r="J96" s="45">
        <v>0</v>
      </c>
      <c r="K96" s="26">
        <v>0</v>
      </c>
      <c r="L96" s="26">
        <v>0</v>
      </c>
      <c r="M96" s="26">
        <v>0</v>
      </c>
      <c r="N96" s="26">
        <v>6500</v>
      </c>
      <c r="O96" s="26">
        <v>6500</v>
      </c>
      <c r="P96" s="45">
        <v>6500</v>
      </c>
      <c r="Q96" s="45">
        <v>6500</v>
      </c>
      <c r="R96" s="45">
        <v>6500</v>
      </c>
      <c r="S96" s="45">
        <v>6500</v>
      </c>
    </row>
    <row r="97" spans="2:19" s="104" customFormat="1" ht="15" customHeight="1">
      <c r="B97" s="66"/>
      <c r="C97" s="23">
        <v>3</v>
      </c>
      <c r="D97" s="178" t="s">
        <v>108</v>
      </c>
      <c r="E97" s="24" t="s">
        <v>35</v>
      </c>
      <c r="F97" s="25">
        <v>12000</v>
      </c>
      <c r="G97" s="26">
        <f t="shared" si="9"/>
        <v>216000</v>
      </c>
      <c r="H97" s="26">
        <v>0</v>
      </c>
      <c r="I97" s="26">
        <v>0</v>
      </c>
      <c r="J97" s="45">
        <v>0</v>
      </c>
      <c r="K97" s="26">
        <v>0</v>
      </c>
      <c r="L97" s="26">
        <v>0</v>
      </c>
      <c r="M97" s="26">
        <v>0</v>
      </c>
      <c r="N97" s="25">
        <v>36000</v>
      </c>
      <c r="O97" s="25">
        <v>36000</v>
      </c>
      <c r="P97" s="25">
        <v>36000</v>
      </c>
      <c r="Q97" s="25">
        <v>36000</v>
      </c>
      <c r="R97" s="25">
        <v>36000</v>
      </c>
      <c r="S97" s="25">
        <v>36000</v>
      </c>
    </row>
    <row r="98" spans="2:19" s="104" customFormat="1" ht="15" customHeight="1">
      <c r="B98" s="66"/>
      <c r="C98" s="23">
        <v>3</v>
      </c>
      <c r="D98" s="178" t="s">
        <v>108</v>
      </c>
      <c r="E98" s="24" t="s">
        <v>30</v>
      </c>
      <c r="F98" s="25">
        <v>5000</v>
      </c>
      <c r="G98" s="26">
        <f t="shared" si="9"/>
        <v>90000</v>
      </c>
      <c r="H98" s="26">
        <v>0</v>
      </c>
      <c r="I98" s="26">
        <v>0</v>
      </c>
      <c r="J98" s="45">
        <v>0</v>
      </c>
      <c r="K98" s="26">
        <v>0</v>
      </c>
      <c r="L98" s="26">
        <v>0</v>
      </c>
      <c r="M98" s="26">
        <v>0</v>
      </c>
      <c r="N98" s="25">
        <v>15000</v>
      </c>
      <c r="O98" s="25">
        <v>15000</v>
      </c>
      <c r="P98" s="25">
        <v>15000</v>
      </c>
      <c r="Q98" s="25">
        <v>15000</v>
      </c>
      <c r="R98" s="25">
        <v>15000</v>
      </c>
      <c r="S98" s="25">
        <v>15000</v>
      </c>
    </row>
    <row r="99" spans="2:19" s="104" customFormat="1" ht="15" customHeight="1">
      <c r="B99" s="66"/>
      <c r="C99" s="23">
        <v>1</v>
      </c>
      <c r="D99" s="178" t="s">
        <v>108</v>
      </c>
      <c r="E99" s="24" t="s">
        <v>30</v>
      </c>
      <c r="F99" s="25">
        <v>9000</v>
      </c>
      <c r="G99" s="26">
        <f t="shared" si="9"/>
        <v>54000</v>
      </c>
      <c r="H99" s="26">
        <v>0</v>
      </c>
      <c r="I99" s="26">
        <v>0</v>
      </c>
      <c r="J99" s="45">
        <v>0</v>
      </c>
      <c r="K99" s="45">
        <v>0</v>
      </c>
      <c r="L99" s="45">
        <v>0</v>
      </c>
      <c r="M99" s="45">
        <v>0</v>
      </c>
      <c r="N99" s="26">
        <v>9000</v>
      </c>
      <c r="O99" s="26">
        <v>9000</v>
      </c>
      <c r="P99" s="45">
        <v>9000</v>
      </c>
      <c r="Q99" s="45">
        <v>9000</v>
      </c>
      <c r="R99" s="45">
        <v>9000</v>
      </c>
      <c r="S99" s="45">
        <v>9000</v>
      </c>
    </row>
    <row r="100" spans="2:19" s="104" customFormat="1" ht="15" customHeight="1">
      <c r="B100" s="66"/>
      <c r="C100" s="23">
        <v>1</v>
      </c>
      <c r="D100" s="178" t="s">
        <v>108</v>
      </c>
      <c r="E100" s="24" t="s">
        <v>35</v>
      </c>
      <c r="F100" s="25">
        <v>6000</v>
      </c>
      <c r="G100" s="26">
        <f t="shared" si="9"/>
        <v>36000</v>
      </c>
      <c r="H100" s="26">
        <v>0</v>
      </c>
      <c r="I100" s="26">
        <v>0</v>
      </c>
      <c r="J100" s="45">
        <v>0</v>
      </c>
      <c r="K100" s="45">
        <v>0</v>
      </c>
      <c r="L100" s="45">
        <v>0</v>
      </c>
      <c r="M100" s="45">
        <v>0</v>
      </c>
      <c r="N100" s="26">
        <v>6000</v>
      </c>
      <c r="O100" s="26">
        <v>6000</v>
      </c>
      <c r="P100" s="45">
        <v>6000</v>
      </c>
      <c r="Q100" s="45">
        <v>6000</v>
      </c>
      <c r="R100" s="45">
        <v>6000</v>
      </c>
      <c r="S100" s="45">
        <v>6000</v>
      </c>
    </row>
    <row r="101" spans="2:19" s="179" customFormat="1" ht="15" customHeight="1">
      <c r="B101" s="66"/>
      <c r="C101" s="23">
        <v>5</v>
      </c>
      <c r="D101" s="178" t="s">
        <v>108</v>
      </c>
      <c r="E101" s="24" t="s">
        <v>35</v>
      </c>
      <c r="F101" s="25">
        <v>10000</v>
      </c>
      <c r="G101" s="26">
        <f t="shared" si="9"/>
        <v>300000</v>
      </c>
      <c r="H101" s="26">
        <v>0</v>
      </c>
      <c r="I101" s="26">
        <v>0</v>
      </c>
      <c r="J101" s="45">
        <v>0</v>
      </c>
      <c r="K101" s="45">
        <v>0</v>
      </c>
      <c r="L101" s="45">
        <v>0</v>
      </c>
      <c r="M101" s="45">
        <v>0</v>
      </c>
      <c r="N101" s="25">
        <v>50000</v>
      </c>
      <c r="O101" s="25">
        <v>50000</v>
      </c>
      <c r="P101" s="25">
        <v>50000</v>
      </c>
      <c r="Q101" s="25">
        <v>50000</v>
      </c>
      <c r="R101" s="25">
        <v>50000</v>
      </c>
      <c r="S101" s="25">
        <v>50000</v>
      </c>
    </row>
    <row r="102" spans="2:19" s="179" customFormat="1" ht="15" customHeight="1">
      <c r="B102" s="66"/>
      <c r="C102" s="23">
        <v>1</v>
      </c>
      <c r="D102" s="178" t="s">
        <v>108</v>
      </c>
      <c r="E102" s="24" t="s">
        <v>35</v>
      </c>
      <c r="F102" s="25">
        <v>10000</v>
      </c>
      <c r="G102" s="26">
        <f t="shared" ref="G102" si="10">SUM(H102:S102)</f>
        <v>60000</v>
      </c>
      <c r="H102" s="26">
        <v>0</v>
      </c>
      <c r="I102" s="26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20000</v>
      </c>
      <c r="P102" s="45">
        <v>10000</v>
      </c>
      <c r="Q102" s="45">
        <v>10000</v>
      </c>
      <c r="R102" s="45">
        <v>10000</v>
      </c>
      <c r="S102" s="45">
        <v>10000</v>
      </c>
    </row>
    <row r="103" spans="2:19" s="104" customFormat="1" ht="15" customHeight="1">
      <c r="B103" s="66"/>
      <c r="C103" s="23">
        <v>2</v>
      </c>
      <c r="D103" s="178" t="s">
        <v>108</v>
      </c>
      <c r="E103" s="24" t="s">
        <v>30</v>
      </c>
      <c r="F103" s="25">
        <v>10000</v>
      </c>
      <c r="G103" s="26">
        <f t="shared" si="9"/>
        <v>120000</v>
      </c>
      <c r="H103" s="26">
        <v>0</v>
      </c>
      <c r="I103" s="26">
        <v>0</v>
      </c>
      <c r="J103" s="45">
        <v>0</v>
      </c>
      <c r="K103" s="26">
        <v>0</v>
      </c>
      <c r="L103" s="26">
        <v>0</v>
      </c>
      <c r="M103" s="26">
        <v>0</v>
      </c>
      <c r="N103" s="25">
        <v>20000</v>
      </c>
      <c r="O103" s="25">
        <v>20000</v>
      </c>
      <c r="P103" s="25">
        <v>20000</v>
      </c>
      <c r="Q103" s="25">
        <v>20000</v>
      </c>
      <c r="R103" s="25">
        <v>20000</v>
      </c>
      <c r="S103" s="25">
        <v>20000</v>
      </c>
    </row>
    <row r="104" spans="2:19" s="104" customFormat="1" ht="15" customHeight="1">
      <c r="B104" s="66"/>
      <c r="C104" s="23">
        <v>1</v>
      </c>
      <c r="D104" s="178" t="s">
        <v>108</v>
      </c>
      <c r="E104" s="24" t="s">
        <v>30</v>
      </c>
      <c r="F104" s="25">
        <v>10000</v>
      </c>
      <c r="G104" s="26">
        <f t="shared" si="9"/>
        <v>60000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5">
        <v>10000</v>
      </c>
      <c r="O104" s="25">
        <v>10000</v>
      </c>
      <c r="P104" s="25">
        <v>10000</v>
      </c>
      <c r="Q104" s="25">
        <v>10000</v>
      </c>
      <c r="R104" s="25">
        <v>10000</v>
      </c>
      <c r="S104" s="25">
        <v>10000</v>
      </c>
    </row>
    <row r="105" spans="2:19" s="104" customFormat="1" ht="15" customHeight="1">
      <c r="B105" s="66"/>
      <c r="C105" s="23">
        <v>1</v>
      </c>
      <c r="D105" s="178" t="s">
        <v>108</v>
      </c>
      <c r="E105" s="24" t="s">
        <v>35</v>
      </c>
      <c r="F105" s="25">
        <v>10000</v>
      </c>
      <c r="G105" s="26">
        <f t="shared" ref="G105:G114" si="11">SUM(H105:S105)</f>
        <v>60000</v>
      </c>
      <c r="H105" s="26">
        <v>0</v>
      </c>
      <c r="I105" s="26">
        <v>0</v>
      </c>
      <c r="J105" s="45">
        <v>0</v>
      </c>
      <c r="K105" s="26">
        <v>0</v>
      </c>
      <c r="L105" s="26">
        <v>0</v>
      </c>
      <c r="M105" s="26">
        <v>0</v>
      </c>
      <c r="N105" s="26">
        <v>10000</v>
      </c>
      <c r="O105" s="26">
        <v>10000</v>
      </c>
      <c r="P105" s="45">
        <v>10000</v>
      </c>
      <c r="Q105" s="45">
        <v>10000</v>
      </c>
      <c r="R105" s="45">
        <v>10000</v>
      </c>
      <c r="S105" s="45">
        <v>10000</v>
      </c>
    </row>
    <row r="106" spans="2:19" s="104" customFormat="1" ht="15" customHeight="1">
      <c r="B106" s="66"/>
      <c r="C106" s="23">
        <v>2</v>
      </c>
      <c r="D106" s="178" t="s">
        <v>108</v>
      </c>
      <c r="E106" s="24" t="s">
        <v>30</v>
      </c>
      <c r="F106" s="25">
        <v>8000</v>
      </c>
      <c r="G106" s="26">
        <f t="shared" si="11"/>
        <v>96000</v>
      </c>
      <c r="H106" s="26">
        <v>0</v>
      </c>
      <c r="I106" s="26">
        <v>0</v>
      </c>
      <c r="J106" s="45">
        <v>0</v>
      </c>
      <c r="K106" s="26">
        <v>0</v>
      </c>
      <c r="L106" s="26">
        <v>0</v>
      </c>
      <c r="M106" s="26">
        <v>0</v>
      </c>
      <c r="N106" s="25">
        <v>16000</v>
      </c>
      <c r="O106" s="25">
        <v>16000</v>
      </c>
      <c r="P106" s="25">
        <v>16000</v>
      </c>
      <c r="Q106" s="25">
        <v>16000</v>
      </c>
      <c r="R106" s="25">
        <v>16000</v>
      </c>
      <c r="S106" s="25">
        <v>16000</v>
      </c>
    </row>
    <row r="107" spans="2:19" s="104" customFormat="1" ht="15" customHeight="1">
      <c r="B107" s="66"/>
      <c r="C107" s="23">
        <v>2</v>
      </c>
      <c r="D107" s="178" t="s">
        <v>108</v>
      </c>
      <c r="E107" s="24" t="s">
        <v>35</v>
      </c>
      <c r="F107" s="25">
        <v>15000</v>
      </c>
      <c r="G107" s="26">
        <f t="shared" si="11"/>
        <v>180000</v>
      </c>
      <c r="H107" s="26">
        <v>0</v>
      </c>
      <c r="I107" s="26">
        <v>0</v>
      </c>
      <c r="J107" s="45">
        <v>0</v>
      </c>
      <c r="K107" s="26">
        <v>0</v>
      </c>
      <c r="L107" s="26">
        <v>0</v>
      </c>
      <c r="M107" s="26">
        <v>0</v>
      </c>
      <c r="N107" s="25">
        <v>30000</v>
      </c>
      <c r="O107" s="25">
        <v>30000</v>
      </c>
      <c r="P107" s="25">
        <v>30000</v>
      </c>
      <c r="Q107" s="25">
        <v>30000</v>
      </c>
      <c r="R107" s="25">
        <v>30000</v>
      </c>
      <c r="S107" s="25">
        <v>30000</v>
      </c>
    </row>
    <row r="108" spans="2:19" s="104" customFormat="1" ht="15" customHeight="1">
      <c r="B108" s="66"/>
      <c r="C108" s="23">
        <v>1</v>
      </c>
      <c r="D108" s="188" t="s">
        <v>113</v>
      </c>
      <c r="E108" s="24" t="s">
        <v>30</v>
      </c>
      <c r="F108" s="25">
        <v>13500</v>
      </c>
      <c r="G108" s="26">
        <f t="shared" si="11"/>
        <v>67064.52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5">
        <f>+F108*0.967741935483871</f>
        <v>13064.52</v>
      </c>
      <c r="P108" s="25">
        <v>13500</v>
      </c>
      <c r="Q108" s="25">
        <v>13500</v>
      </c>
      <c r="R108" s="25">
        <v>13500</v>
      </c>
      <c r="S108" s="25">
        <v>13500</v>
      </c>
    </row>
    <row r="109" spans="2:19" s="104" customFormat="1" ht="15" customHeight="1">
      <c r="B109" s="66"/>
      <c r="C109" s="23">
        <v>1</v>
      </c>
      <c r="D109" s="188" t="s">
        <v>108</v>
      </c>
      <c r="E109" s="191" t="s">
        <v>35</v>
      </c>
      <c r="F109" s="25">
        <v>12000</v>
      </c>
      <c r="G109" s="26">
        <f t="shared" si="11"/>
        <v>72000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5">
        <v>24000</v>
      </c>
      <c r="P109" s="25">
        <v>12000</v>
      </c>
      <c r="Q109" s="25">
        <v>12000</v>
      </c>
      <c r="R109" s="25">
        <v>12000</v>
      </c>
      <c r="S109" s="25">
        <v>12000</v>
      </c>
    </row>
    <row r="110" spans="2:19" s="104" customFormat="1" ht="15" customHeight="1">
      <c r="B110" s="66"/>
      <c r="C110" s="23">
        <v>1</v>
      </c>
      <c r="D110" s="178" t="s">
        <v>112</v>
      </c>
      <c r="E110" s="24" t="s">
        <v>30</v>
      </c>
      <c r="F110" s="25">
        <v>5000</v>
      </c>
      <c r="G110" s="26">
        <f t="shared" si="11"/>
        <v>27580.65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5">
        <v>0</v>
      </c>
      <c r="P110" s="25">
        <f>161.290322580645*16+5000+5000</f>
        <v>12580.65</v>
      </c>
      <c r="Q110" s="25">
        <v>5000</v>
      </c>
      <c r="R110" s="25">
        <v>5000</v>
      </c>
      <c r="S110" s="25">
        <v>5000</v>
      </c>
    </row>
    <row r="111" spans="2:19" s="104" customFormat="1" ht="15" customHeight="1">
      <c r="B111" s="66"/>
      <c r="C111" s="23">
        <v>1</v>
      </c>
      <c r="D111" s="178" t="s">
        <v>112</v>
      </c>
      <c r="E111" s="24" t="s">
        <v>35</v>
      </c>
      <c r="F111" s="25">
        <v>16000</v>
      </c>
      <c r="G111" s="26">
        <f t="shared" si="11"/>
        <v>88258.06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5">
        <f>8258.06+16000</f>
        <v>24258.06</v>
      </c>
      <c r="P111" s="25">
        <v>16000</v>
      </c>
      <c r="Q111" s="25">
        <v>16000</v>
      </c>
      <c r="R111" s="25">
        <v>16000</v>
      </c>
      <c r="S111" s="25">
        <v>16000</v>
      </c>
    </row>
    <row r="112" spans="2:19" s="104" customFormat="1" ht="15" customHeight="1">
      <c r="B112" s="66"/>
      <c r="C112" s="23">
        <v>1</v>
      </c>
      <c r="D112" s="178" t="s">
        <v>113</v>
      </c>
      <c r="E112" s="24" t="s">
        <v>30</v>
      </c>
      <c r="F112" s="25">
        <v>5000</v>
      </c>
      <c r="G112" s="26">
        <f>SUM(H112:S112)</f>
        <v>24838.71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5">
        <f>+F112*0.967741935483871</f>
        <v>4838.71</v>
      </c>
      <c r="P112" s="25">
        <v>5000</v>
      </c>
      <c r="Q112" s="25">
        <v>5000</v>
      </c>
      <c r="R112" s="25">
        <v>5000</v>
      </c>
      <c r="S112" s="25">
        <v>5000</v>
      </c>
    </row>
    <row r="113" spans="2:19" s="104" customFormat="1" ht="15" customHeight="1">
      <c r="B113" s="66"/>
      <c r="C113" s="23">
        <v>1</v>
      </c>
      <c r="D113" s="178" t="s">
        <v>113</v>
      </c>
      <c r="E113" s="24" t="s">
        <v>35</v>
      </c>
      <c r="F113" s="25">
        <v>8000</v>
      </c>
      <c r="G113" s="26">
        <f t="shared" ref="G113" si="12">SUM(H113:S113)</f>
        <v>39741.94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5">
        <v>0</v>
      </c>
      <c r="P113" s="25">
        <f>258.064516129032*30+8000</f>
        <v>15741.94</v>
      </c>
      <c r="Q113" s="25">
        <v>8000</v>
      </c>
      <c r="R113" s="25">
        <v>8000</v>
      </c>
      <c r="S113" s="25">
        <v>8000</v>
      </c>
    </row>
    <row r="114" spans="2:19" s="104" customFormat="1" ht="15" customHeight="1">
      <c r="B114" s="66"/>
      <c r="C114" s="23">
        <v>1</v>
      </c>
      <c r="D114" s="178" t="s">
        <v>108</v>
      </c>
      <c r="E114" s="24" t="s">
        <v>35</v>
      </c>
      <c r="F114" s="25">
        <v>13500</v>
      </c>
      <c r="G114" s="26">
        <f t="shared" si="11"/>
        <v>81000</v>
      </c>
      <c r="H114" s="26">
        <v>0</v>
      </c>
      <c r="I114" s="26">
        <v>0</v>
      </c>
      <c r="J114" s="45">
        <v>0</v>
      </c>
      <c r="K114" s="45">
        <v>0</v>
      </c>
      <c r="L114" s="45">
        <v>0</v>
      </c>
      <c r="M114" s="45">
        <v>0</v>
      </c>
      <c r="N114" s="26">
        <v>13500</v>
      </c>
      <c r="O114" s="26">
        <v>13500</v>
      </c>
      <c r="P114" s="45">
        <v>13500</v>
      </c>
      <c r="Q114" s="45">
        <v>13500</v>
      </c>
      <c r="R114" s="45">
        <v>13500</v>
      </c>
      <c r="S114" s="45">
        <v>13500</v>
      </c>
    </row>
    <row r="115" spans="2:19" s="104" customFormat="1" ht="15" customHeight="1">
      <c r="B115" s="66"/>
      <c r="C115" s="276">
        <v>1</v>
      </c>
      <c r="D115" s="178" t="s">
        <v>108</v>
      </c>
      <c r="E115" s="24" t="s">
        <v>35</v>
      </c>
      <c r="F115" s="25">
        <v>6000</v>
      </c>
      <c r="G115" s="26">
        <f t="shared" ref="G115:G138" si="13">SUM(H115:S115)</f>
        <v>36000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6000</v>
      </c>
      <c r="O115" s="26">
        <v>6000</v>
      </c>
      <c r="P115" s="26">
        <v>6000</v>
      </c>
      <c r="Q115" s="26">
        <v>6000</v>
      </c>
      <c r="R115" s="26">
        <v>6000</v>
      </c>
      <c r="S115" s="26">
        <v>6000</v>
      </c>
    </row>
    <row r="116" spans="2:19" s="104" customFormat="1" ht="15" customHeight="1">
      <c r="B116" s="66"/>
      <c r="C116" s="23">
        <v>1</v>
      </c>
      <c r="D116" s="178" t="s">
        <v>109</v>
      </c>
      <c r="E116" s="24" t="s">
        <v>35</v>
      </c>
      <c r="F116" s="25">
        <v>10000</v>
      </c>
      <c r="G116" s="26">
        <f t="shared" si="13"/>
        <v>65000</v>
      </c>
      <c r="H116" s="26">
        <v>0</v>
      </c>
      <c r="I116" s="26">
        <v>0</v>
      </c>
      <c r="J116" s="45">
        <v>0</v>
      </c>
      <c r="K116" s="26">
        <v>0</v>
      </c>
      <c r="L116" s="26">
        <v>0</v>
      </c>
      <c r="M116" s="26">
        <v>0</v>
      </c>
      <c r="N116" s="26">
        <f>10000+5000</f>
        <v>15000</v>
      </c>
      <c r="O116" s="26">
        <v>10000</v>
      </c>
      <c r="P116" s="26">
        <v>10000</v>
      </c>
      <c r="Q116" s="26">
        <v>10000</v>
      </c>
      <c r="R116" s="26">
        <v>10000</v>
      </c>
      <c r="S116" s="26">
        <v>10000</v>
      </c>
    </row>
    <row r="117" spans="2:19" s="104" customFormat="1" ht="15" customHeight="1">
      <c r="B117" s="66"/>
      <c r="C117" s="23">
        <v>1</v>
      </c>
      <c r="D117" s="178" t="s">
        <v>109</v>
      </c>
      <c r="E117" s="24" t="s">
        <v>35</v>
      </c>
      <c r="F117" s="25">
        <v>12000</v>
      </c>
      <c r="G117" s="26">
        <f t="shared" si="13"/>
        <v>78000</v>
      </c>
      <c r="H117" s="26">
        <v>0</v>
      </c>
      <c r="I117" s="26">
        <v>0</v>
      </c>
      <c r="J117" s="45">
        <v>0</v>
      </c>
      <c r="K117" s="26">
        <v>0</v>
      </c>
      <c r="L117" s="26">
        <v>0</v>
      </c>
      <c r="M117" s="26">
        <v>0</v>
      </c>
      <c r="N117" s="26">
        <f>12000+6000</f>
        <v>18000</v>
      </c>
      <c r="O117" s="26">
        <v>12000</v>
      </c>
      <c r="P117" s="26">
        <v>12000</v>
      </c>
      <c r="Q117" s="26">
        <v>12000</v>
      </c>
      <c r="R117" s="26">
        <v>12000</v>
      </c>
      <c r="S117" s="26">
        <v>12000</v>
      </c>
    </row>
    <row r="118" spans="2:19" s="104" customFormat="1" ht="15" customHeight="1">
      <c r="B118" s="66"/>
      <c r="C118" s="23">
        <v>1</v>
      </c>
      <c r="D118" s="178" t="s">
        <v>105</v>
      </c>
      <c r="E118" s="24" t="s">
        <v>30</v>
      </c>
      <c r="F118" s="25">
        <v>6000</v>
      </c>
      <c r="G118" s="26">
        <f t="shared" si="13"/>
        <v>42000</v>
      </c>
      <c r="H118" s="26">
        <v>0</v>
      </c>
      <c r="I118" s="26">
        <v>0</v>
      </c>
      <c r="J118" s="45">
        <v>0</v>
      </c>
      <c r="K118" s="26">
        <v>0</v>
      </c>
      <c r="L118" s="26">
        <v>0</v>
      </c>
      <c r="M118" s="45">
        <v>6000</v>
      </c>
      <c r="N118" s="45">
        <v>6000</v>
      </c>
      <c r="O118" s="45">
        <v>6000</v>
      </c>
      <c r="P118" s="45">
        <v>6000</v>
      </c>
      <c r="Q118" s="45">
        <v>6000</v>
      </c>
      <c r="R118" s="45">
        <v>6000</v>
      </c>
      <c r="S118" s="45">
        <v>6000</v>
      </c>
    </row>
    <row r="119" spans="2:19" s="104" customFormat="1" ht="15" customHeight="1">
      <c r="B119" s="66"/>
      <c r="C119" s="23">
        <v>1</v>
      </c>
      <c r="D119" s="178" t="s">
        <v>105</v>
      </c>
      <c r="E119" s="24" t="s">
        <v>30</v>
      </c>
      <c r="F119" s="25">
        <v>7000</v>
      </c>
      <c r="G119" s="26">
        <f t="shared" si="13"/>
        <v>49000</v>
      </c>
      <c r="H119" s="26">
        <v>0</v>
      </c>
      <c r="I119" s="26">
        <v>0</v>
      </c>
      <c r="J119" s="45">
        <v>0</v>
      </c>
      <c r="K119" s="26">
        <v>0</v>
      </c>
      <c r="L119" s="26">
        <v>0</v>
      </c>
      <c r="M119" s="45">
        <v>0</v>
      </c>
      <c r="N119" s="45">
        <f>7000+F119</f>
        <v>14000</v>
      </c>
      <c r="O119" s="45">
        <v>7000</v>
      </c>
      <c r="P119" s="45">
        <v>7000</v>
      </c>
      <c r="Q119" s="45">
        <v>7000</v>
      </c>
      <c r="R119" s="45">
        <v>7000</v>
      </c>
      <c r="S119" s="45">
        <v>7000</v>
      </c>
    </row>
    <row r="120" spans="2:19" s="104" customFormat="1" ht="15" customHeight="1">
      <c r="B120" s="66"/>
      <c r="C120" s="23">
        <v>1</v>
      </c>
      <c r="D120" s="178" t="s">
        <v>119</v>
      </c>
      <c r="E120" s="24" t="s">
        <v>35</v>
      </c>
      <c r="F120" s="25">
        <v>17500</v>
      </c>
      <c r="G120" s="26">
        <f>SUM(H120:S120)</f>
        <v>61250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45">
        <f>+F120/30*15+F120</f>
        <v>26250</v>
      </c>
      <c r="R120" s="25">
        <v>17500</v>
      </c>
      <c r="S120" s="25">
        <v>17500</v>
      </c>
    </row>
    <row r="121" spans="2:19" s="104" customFormat="1" ht="15" customHeight="1">
      <c r="B121" s="66"/>
      <c r="C121" s="23">
        <v>1</v>
      </c>
      <c r="D121" s="178" t="s">
        <v>119</v>
      </c>
      <c r="E121" s="24" t="s">
        <v>35</v>
      </c>
      <c r="F121" s="25">
        <v>10000</v>
      </c>
      <c r="G121" s="26">
        <f t="shared" si="13"/>
        <v>35000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45">
        <f t="shared" ref="Q121:Q127" si="14">+F121/30*15+F121</f>
        <v>15000</v>
      </c>
      <c r="R121" s="25">
        <v>10000</v>
      </c>
      <c r="S121" s="25">
        <v>10000</v>
      </c>
    </row>
    <row r="122" spans="2:19" s="104" customFormat="1" ht="15" customHeight="1">
      <c r="B122" s="66"/>
      <c r="C122" s="23">
        <v>1</v>
      </c>
      <c r="D122" s="178" t="s">
        <v>119</v>
      </c>
      <c r="E122" s="24" t="s">
        <v>30</v>
      </c>
      <c r="F122" s="25">
        <v>10000</v>
      </c>
      <c r="G122" s="26">
        <f t="shared" si="13"/>
        <v>35000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45">
        <f t="shared" si="14"/>
        <v>15000</v>
      </c>
      <c r="R122" s="25">
        <v>10000</v>
      </c>
      <c r="S122" s="25">
        <v>10000</v>
      </c>
    </row>
    <row r="123" spans="2:19" s="104" customFormat="1" ht="15" customHeight="1">
      <c r="B123" s="66"/>
      <c r="C123" s="23">
        <v>1</v>
      </c>
      <c r="D123" s="178" t="s">
        <v>119</v>
      </c>
      <c r="E123" s="24" t="s">
        <v>30</v>
      </c>
      <c r="F123" s="25">
        <v>9000</v>
      </c>
      <c r="G123" s="26">
        <f t="shared" si="13"/>
        <v>31500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45">
        <f t="shared" si="14"/>
        <v>13500</v>
      </c>
      <c r="R123" s="25">
        <v>9000</v>
      </c>
      <c r="S123" s="25">
        <v>9000</v>
      </c>
    </row>
    <row r="124" spans="2:19" s="104" customFormat="1" ht="15" customHeight="1">
      <c r="B124" s="66"/>
      <c r="C124" s="23">
        <v>1</v>
      </c>
      <c r="D124" s="178" t="s">
        <v>119</v>
      </c>
      <c r="E124" s="24" t="s">
        <v>30</v>
      </c>
      <c r="F124" s="25">
        <v>8500</v>
      </c>
      <c r="G124" s="26">
        <f t="shared" si="13"/>
        <v>29750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45">
        <f t="shared" si="14"/>
        <v>12750</v>
      </c>
      <c r="R124" s="25">
        <v>8500</v>
      </c>
      <c r="S124" s="25">
        <v>8500</v>
      </c>
    </row>
    <row r="125" spans="2:19" s="104" customFormat="1" ht="15" customHeight="1">
      <c r="B125" s="66"/>
      <c r="C125" s="23">
        <v>1</v>
      </c>
      <c r="D125" s="178" t="s">
        <v>119</v>
      </c>
      <c r="E125" s="24" t="s">
        <v>30</v>
      </c>
      <c r="F125" s="25">
        <v>7000</v>
      </c>
      <c r="G125" s="26">
        <f>SUM(H125:S125)</f>
        <v>24500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45">
        <f t="shared" si="14"/>
        <v>10500</v>
      </c>
      <c r="R125" s="45">
        <v>7000</v>
      </c>
      <c r="S125" s="45">
        <v>7000</v>
      </c>
    </row>
    <row r="126" spans="2:19" s="104" customFormat="1" ht="15" customHeight="1">
      <c r="B126" s="66"/>
      <c r="C126" s="23">
        <v>1</v>
      </c>
      <c r="D126" s="178" t="s">
        <v>119</v>
      </c>
      <c r="E126" s="24" t="s">
        <v>30</v>
      </c>
      <c r="F126" s="25">
        <v>7000</v>
      </c>
      <c r="G126" s="26">
        <f t="shared" si="13"/>
        <v>24500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45">
        <f t="shared" si="14"/>
        <v>10500</v>
      </c>
      <c r="R126" s="25">
        <v>7000</v>
      </c>
      <c r="S126" s="25">
        <v>7000</v>
      </c>
    </row>
    <row r="127" spans="2:19" s="104" customFormat="1" ht="15" customHeight="1">
      <c r="B127" s="66"/>
      <c r="C127" s="23">
        <v>1</v>
      </c>
      <c r="D127" s="178" t="s">
        <v>119</v>
      </c>
      <c r="E127" s="24" t="s">
        <v>30</v>
      </c>
      <c r="F127" s="25">
        <v>6500</v>
      </c>
      <c r="G127" s="26">
        <f t="shared" si="13"/>
        <v>22750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45">
        <f t="shared" si="14"/>
        <v>9750</v>
      </c>
      <c r="R127" s="25">
        <v>6500</v>
      </c>
      <c r="S127" s="25">
        <v>6500</v>
      </c>
    </row>
    <row r="128" spans="2:19" s="104" customFormat="1" ht="15" customHeight="1">
      <c r="B128" s="66"/>
      <c r="C128" s="23">
        <v>1</v>
      </c>
      <c r="D128" s="188" t="s">
        <v>124</v>
      </c>
      <c r="E128" s="24" t="s">
        <v>30</v>
      </c>
      <c r="F128" s="25">
        <v>4500</v>
      </c>
      <c r="G128" s="26">
        <f t="shared" si="13"/>
        <v>12483.87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5">
        <v>0</v>
      </c>
      <c r="R128" s="25">
        <f>4500+3483.87</f>
        <v>7983.87</v>
      </c>
      <c r="S128" s="25">
        <v>4500</v>
      </c>
    </row>
    <row r="129" spans="2:283" s="104" customFormat="1" ht="15.75" customHeight="1">
      <c r="B129" s="66"/>
      <c r="C129" s="23">
        <v>1</v>
      </c>
      <c r="D129" s="188" t="s">
        <v>124</v>
      </c>
      <c r="E129" s="24" t="s">
        <v>30</v>
      </c>
      <c r="F129" s="25">
        <v>8000</v>
      </c>
      <c r="G129" s="26">
        <f t="shared" si="13"/>
        <v>22193.55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5">
        <v>0</v>
      </c>
      <c r="R129" s="25">
        <f>258.064516129032*24+8000</f>
        <v>14193.55</v>
      </c>
      <c r="S129" s="25">
        <v>8000</v>
      </c>
    </row>
    <row r="130" spans="2:283" s="104" customFormat="1" ht="15" customHeight="1">
      <c r="B130" s="66"/>
      <c r="C130" s="23">
        <v>1</v>
      </c>
      <c r="D130" s="188" t="s">
        <v>126</v>
      </c>
      <c r="E130" s="24" t="s">
        <v>30</v>
      </c>
      <c r="F130" s="25">
        <v>8000</v>
      </c>
      <c r="G130" s="26">
        <f t="shared" si="13"/>
        <v>19354.84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5">
        <v>0</v>
      </c>
      <c r="R130" s="25">
        <f>258.064516129032*13+8000</f>
        <v>11354.84</v>
      </c>
      <c r="S130" s="25">
        <v>8000</v>
      </c>
    </row>
    <row r="131" spans="2:283" s="104" customFormat="1" ht="15" customHeight="1">
      <c r="B131" s="66"/>
      <c r="C131" s="23">
        <v>1</v>
      </c>
      <c r="D131" s="188" t="s">
        <v>126</v>
      </c>
      <c r="E131" s="24" t="s">
        <v>35</v>
      </c>
      <c r="F131" s="25">
        <v>13000</v>
      </c>
      <c r="G131" s="26">
        <f t="shared" si="13"/>
        <v>31451.61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5">
        <v>0</v>
      </c>
      <c r="R131" s="25">
        <f>419.354838709677*13+13000</f>
        <v>18451.61</v>
      </c>
      <c r="S131" s="25">
        <v>13000</v>
      </c>
    </row>
    <row r="132" spans="2:283" s="104" customFormat="1" ht="15" customHeight="1">
      <c r="B132" s="66"/>
      <c r="C132" s="23">
        <v>1</v>
      </c>
      <c r="D132" s="188" t="s">
        <v>126</v>
      </c>
      <c r="E132" s="24" t="s">
        <v>35</v>
      </c>
      <c r="F132" s="25">
        <v>15000</v>
      </c>
      <c r="G132" s="26">
        <f t="shared" si="13"/>
        <v>36290.32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5">
        <v>0</v>
      </c>
      <c r="R132" s="25">
        <f>483.870967741935*13+15000</f>
        <v>21290.32</v>
      </c>
      <c r="S132" s="25">
        <v>15000</v>
      </c>
    </row>
    <row r="133" spans="2:283" s="104" customFormat="1" ht="15" customHeight="1">
      <c r="B133" s="66"/>
      <c r="C133" s="23">
        <v>1</v>
      </c>
      <c r="D133" s="188" t="s">
        <v>128</v>
      </c>
      <c r="E133" s="24" t="s">
        <v>30</v>
      </c>
      <c r="F133" s="25">
        <v>10000</v>
      </c>
      <c r="G133" s="26">
        <f t="shared" si="13"/>
        <v>19666.669999999998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5">
        <f>333.333333333333*29</f>
        <v>9666.67</v>
      </c>
      <c r="S133" s="25">
        <v>10000</v>
      </c>
    </row>
    <row r="134" spans="2:283" s="104" customFormat="1" ht="15" customHeight="1">
      <c r="B134" s="66"/>
      <c r="C134" s="23">
        <v>1</v>
      </c>
      <c r="D134" s="178" t="s">
        <v>105</v>
      </c>
      <c r="E134" s="24" t="s">
        <v>35</v>
      </c>
      <c r="F134" s="25">
        <v>12000</v>
      </c>
      <c r="G134" s="26">
        <f t="shared" si="13"/>
        <v>84000</v>
      </c>
      <c r="H134" s="26">
        <v>0</v>
      </c>
      <c r="I134" s="26">
        <v>0</v>
      </c>
      <c r="J134" s="45">
        <v>0</v>
      </c>
      <c r="K134" s="26">
        <v>0</v>
      </c>
      <c r="L134" s="26">
        <v>0</v>
      </c>
      <c r="M134" s="45">
        <v>12000</v>
      </c>
      <c r="N134" s="45">
        <v>12000</v>
      </c>
      <c r="O134" s="45">
        <v>12000</v>
      </c>
      <c r="P134" s="45">
        <v>12000</v>
      </c>
      <c r="Q134" s="45">
        <v>12000</v>
      </c>
      <c r="R134" s="45">
        <v>12000</v>
      </c>
      <c r="S134" s="45">
        <v>12000</v>
      </c>
    </row>
    <row r="135" spans="2:283" s="104" customFormat="1" ht="15" customHeight="1">
      <c r="B135" s="66"/>
      <c r="C135" s="23">
        <v>1</v>
      </c>
      <c r="D135" s="178" t="s">
        <v>105</v>
      </c>
      <c r="E135" s="24" t="s">
        <v>35</v>
      </c>
      <c r="F135" s="25">
        <v>10000</v>
      </c>
      <c r="G135" s="26">
        <f t="shared" si="13"/>
        <v>70000</v>
      </c>
      <c r="H135" s="26">
        <v>0</v>
      </c>
      <c r="I135" s="26">
        <v>0</v>
      </c>
      <c r="J135" s="45">
        <v>0</v>
      </c>
      <c r="K135" s="26">
        <v>0</v>
      </c>
      <c r="L135" s="26">
        <v>0</v>
      </c>
      <c r="M135" s="45">
        <v>10000</v>
      </c>
      <c r="N135" s="45">
        <v>10000</v>
      </c>
      <c r="O135" s="45">
        <v>10000</v>
      </c>
      <c r="P135" s="45">
        <v>10000</v>
      </c>
      <c r="Q135" s="45">
        <v>10000</v>
      </c>
      <c r="R135" s="45">
        <v>10000</v>
      </c>
      <c r="S135" s="45">
        <v>10000</v>
      </c>
    </row>
    <row r="136" spans="2:283" s="104" customFormat="1" ht="15" customHeight="1">
      <c r="B136" s="66"/>
      <c r="C136" s="23">
        <v>1</v>
      </c>
      <c r="D136" s="178" t="s">
        <v>105</v>
      </c>
      <c r="E136" s="24" t="s">
        <v>35</v>
      </c>
      <c r="F136" s="25">
        <v>15000</v>
      </c>
      <c r="G136" s="26">
        <f t="shared" si="13"/>
        <v>105000</v>
      </c>
      <c r="H136" s="26">
        <v>0</v>
      </c>
      <c r="I136" s="26">
        <v>0</v>
      </c>
      <c r="J136" s="45">
        <v>0</v>
      </c>
      <c r="K136" s="26">
        <v>0</v>
      </c>
      <c r="L136" s="26">
        <v>0</v>
      </c>
      <c r="M136" s="45">
        <v>15000</v>
      </c>
      <c r="N136" s="45">
        <v>15000</v>
      </c>
      <c r="O136" s="45">
        <v>15000</v>
      </c>
      <c r="P136" s="45">
        <v>15000</v>
      </c>
      <c r="Q136" s="45">
        <v>15000</v>
      </c>
      <c r="R136" s="45">
        <v>15000</v>
      </c>
      <c r="S136" s="45">
        <v>15000</v>
      </c>
    </row>
    <row r="137" spans="2:283" s="104" customFormat="1" ht="15" customHeight="1">
      <c r="B137" s="66"/>
      <c r="C137" s="23">
        <v>1</v>
      </c>
      <c r="D137" s="178" t="s">
        <v>105</v>
      </c>
      <c r="E137" s="24" t="s">
        <v>30</v>
      </c>
      <c r="F137" s="25">
        <v>9000</v>
      </c>
      <c r="G137" s="26">
        <f t="shared" si="13"/>
        <v>63000</v>
      </c>
      <c r="H137" s="26">
        <v>0</v>
      </c>
      <c r="I137" s="26">
        <v>0</v>
      </c>
      <c r="J137" s="45">
        <v>0</v>
      </c>
      <c r="K137" s="26">
        <v>0</v>
      </c>
      <c r="L137" s="26">
        <v>0</v>
      </c>
      <c r="M137" s="45">
        <v>9000</v>
      </c>
      <c r="N137" s="45">
        <v>9000</v>
      </c>
      <c r="O137" s="45">
        <v>9000</v>
      </c>
      <c r="P137" s="45">
        <v>9000</v>
      </c>
      <c r="Q137" s="45">
        <v>9000</v>
      </c>
      <c r="R137" s="45">
        <v>9000</v>
      </c>
      <c r="S137" s="45">
        <v>9000</v>
      </c>
    </row>
    <row r="138" spans="2:283" s="104" customFormat="1" ht="15" customHeight="1">
      <c r="B138" s="66"/>
      <c r="C138" s="23">
        <v>1</v>
      </c>
      <c r="D138" s="178" t="s">
        <v>105</v>
      </c>
      <c r="E138" s="24" t="s">
        <v>35</v>
      </c>
      <c r="F138" s="25">
        <v>15000</v>
      </c>
      <c r="G138" s="26">
        <f t="shared" si="13"/>
        <v>105000</v>
      </c>
      <c r="H138" s="26">
        <v>0</v>
      </c>
      <c r="I138" s="26">
        <v>0</v>
      </c>
      <c r="J138" s="45">
        <v>0</v>
      </c>
      <c r="K138" s="26">
        <v>0</v>
      </c>
      <c r="L138" s="26">
        <v>0</v>
      </c>
      <c r="M138" s="45">
        <v>15000</v>
      </c>
      <c r="N138" s="45">
        <v>15000</v>
      </c>
      <c r="O138" s="45">
        <v>15000</v>
      </c>
      <c r="P138" s="45">
        <v>15000</v>
      </c>
      <c r="Q138" s="45">
        <v>15000</v>
      </c>
      <c r="R138" s="45">
        <v>15000</v>
      </c>
      <c r="S138" s="45">
        <v>15000</v>
      </c>
    </row>
    <row r="139" spans="2:283" s="100" customFormat="1">
      <c r="B139" s="17"/>
      <c r="C139" s="23"/>
      <c r="D139" s="208"/>
      <c r="E139" s="291" t="s">
        <v>24</v>
      </c>
      <c r="F139" s="292"/>
      <c r="G139" s="45">
        <f>2525940-(SUM(G21:G138))+3898420-105555</f>
        <v>49700.04</v>
      </c>
      <c r="H139" s="20"/>
      <c r="I139" s="20"/>
      <c r="J139" s="20"/>
      <c r="K139" s="20"/>
      <c r="L139" s="20"/>
      <c r="M139" s="20"/>
      <c r="N139" s="20"/>
      <c r="O139" s="20"/>
      <c r="P139" s="22"/>
      <c r="Q139" s="22"/>
      <c r="R139" s="20"/>
      <c r="S139" s="20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33"/>
      <c r="DN139" s="133"/>
      <c r="DO139" s="133"/>
      <c r="DP139" s="133"/>
      <c r="DQ139" s="133"/>
      <c r="DR139" s="133"/>
      <c r="DS139" s="133"/>
      <c r="DT139" s="133"/>
      <c r="DU139" s="133"/>
      <c r="DV139" s="133"/>
      <c r="DW139" s="133"/>
      <c r="DX139" s="133"/>
      <c r="DY139" s="133"/>
      <c r="DZ139" s="133"/>
      <c r="EA139" s="133"/>
      <c r="EB139" s="133"/>
      <c r="EC139" s="133"/>
      <c r="ED139" s="133"/>
      <c r="EE139" s="133"/>
      <c r="EF139" s="133"/>
      <c r="EG139" s="133"/>
      <c r="EH139" s="133"/>
      <c r="EI139" s="133"/>
      <c r="EJ139" s="133"/>
      <c r="EK139" s="133"/>
      <c r="EL139" s="133"/>
      <c r="EM139" s="133"/>
      <c r="EN139" s="133"/>
      <c r="EO139" s="133"/>
      <c r="EP139" s="133"/>
      <c r="EQ139" s="133"/>
      <c r="ER139" s="133"/>
      <c r="ES139" s="133"/>
      <c r="ET139" s="133"/>
      <c r="EU139" s="133"/>
      <c r="EV139" s="133"/>
      <c r="EW139" s="133"/>
      <c r="EX139" s="133"/>
      <c r="EY139" s="133"/>
      <c r="EZ139" s="133"/>
      <c r="FA139" s="133"/>
      <c r="FB139" s="133"/>
      <c r="FC139" s="133"/>
      <c r="FD139" s="133"/>
      <c r="FE139" s="133"/>
      <c r="FF139" s="133"/>
      <c r="FG139" s="133"/>
      <c r="FH139" s="133"/>
      <c r="FI139" s="133"/>
      <c r="FJ139" s="133"/>
      <c r="FK139" s="133"/>
      <c r="FL139" s="133"/>
      <c r="FM139" s="133"/>
      <c r="FN139" s="133"/>
      <c r="FO139" s="133"/>
      <c r="FP139" s="133"/>
      <c r="FQ139" s="133"/>
      <c r="FR139" s="133"/>
      <c r="FS139" s="133"/>
      <c r="FT139" s="133"/>
      <c r="FU139" s="133"/>
      <c r="FV139" s="133"/>
      <c r="FW139" s="133"/>
      <c r="FX139" s="133"/>
      <c r="FY139" s="133"/>
      <c r="FZ139" s="133"/>
      <c r="GA139" s="133"/>
      <c r="GB139" s="133"/>
      <c r="GC139" s="133"/>
      <c r="GD139" s="133"/>
      <c r="GE139" s="133"/>
      <c r="GF139" s="133"/>
      <c r="GG139" s="133"/>
      <c r="GH139" s="133"/>
      <c r="GI139" s="133"/>
      <c r="GJ139" s="133"/>
      <c r="GK139" s="133"/>
      <c r="GL139" s="133"/>
      <c r="GM139" s="133"/>
      <c r="GN139" s="133"/>
      <c r="GO139" s="133"/>
      <c r="GP139" s="133"/>
      <c r="GQ139" s="133"/>
      <c r="GR139" s="133"/>
      <c r="GS139" s="133"/>
      <c r="GT139" s="133"/>
      <c r="GU139" s="133"/>
      <c r="GV139" s="133"/>
      <c r="GW139" s="133"/>
      <c r="GX139" s="133"/>
      <c r="GY139" s="133"/>
      <c r="GZ139" s="133"/>
      <c r="HA139" s="133"/>
      <c r="HB139" s="133"/>
      <c r="HC139" s="133"/>
      <c r="HD139" s="133"/>
      <c r="HE139" s="133"/>
      <c r="HF139" s="133"/>
      <c r="HG139" s="133"/>
      <c r="HH139" s="133"/>
      <c r="HI139" s="133"/>
      <c r="HJ139" s="133"/>
      <c r="HK139" s="133"/>
      <c r="HL139" s="133"/>
      <c r="HM139" s="133"/>
      <c r="HN139" s="133"/>
      <c r="HO139" s="133"/>
      <c r="HP139" s="133"/>
      <c r="HQ139" s="133"/>
      <c r="HR139" s="133"/>
      <c r="HS139" s="133"/>
      <c r="HT139" s="133"/>
      <c r="HU139" s="133"/>
      <c r="HV139" s="133"/>
      <c r="HW139" s="133"/>
      <c r="HX139" s="133"/>
      <c r="HY139" s="133"/>
      <c r="HZ139" s="133"/>
      <c r="IA139" s="133"/>
      <c r="IB139" s="133"/>
      <c r="IC139" s="133"/>
      <c r="ID139" s="133"/>
      <c r="IE139" s="133"/>
      <c r="IF139" s="133"/>
      <c r="IG139" s="133"/>
      <c r="IH139" s="133"/>
      <c r="II139" s="133"/>
      <c r="IJ139" s="133"/>
      <c r="IK139" s="133"/>
      <c r="IL139" s="133"/>
      <c r="IM139" s="133"/>
      <c r="IN139" s="133"/>
      <c r="IO139" s="133"/>
      <c r="IP139" s="133"/>
      <c r="IQ139" s="133"/>
      <c r="IR139" s="133"/>
      <c r="IS139" s="133"/>
      <c r="IT139" s="133"/>
      <c r="IU139" s="133"/>
      <c r="IV139" s="133"/>
      <c r="IW139" s="133"/>
      <c r="IX139" s="133"/>
      <c r="IY139" s="133"/>
      <c r="IZ139" s="133"/>
      <c r="JA139" s="133"/>
      <c r="JB139" s="133"/>
      <c r="JC139" s="133"/>
      <c r="JD139" s="133"/>
      <c r="JE139" s="133"/>
      <c r="JF139" s="133"/>
      <c r="JG139" s="133"/>
      <c r="JH139" s="133"/>
      <c r="JI139" s="133"/>
      <c r="JJ139" s="133"/>
      <c r="JK139" s="133"/>
      <c r="JL139" s="133"/>
      <c r="JM139" s="133"/>
      <c r="JN139" s="133"/>
      <c r="JO139" s="133"/>
      <c r="JP139" s="133"/>
      <c r="JQ139" s="133"/>
      <c r="JR139" s="133"/>
      <c r="JS139" s="133"/>
      <c r="JT139" s="133"/>
      <c r="JU139" s="133"/>
      <c r="JV139" s="133"/>
      <c r="JW139" s="133"/>
    </row>
    <row r="140" spans="2:283" s="100" customFormat="1">
      <c r="B140" s="113"/>
      <c r="C140" s="132"/>
      <c r="D140" s="209"/>
      <c r="E140" s="115"/>
      <c r="F140" s="116"/>
      <c r="G140" s="117"/>
      <c r="H140" s="118"/>
      <c r="I140" s="118"/>
      <c r="J140" s="118"/>
      <c r="K140" s="118"/>
      <c r="L140" s="118"/>
      <c r="M140" s="118"/>
      <c r="N140" s="118"/>
      <c r="O140" s="118"/>
      <c r="P140" s="31"/>
      <c r="Q140" s="31"/>
      <c r="R140" s="118"/>
      <c r="S140" s="118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33"/>
      <c r="DN140" s="133"/>
      <c r="DO140" s="133"/>
      <c r="DP140" s="133"/>
      <c r="DQ140" s="133"/>
      <c r="DR140" s="133"/>
      <c r="DS140" s="133"/>
      <c r="DT140" s="133"/>
      <c r="DU140" s="133"/>
      <c r="DV140" s="133"/>
      <c r="DW140" s="133"/>
      <c r="DX140" s="133"/>
      <c r="DY140" s="133"/>
      <c r="DZ140" s="133"/>
      <c r="EA140" s="133"/>
      <c r="EB140" s="133"/>
      <c r="EC140" s="133"/>
      <c r="ED140" s="133"/>
      <c r="EE140" s="133"/>
      <c r="EF140" s="133"/>
      <c r="EG140" s="133"/>
      <c r="EH140" s="133"/>
      <c r="EI140" s="133"/>
      <c r="EJ140" s="133"/>
      <c r="EK140" s="133"/>
      <c r="EL140" s="133"/>
      <c r="EM140" s="133"/>
      <c r="EN140" s="133"/>
      <c r="EO140" s="133"/>
      <c r="EP140" s="133"/>
      <c r="EQ140" s="133"/>
      <c r="ER140" s="133"/>
      <c r="ES140" s="133"/>
      <c r="ET140" s="133"/>
      <c r="EU140" s="133"/>
      <c r="EV140" s="133"/>
      <c r="EW140" s="133"/>
      <c r="EX140" s="133"/>
      <c r="EY140" s="133"/>
      <c r="EZ140" s="133"/>
      <c r="FA140" s="133"/>
      <c r="FB140" s="133"/>
      <c r="FC140" s="133"/>
      <c r="FD140" s="133"/>
      <c r="FE140" s="133"/>
      <c r="FF140" s="133"/>
      <c r="FG140" s="133"/>
      <c r="FH140" s="133"/>
      <c r="FI140" s="133"/>
      <c r="FJ140" s="133"/>
      <c r="FK140" s="133"/>
      <c r="FL140" s="133"/>
      <c r="FM140" s="133"/>
      <c r="FN140" s="133"/>
      <c r="FO140" s="133"/>
      <c r="FP140" s="133"/>
      <c r="FQ140" s="133"/>
      <c r="FR140" s="133"/>
      <c r="FS140" s="133"/>
      <c r="FT140" s="133"/>
      <c r="FU140" s="133"/>
      <c r="FV140" s="133"/>
      <c r="FW140" s="133"/>
      <c r="FX140" s="133"/>
      <c r="FY140" s="133"/>
      <c r="FZ140" s="133"/>
      <c r="GA140" s="133"/>
      <c r="GB140" s="133"/>
      <c r="GC140" s="133"/>
      <c r="GD140" s="133"/>
      <c r="GE140" s="133"/>
      <c r="GF140" s="133"/>
      <c r="GG140" s="133"/>
      <c r="GH140" s="133"/>
      <c r="GI140" s="133"/>
      <c r="GJ140" s="133"/>
      <c r="GK140" s="133"/>
      <c r="GL140" s="133"/>
      <c r="GM140" s="133"/>
      <c r="GN140" s="133"/>
      <c r="GO140" s="133"/>
      <c r="GP140" s="133"/>
      <c r="GQ140" s="133"/>
      <c r="GR140" s="133"/>
      <c r="GS140" s="133"/>
      <c r="GT140" s="133"/>
      <c r="GU140" s="133"/>
      <c r="GV140" s="133"/>
      <c r="GW140" s="133"/>
      <c r="GX140" s="133"/>
      <c r="GY140" s="133"/>
      <c r="GZ140" s="133"/>
      <c r="HA140" s="133"/>
      <c r="HB140" s="133"/>
      <c r="HC140" s="133"/>
      <c r="HD140" s="133"/>
      <c r="HE140" s="133"/>
      <c r="HF140" s="133"/>
      <c r="HG140" s="133"/>
      <c r="HH140" s="133"/>
      <c r="HI140" s="133"/>
      <c r="HJ140" s="133"/>
      <c r="HK140" s="133"/>
      <c r="HL140" s="133"/>
      <c r="HM140" s="133"/>
      <c r="HN140" s="133"/>
      <c r="HO140" s="133"/>
      <c r="HP140" s="133"/>
      <c r="HQ140" s="133"/>
      <c r="HR140" s="133"/>
      <c r="HS140" s="133"/>
      <c r="HT140" s="133"/>
      <c r="HU140" s="133"/>
      <c r="HV140" s="133"/>
      <c r="HW140" s="133"/>
      <c r="HX140" s="133"/>
      <c r="HY140" s="133"/>
      <c r="HZ140" s="133"/>
      <c r="IA140" s="133"/>
      <c r="IB140" s="133"/>
      <c r="IC140" s="133"/>
      <c r="ID140" s="133"/>
      <c r="IE140" s="133"/>
      <c r="IF140" s="133"/>
      <c r="IG140" s="133"/>
      <c r="IH140" s="133"/>
      <c r="II140" s="133"/>
      <c r="IJ140" s="133"/>
      <c r="IK140" s="133"/>
      <c r="IL140" s="133"/>
      <c r="IM140" s="133"/>
      <c r="IN140" s="133"/>
      <c r="IO140" s="133"/>
      <c r="IP140" s="133"/>
      <c r="IQ140" s="133"/>
      <c r="IR140" s="133"/>
      <c r="IS140" s="133"/>
      <c r="IT140" s="133"/>
      <c r="IU140" s="133"/>
      <c r="IV140" s="133"/>
      <c r="IW140" s="133"/>
      <c r="IX140" s="133"/>
      <c r="IY140" s="133"/>
      <c r="IZ140" s="133"/>
      <c r="JA140" s="133"/>
      <c r="JB140" s="133"/>
      <c r="JC140" s="133"/>
      <c r="JD140" s="133"/>
      <c r="JE140" s="133"/>
      <c r="JF140" s="133"/>
      <c r="JG140" s="133"/>
      <c r="JH140" s="133"/>
      <c r="JI140" s="133"/>
      <c r="JJ140" s="133"/>
      <c r="JK140" s="133"/>
      <c r="JL140" s="133"/>
      <c r="JM140" s="133"/>
      <c r="JN140" s="133"/>
      <c r="JO140" s="133"/>
      <c r="JP140" s="133"/>
      <c r="JQ140" s="133"/>
      <c r="JR140" s="133"/>
      <c r="JS140" s="133"/>
      <c r="JT140" s="133"/>
      <c r="JU140" s="133"/>
      <c r="JV140" s="133"/>
      <c r="JW140" s="133"/>
    </row>
    <row r="141" spans="2:283">
      <c r="B141" s="287" t="s">
        <v>37</v>
      </c>
      <c r="C141" s="119"/>
      <c r="D141" s="210"/>
      <c r="E141" s="110"/>
      <c r="F141" s="108" t="s">
        <v>23</v>
      </c>
      <c r="G141" s="106">
        <f>G142+G143</f>
        <v>309980</v>
      </c>
      <c r="H141" s="112"/>
      <c r="I141" s="112"/>
      <c r="J141" s="112"/>
      <c r="K141" s="112"/>
      <c r="L141" s="112"/>
      <c r="M141" s="112"/>
      <c r="N141" s="112"/>
      <c r="O141" s="123"/>
      <c r="P141" s="112"/>
      <c r="Q141" s="112"/>
      <c r="R141" s="112"/>
      <c r="S141" s="112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04"/>
      <c r="EE141" s="104"/>
      <c r="EF141" s="104"/>
      <c r="EG141" s="104"/>
      <c r="EH141" s="104"/>
      <c r="EI141" s="104"/>
      <c r="EJ141" s="104"/>
      <c r="EK141" s="104"/>
      <c r="EL141" s="104"/>
      <c r="EM141" s="104"/>
      <c r="EN141" s="104"/>
      <c r="EO141" s="104"/>
      <c r="EP141" s="104"/>
      <c r="EQ141" s="104"/>
      <c r="ER141" s="104"/>
      <c r="ES141" s="104"/>
      <c r="ET141" s="104"/>
      <c r="EU141" s="104"/>
      <c r="EV141" s="104"/>
      <c r="EW141" s="104"/>
      <c r="EX141" s="104"/>
      <c r="EY141" s="104"/>
      <c r="EZ141" s="104"/>
      <c r="FA141" s="104"/>
      <c r="FB141" s="104"/>
      <c r="FC141" s="104"/>
      <c r="FD141" s="104"/>
      <c r="FE141" s="104"/>
      <c r="FF141" s="104"/>
      <c r="FG141" s="104"/>
      <c r="FH141" s="104"/>
      <c r="FI141" s="104"/>
      <c r="FJ141" s="104"/>
      <c r="FK141" s="104"/>
      <c r="FL141" s="104"/>
      <c r="FM141" s="104"/>
      <c r="FN141" s="104"/>
      <c r="FO141" s="104"/>
      <c r="FP141" s="104"/>
      <c r="FQ141" s="104"/>
      <c r="FR141" s="104"/>
      <c r="FS141" s="104"/>
      <c r="FT141" s="104"/>
      <c r="FU141" s="104"/>
      <c r="FV141" s="104"/>
      <c r="FW141" s="104"/>
      <c r="FX141" s="104"/>
      <c r="FY141" s="104"/>
      <c r="FZ141" s="104"/>
      <c r="GA141" s="104"/>
      <c r="GB141" s="104"/>
      <c r="GC141" s="104"/>
      <c r="GD141" s="104"/>
      <c r="GE141" s="104"/>
      <c r="GF141" s="104"/>
      <c r="GG141" s="104"/>
      <c r="GH141" s="104"/>
      <c r="GI141" s="104"/>
      <c r="GJ141" s="104"/>
      <c r="GK141" s="104"/>
      <c r="GL141" s="104"/>
      <c r="GM141" s="104"/>
      <c r="GN141" s="104"/>
      <c r="GO141" s="104"/>
      <c r="GP141" s="104"/>
      <c r="GQ141" s="104"/>
      <c r="GR141" s="104"/>
      <c r="GS141" s="104"/>
      <c r="GT141" s="104"/>
      <c r="GU141" s="104"/>
      <c r="GV141" s="104"/>
      <c r="GW141" s="104"/>
      <c r="GX141" s="104"/>
      <c r="GY141" s="104"/>
      <c r="GZ141" s="104"/>
      <c r="HA141" s="104"/>
      <c r="HB141" s="104"/>
      <c r="HC141" s="104"/>
      <c r="HD141" s="104"/>
      <c r="HE141" s="104"/>
      <c r="HF141" s="104"/>
      <c r="HG141" s="104"/>
      <c r="HH141" s="104"/>
      <c r="HI141" s="104"/>
      <c r="HJ141" s="104"/>
      <c r="HK141" s="104"/>
      <c r="HL141" s="104"/>
      <c r="HM141" s="104"/>
      <c r="HN141" s="104"/>
      <c r="HO141" s="104"/>
      <c r="HP141" s="104"/>
      <c r="HQ141" s="104"/>
      <c r="HR141" s="104"/>
      <c r="HS141" s="104"/>
      <c r="HT141" s="104"/>
      <c r="HU141" s="104"/>
      <c r="HV141" s="104"/>
      <c r="HW141" s="104"/>
      <c r="HX141" s="104"/>
      <c r="HY141" s="104"/>
      <c r="HZ141" s="104"/>
      <c r="IA141" s="104"/>
      <c r="IB141" s="104"/>
      <c r="IC141" s="104"/>
      <c r="ID141" s="104"/>
      <c r="IE141" s="104"/>
      <c r="IF141" s="104"/>
      <c r="IG141" s="104"/>
      <c r="IH141" s="104"/>
      <c r="II141" s="104"/>
      <c r="IJ141" s="104"/>
      <c r="IK141" s="104"/>
      <c r="IL141" s="104"/>
      <c r="IM141" s="104"/>
      <c r="IN141" s="104"/>
      <c r="IO141" s="104"/>
      <c r="IP141" s="104"/>
      <c r="IQ141" s="104"/>
      <c r="IR141" s="104"/>
      <c r="IS141" s="104"/>
      <c r="IT141" s="104"/>
      <c r="IU141" s="104"/>
      <c r="IV141" s="104"/>
      <c r="IW141" s="104"/>
      <c r="IX141" s="104"/>
      <c r="IY141" s="104"/>
      <c r="IZ141" s="104"/>
      <c r="JA141" s="104"/>
      <c r="JB141" s="104"/>
      <c r="JC141" s="104"/>
      <c r="JD141" s="104"/>
      <c r="JE141" s="104"/>
      <c r="JF141" s="104"/>
      <c r="JG141" s="104"/>
      <c r="JH141" s="104"/>
      <c r="JI141" s="104"/>
      <c r="JJ141" s="104"/>
      <c r="JK141" s="104"/>
      <c r="JL141" s="104"/>
      <c r="JM141" s="104"/>
      <c r="JN141" s="104"/>
      <c r="JO141" s="104"/>
      <c r="JP141" s="104"/>
      <c r="JQ141" s="104"/>
      <c r="JR141" s="104"/>
      <c r="JS141" s="104"/>
      <c r="JT141" s="104"/>
      <c r="JU141" s="104"/>
      <c r="JV141" s="104"/>
      <c r="JW141" s="104"/>
    </row>
    <row r="142" spans="2:283">
      <c r="B142" s="288"/>
      <c r="C142" s="27"/>
      <c r="D142" s="211"/>
      <c r="E142" s="27"/>
      <c r="F142" s="108" t="s">
        <v>95</v>
      </c>
      <c r="G142" s="106">
        <f>G144</f>
        <v>309902.15000000002</v>
      </c>
      <c r="H142" s="29"/>
      <c r="I142" s="29"/>
      <c r="J142" s="29"/>
      <c r="K142" s="29"/>
      <c r="L142" s="29"/>
      <c r="M142" s="29"/>
      <c r="N142" s="29"/>
      <c r="O142" s="30"/>
      <c r="P142" s="29"/>
      <c r="Q142" s="30"/>
      <c r="R142" s="29"/>
      <c r="S142" s="29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04"/>
      <c r="CJ142" s="104"/>
      <c r="CK142" s="104"/>
      <c r="CL142" s="104"/>
      <c r="CM142" s="104"/>
      <c r="CN142" s="104"/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04"/>
      <c r="EE142" s="104"/>
      <c r="EF142" s="104"/>
      <c r="EG142" s="104"/>
      <c r="EH142" s="104"/>
      <c r="EI142" s="104"/>
      <c r="EJ142" s="104"/>
      <c r="EK142" s="104"/>
      <c r="EL142" s="104"/>
      <c r="EM142" s="104"/>
      <c r="EN142" s="104"/>
      <c r="EO142" s="104"/>
      <c r="EP142" s="104"/>
      <c r="EQ142" s="104"/>
      <c r="ER142" s="104"/>
      <c r="ES142" s="104"/>
      <c r="ET142" s="104"/>
      <c r="EU142" s="104"/>
      <c r="EV142" s="104"/>
      <c r="EW142" s="104"/>
      <c r="EX142" s="104"/>
      <c r="EY142" s="104"/>
      <c r="EZ142" s="104"/>
      <c r="FA142" s="104"/>
      <c r="FB142" s="104"/>
      <c r="FC142" s="104"/>
      <c r="FD142" s="104"/>
      <c r="FE142" s="104"/>
      <c r="FF142" s="104"/>
      <c r="FG142" s="104"/>
      <c r="FH142" s="104"/>
      <c r="FI142" s="104"/>
      <c r="FJ142" s="104"/>
      <c r="FK142" s="104"/>
      <c r="FL142" s="104"/>
      <c r="FM142" s="104"/>
      <c r="FN142" s="104"/>
      <c r="FO142" s="104"/>
      <c r="FP142" s="104"/>
      <c r="FQ142" s="104"/>
      <c r="FR142" s="104"/>
      <c r="FS142" s="104"/>
      <c r="FT142" s="104"/>
      <c r="FU142" s="104"/>
      <c r="FV142" s="104"/>
      <c r="FW142" s="104"/>
      <c r="FX142" s="104"/>
      <c r="FY142" s="104"/>
      <c r="FZ142" s="104"/>
      <c r="GA142" s="104"/>
      <c r="GB142" s="104"/>
      <c r="GC142" s="104"/>
      <c r="GD142" s="104"/>
      <c r="GE142" s="104"/>
      <c r="GF142" s="104"/>
      <c r="GG142" s="104"/>
      <c r="GH142" s="104"/>
      <c r="GI142" s="104"/>
      <c r="GJ142" s="104"/>
      <c r="GK142" s="104"/>
      <c r="GL142" s="104"/>
      <c r="GM142" s="104"/>
      <c r="GN142" s="104"/>
      <c r="GO142" s="104"/>
      <c r="GP142" s="104"/>
      <c r="GQ142" s="104"/>
      <c r="GR142" s="104"/>
      <c r="GS142" s="104"/>
      <c r="GT142" s="104"/>
      <c r="GU142" s="104"/>
      <c r="GV142" s="104"/>
      <c r="GW142" s="104"/>
      <c r="GX142" s="104"/>
      <c r="GY142" s="104"/>
      <c r="GZ142" s="104"/>
      <c r="HA142" s="104"/>
      <c r="HB142" s="104"/>
      <c r="HC142" s="104"/>
      <c r="HD142" s="104"/>
      <c r="HE142" s="104"/>
      <c r="HF142" s="104"/>
      <c r="HG142" s="104"/>
      <c r="HH142" s="104"/>
      <c r="HI142" s="104"/>
      <c r="HJ142" s="104"/>
      <c r="HK142" s="104"/>
      <c r="HL142" s="104"/>
      <c r="HM142" s="104"/>
      <c r="HN142" s="104"/>
      <c r="HO142" s="104"/>
      <c r="HP142" s="104"/>
      <c r="HQ142" s="104"/>
      <c r="HR142" s="104"/>
      <c r="HS142" s="104"/>
      <c r="HT142" s="104"/>
      <c r="HU142" s="104"/>
      <c r="HV142" s="104"/>
      <c r="HW142" s="104"/>
      <c r="HX142" s="104"/>
      <c r="HY142" s="104"/>
      <c r="HZ142" s="104"/>
      <c r="IA142" s="104"/>
      <c r="IB142" s="104"/>
      <c r="IC142" s="104"/>
      <c r="ID142" s="104"/>
      <c r="IE142" s="104"/>
      <c r="IF142" s="104"/>
      <c r="IG142" s="104"/>
      <c r="IH142" s="104"/>
      <c r="II142" s="104"/>
      <c r="IJ142" s="104"/>
      <c r="IK142" s="104"/>
      <c r="IL142" s="104"/>
      <c r="IM142" s="104"/>
      <c r="IN142" s="104"/>
      <c r="IO142" s="104"/>
      <c r="IP142" s="104"/>
      <c r="IQ142" s="104"/>
      <c r="IR142" s="104"/>
      <c r="IS142" s="104"/>
      <c r="IT142" s="104"/>
      <c r="IU142" s="104"/>
      <c r="IV142" s="104"/>
      <c r="IW142" s="104"/>
      <c r="IX142" s="104"/>
      <c r="IY142" s="104"/>
      <c r="IZ142" s="104"/>
      <c r="JA142" s="104"/>
      <c r="JB142" s="104"/>
      <c r="JC142" s="104"/>
      <c r="JD142" s="104"/>
      <c r="JE142" s="104"/>
      <c r="JF142" s="104"/>
      <c r="JG142" s="104"/>
      <c r="JH142" s="104"/>
      <c r="JI142" s="104"/>
      <c r="JJ142" s="104"/>
      <c r="JK142" s="104"/>
      <c r="JL142" s="104"/>
      <c r="JM142" s="104"/>
      <c r="JN142" s="104"/>
      <c r="JO142" s="104"/>
      <c r="JP142" s="104"/>
      <c r="JQ142" s="104"/>
      <c r="JR142" s="104"/>
      <c r="JS142" s="104"/>
      <c r="JT142" s="104"/>
      <c r="JU142" s="104"/>
      <c r="JV142" s="104"/>
      <c r="JW142" s="104"/>
    </row>
    <row r="143" spans="2:283" ht="30">
      <c r="B143" s="288"/>
      <c r="C143" s="27"/>
      <c r="D143" s="211"/>
      <c r="E143" s="27"/>
      <c r="F143" s="108" t="s">
        <v>24</v>
      </c>
      <c r="G143" s="106">
        <f>G158</f>
        <v>77.849999999999994</v>
      </c>
      <c r="H143" s="29"/>
      <c r="I143" s="29"/>
      <c r="J143" s="29"/>
      <c r="K143" s="29"/>
      <c r="L143" s="29"/>
      <c r="M143" s="29"/>
      <c r="N143" s="29"/>
      <c r="O143" s="30"/>
      <c r="P143" s="29"/>
      <c r="Q143" s="30"/>
      <c r="R143" s="29"/>
      <c r="S143" s="29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  <c r="IP143" s="104"/>
      <c r="IQ143" s="104"/>
      <c r="IR143" s="104"/>
      <c r="IS143" s="104"/>
      <c r="IT143" s="104"/>
      <c r="IU143" s="104"/>
      <c r="IV143" s="104"/>
      <c r="IW143" s="104"/>
      <c r="IX143" s="104"/>
      <c r="IY143" s="104"/>
      <c r="IZ143" s="104"/>
      <c r="JA143" s="104"/>
      <c r="JB143" s="104"/>
      <c r="JC143" s="104"/>
      <c r="JD143" s="104"/>
      <c r="JE143" s="104"/>
      <c r="JF143" s="104"/>
      <c r="JG143" s="104"/>
      <c r="JH143" s="104"/>
      <c r="JI143" s="104"/>
      <c r="JJ143" s="104"/>
      <c r="JK143" s="104"/>
      <c r="JL143" s="104"/>
      <c r="JM143" s="104"/>
      <c r="JN143" s="104"/>
      <c r="JO143" s="104"/>
      <c r="JP143" s="104"/>
      <c r="JQ143" s="104"/>
      <c r="JR143" s="104"/>
      <c r="JS143" s="104"/>
      <c r="JT143" s="104"/>
      <c r="JU143" s="104"/>
      <c r="JV143" s="104"/>
      <c r="JW143" s="104"/>
    </row>
    <row r="144" spans="2:283" ht="43.5">
      <c r="B144" s="35" t="s">
        <v>38</v>
      </c>
      <c r="C144" s="12">
        <f>SUM(C145:C157)</f>
        <v>4</v>
      </c>
      <c r="D144" s="205"/>
      <c r="E144" s="12"/>
      <c r="F144" s="36"/>
      <c r="G144" s="37">
        <f>SUM(G145:G157)</f>
        <v>309902.15000000002</v>
      </c>
      <c r="H144" s="37">
        <f t="shared" ref="H144:S144" si="15">SUM(H145:H158)</f>
        <v>23935.48</v>
      </c>
      <c r="I144" s="37">
        <f t="shared" si="15"/>
        <v>26500</v>
      </c>
      <c r="J144" s="37">
        <f t="shared" si="15"/>
        <v>26500</v>
      </c>
      <c r="K144" s="37">
        <f t="shared" si="15"/>
        <v>22966.67</v>
      </c>
      <c r="L144" s="37">
        <f t="shared" si="15"/>
        <v>26500</v>
      </c>
      <c r="M144" s="37">
        <f t="shared" si="15"/>
        <v>26500</v>
      </c>
      <c r="N144" s="37">
        <f t="shared" si="15"/>
        <v>26500</v>
      </c>
      <c r="O144" s="37">
        <f t="shared" si="15"/>
        <v>26500</v>
      </c>
      <c r="P144" s="37">
        <f t="shared" si="15"/>
        <v>18500</v>
      </c>
      <c r="Q144" s="37">
        <f t="shared" si="15"/>
        <v>28500</v>
      </c>
      <c r="R144" s="37">
        <f t="shared" si="15"/>
        <v>28500</v>
      </c>
      <c r="S144" s="37">
        <f t="shared" si="15"/>
        <v>28500</v>
      </c>
      <c r="T144" s="78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  <c r="IR144" s="104"/>
      <c r="IS144" s="104"/>
      <c r="IT144" s="104"/>
      <c r="IU144" s="104"/>
      <c r="IV144" s="104"/>
      <c r="IW144" s="104"/>
      <c r="IX144" s="104"/>
      <c r="IY144" s="104"/>
      <c r="IZ144" s="104"/>
      <c r="JA144" s="104"/>
      <c r="JB144" s="104"/>
      <c r="JC144" s="104"/>
      <c r="JD144" s="104"/>
      <c r="JE144" s="104"/>
      <c r="JF144" s="104"/>
      <c r="JG144" s="104"/>
      <c r="JH144" s="104"/>
      <c r="JI144" s="104"/>
      <c r="JJ144" s="104"/>
      <c r="JK144" s="104"/>
      <c r="JL144" s="104"/>
      <c r="JM144" s="104"/>
      <c r="JN144" s="104"/>
      <c r="JO144" s="104"/>
      <c r="JP144" s="104"/>
      <c r="JQ144" s="104"/>
      <c r="JR144" s="104"/>
      <c r="JS144" s="104"/>
      <c r="JT144" s="104"/>
      <c r="JU144" s="104"/>
      <c r="JV144" s="104"/>
      <c r="JW144" s="104"/>
    </row>
    <row r="145" spans="2:283" ht="15" customHeight="1">
      <c r="B145" s="17"/>
      <c r="C145" s="23">
        <v>0</v>
      </c>
      <c r="D145" s="178" t="s">
        <v>28</v>
      </c>
      <c r="E145" s="24" t="s">
        <v>30</v>
      </c>
      <c r="F145" s="167">
        <v>6000</v>
      </c>
      <c r="G145" s="26">
        <f t="shared" ref="G145:G157" si="16">SUM(H145:S145)</f>
        <v>17419.349999999999</v>
      </c>
      <c r="H145" s="45">
        <v>5419.35</v>
      </c>
      <c r="I145" s="45">
        <f>F145*1</f>
        <v>6000</v>
      </c>
      <c r="J145" s="45">
        <v>6000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  <c r="IP145" s="104"/>
      <c r="IQ145" s="104"/>
      <c r="IR145" s="104"/>
      <c r="IS145" s="104"/>
      <c r="IT145" s="104"/>
      <c r="IU145" s="104"/>
      <c r="IV145" s="104"/>
      <c r="IW145" s="104"/>
      <c r="IX145" s="104"/>
      <c r="IY145" s="104"/>
      <c r="IZ145" s="104"/>
      <c r="JA145" s="104"/>
      <c r="JB145" s="104"/>
      <c r="JC145" s="104"/>
      <c r="JD145" s="104"/>
      <c r="JE145" s="104"/>
      <c r="JF145" s="104"/>
      <c r="JG145" s="104"/>
      <c r="JH145" s="104"/>
      <c r="JI145" s="104"/>
      <c r="JJ145" s="104"/>
      <c r="JK145" s="104"/>
      <c r="JL145" s="104"/>
      <c r="JM145" s="104"/>
      <c r="JN145" s="104"/>
      <c r="JO145" s="104"/>
      <c r="JP145" s="104"/>
      <c r="JQ145" s="104"/>
      <c r="JR145" s="104"/>
      <c r="JS145" s="104"/>
      <c r="JT145" s="104"/>
      <c r="JU145" s="104"/>
      <c r="JV145" s="104"/>
      <c r="JW145" s="104"/>
    </row>
    <row r="146" spans="2:283" ht="15" customHeight="1">
      <c r="B146" s="17"/>
      <c r="C146" s="23">
        <v>0</v>
      </c>
      <c r="D146" s="178" t="s">
        <v>28</v>
      </c>
      <c r="E146" s="24" t="s">
        <v>30</v>
      </c>
      <c r="F146" s="167">
        <v>7000</v>
      </c>
      <c r="G146" s="26">
        <f t="shared" si="16"/>
        <v>20322.580000000002</v>
      </c>
      <c r="H146" s="45">
        <v>6322.58</v>
      </c>
      <c r="I146" s="45">
        <f>F146*1</f>
        <v>7000</v>
      </c>
      <c r="J146" s="45">
        <v>7000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  <c r="IP146" s="104"/>
      <c r="IQ146" s="104"/>
      <c r="IR146" s="104"/>
      <c r="IS146" s="104"/>
      <c r="IT146" s="104"/>
      <c r="IU146" s="104"/>
      <c r="IV146" s="104"/>
      <c r="IW146" s="104"/>
      <c r="IX146" s="104"/>
      <c r="IY146" s="104"/>
      <c r="IZ146" s="104"/>
      <c r="JA146" s="104"/>
      <c r="JB146" s="104"/>
      <c r="JC146" s="104"/>
      <c r="JD146" s="104"/>
      <c r="JE146" s="104"/>
      <c r="JF146" s="104"/>
      <c r="JG146" s="104"/>
      <c r="JH146" s="104"/>
      <c r="JI146" s="104"/>
      <c r="JJ146" s="104"/>
      <c r="JK146" s="104"/>
      <c r="JL146" s="104"/>
      <c r="JM146" s="104"/>
      <c r="JN146" s="104"/>
      <c r="JO146" s="104"/>
      <c r="JP146" s="104"/>
      <c r="JQ146" s="104"/>
      <c r="JR146" s="104"/>
      <c r="JS146" s="104"/>
      <c r="JT146" s="104"/>
      <c r="JU146" s="104"/>
      <c r="JV146" s="104"/>
      <c r="JW146" s="104"/>
    </row>
    <row r="147" spans="2:283" s="104" customFormat="1" ht="15" customHeight="1">
      <c r="B147" s="66"/>
      <c r="C147" s="23">
        <v>0</v>
      </c>
      <c r="D147" s="178" t="s">
        <v>86</v>
      </c>
      <c r="E147" s="24" t="s">
        <v>30</v>
      </c>
      <c r="F147" s="167">
        <v>6000</v>
      </c>
      <c r="G147" s="26">
        <f t="shared" si="16"/>
        <v>17200</v>
      </c>
      <c r="H147" s="45">
        <v>0</v>
      </c>
      <c r="I147" s="45">
        <v>0</v>
      </c>
      <c r="J147" s="45">
        <v>0</v>
      </c>
      <c r="K147" s="26">
        <v>5200</v>
      </c>
      <c r="L147" s="26">
        <v>6000</v>
      </c>
      <c r="M147" s="26">
        <v>6000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</row>
    <row r="148" spans="2:283" s="104" customFormat="1" ht="15" customHeight="1">
      <c r="B148" s="66"/>
      <c r="C148" s="23">
        <v>0</v>
      </c>
      <c r="D148" s="178" t="s">
        <v>86</v>
      </c>
      <c r="E148" s="24" t="s">
        <v>30</v>
      </c>
      <c r="F148" s="167">
        <v>5500</v>
      </c>
      <c r="G148" s="26">
        <f t="shared" si="16"/>
        <v>15766.67</v>
      </c>
      <c r="H148" s="45">
        <v>0</v>
      </c>
      <c r="I148" s="45">
        <v>0</v>
      </c>
      <c r="J148" s="45">
        <v>0</v>
      </c>
      <c r="K148" s="26">
        <v>4766.67</v>
      </c>
      <c r="L148" s="26">
        <v>5500</v>
      </c>
      <c r="M148" s="26">
        <v>5500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</row>
    <row r="149" spans="2:283" s="104" customFormat="1" ht="15" customHeight="1">
      <c r="B149" s="66"/>
      <c r="C149" s="23">
        <v>0</v>
      </c>
      <c r="D149" s="178" t="s">
        <v>86</v>
      </c>
      <c r="E149" s="24" t="s">
        <v>35</v>
      </c>
      <c r="F149" s="167">
        <v>8000</v>
      </c>
      <c r="G149" s="26">
        <f t="shared" si="16"/>
        <v>22933.33</v>
      </c>
      <c r="H149" s="45">
        <v>0</v>
      </c>
      <c r="I149" s="45">
        <v>0</v>
      </c>
      <c r="J149" s="45">
        <v>0</v>
      </c>
      <c r="K149" s="26">
        <v>6933.33</v>
      </c>
      <c r="L149" s="26">
        <v>8000</v>
      </c>
      <c r="M149" s="26">
        <v>8000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</row>
    <row r="150" spans="2:283" s="104" customFormat="1" ht="15" customHeight="1">
      <c r="B150" s="183"/>
      <c r="C150" s="23">
        <v>0</v>
      </c>
      <c r="D150" s="178" t="s">
        <v>86</v>
      </c>
      <c r="E150" s="24" t="s">
        <v>30</v>
      </c>
      <c r="F150" s="26">
        <v>7000</v>
      </c>
      <c r="G150" s="26">
        <f t="shared" si="16"/>
        <v>20066.669999999998</v>
      </c>
      <c r="H150" s="26">
        <v>0</v>
      </c>
      <c r="I150" s="26">
        <v>0</v>
      </c>
      <c r="J150" s="26">
        <v>0</v>
      </c>
      <c r="K150" s="26">
        <v>6066.67</v>
      </c>
      <c r="L150" s="26">
        <v>7000</v>
      </c>
      <c r="M150" s="26">
        <v>7000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</row>
    <row r="151" spans="2:283" s="104" customFormat="1" ht="14.25" customHeight="1">
      <c r="B151" s="66"/>
      <c r="C151" s="23">
        <v>0</v>
      </c>
      <c r="D151" s="178" t="s">
        <v>108</v>
      </c>
      <c r="E151" s="166" t="s">
        <v>35</v>
      </c>
      <c r="F151" s="167">
        <v>8000</v>
      </c>
      <c r="G151" s="26">
        <f>SUM(H151:S151)</f>
        <v>16000</v>
      </c>
      <c r="H151" s="45">
        <v>0</v>
      </c>
      <c r="I151" s="45">
        <v>0</v>
      </c>
      <c r="J151" s="45">
        <v>0</v>
      </c>
      <c r="K151" s="26">
        <v>0</v>
      </c>
      <c r="L151" s="26">
        <v>0</v>
      </c>
      <c r="M151" s="26">
        <v>0</v>
      </c>
      <c r="N151" s="45">
        <v>8000</v>
      </c>
      <c r="O151" s="45">
        <v>8000</v>
      </c>
      <c r="P151" s="45">
        <v>0</v>
      </c>
      <c r="Q151" s="45">
        <v>0</v>
      </c>
      <c r="R151" s="45">
        <v>0</v>
      </c>
      <c r="S151" s="45">
        <v>0</v>
      </c>
    </row>
    <row r="152" spans="2:283" s="104" customFormat="1" ht="14.25" customHeight="1">
      <c r="B152" s="66"/>
      <c r="C152" s="23">
        <v>1</v>
      </c>
      <c r="D152" s="178" t="s">
        <v>108</v>
      </c>
      <c r="E152" s="24" t="s">
        <v>30</v>
      </c>
      <c r="F152" s="167">
        <v>6000</v>
      </c>
      <c r="G152" s="26">
        <f t="shared" si="16"/>
        <v>36000</v>
      </c>
      <c r="H152" s="45">
        <v>0</v>
      </c>
      <c r="I152" s="45">
        <v>0</v>
      </c>
      <c r="J152" s="45">
        <v>0</v>
      </c>
      <c r="K152" s="26">
        <v>0</v>
      </c>
      <c r="L152" s="26">
        <v>0</v>
      </c>
      <c r="M152" s="26">
        <v>0</v>
      </c>
      <c r="N152" s="45">
        <v>6000</v>
      </c>
      <c r="O152" s="45">
        <v>6000</v>
      </c>
      <c r="P152" s="45">
        <v>6000</v>
      </c>
      <c r="Q152" s="45">
        <v>6000</v>
      </c>
      <c r="R152" s="45">
        <v>6000</v>
      </c>
      <c r="S152" s="45">
        <v>6000</v>
      </c>
    </row>
    <row r="153" spans="2:283" s="104" customFormat="1" ht="14.25" customHeight="1">
      <c r="B153" s="66"/>
      <c r="C153" s="23">
        <v>1</v>
      </c>
      <c r="D153" s="178" t="s">
        <v>108</v>
      </c>
      <c r="E153" s="24" t="s">
        <v>30</v>
      </c>
      <c r="F153" s="167">
        <v>5500</v>
      </c>
      <c r="G153" s="26">
        <f t="shared" si="16"/>
        <v>33000</v>
      </c>
      <c r="H153" s="45">
        <v>0</v>
      </c>
      <c r="I153" s="45">
        <v>0</v>
      </c>
      <c r="J153" s="45">
        <v>0</v>
      </c>
      <c r="K153" s="26">
        <v>0</v>
      </c>
      <c r="L153" s="26">
        <v>0</v>
      </c>
      <c r="M153" s="26">
        <v>0</v>
      </c>
      <c r="N153" s="45">
        <v>5500</v>
      </c>
      <c r="O153" s="45">
        <v>5500</v>
      </c>
      <c r="P153" s="45">
        <v>5500</v>
      </c>
      <c r="Q153" s="45">
        <v>5500</v>
      </c>
      <c r="R153" s="45">
        <v>5500</v>
      </c>
      <c r="S153" s="45">
        <v>5500</v>
      </c>
    </row>
    <row r="154" spans="2:283" s="104" customFormat="1" ht="15" customHeight="1">
      <c r="B154" s="183"/>
      <c r="C154" s="23">
        <v>1</v>
      </c>
      <c r="D154" s="178" t="s">
        <v>108</v>
      </c>
      <c r="E154" s="24" t="s">
        <v>30</v>
      </c>
      <c r="F154" s="26">
        <v>7000</v>
      </c>
      <c r="G154" s="26">
        <f t="shared" si="16"/>
        <v>42000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45">
        <v>7000</v>
      </c>
      <c r="O154" s="45">
        <v>7000</v>
      </c>
      <c r="P154" s="45">
        <v>7000</v>
      </c>
      <c r="Q154" s="45">
        <v>7000</v>
      </c>
      <c r="R154" s="45">
        <v>7000</v>
      </c>
      <c r="S154" s="45">
        <v>7000</v>
      </c>
    </row>
    <row r="155" spans="2:283" s="104" customFormat="1" ht="14.25" customHeight="1">
      <c r="B155" s="66"/>
      <c r="C155" s="23">
        <v>1</v>
      </c>
      <c r="D155" s="245" t="s">
        <v>121</v>
      </c>
      <c r="E155" s="166" t="s">
        <v>35</v>
      </c>
      <c r="F155" s="167">
        <v>10000</v>
      </c>
      <c r="G155" s="26">
        <f>SUM(H155:S155)</f>
        <v>30000</v>
      </c>
      <c r="H155" s="45">
        <v>0</v>
      </c>
      <c r="I155" s="45">
        <v>0</v>
      </c>
      <c r="J155" s="45">
        <v>0</v>
      </c>
      <c r="K155" s="26">
        <v>0</v>
      </c>
      <c r="L155" s="26">
        <v>0</v>
      </c>
      <c r="M155" s="26">
        <v>0</v>
      </c>
      <c r="N155" s="45">
        <v>0</v>
      </c>
      <c r="O155" s="45">
        <v>0</v>
      </c>
      <c r="P155" s="45">
        <v>0</v>
      </c>
      <c r="Q155" s="167">
        <v>10000</v>
      </c>
      <c r="R155" s="167">
        <v>10000</v>
      </c>
      <c r="S155" s="167">
        <v>10000</v>
      </c>
    </row>
    <row r="156" spans="2:283" ht="15" customHeight="1">
      <c r="B156" s="17"/>
      <c r="C156" s="23">
        <v>0</v>
      </c>
      <c r="D156" s="178" t="s">
        <v>28</v>
      </c>
      <c r="E156" s="24" t="s">
        <v>30</v>
      </c>
      <c r="F156" s="167">
        <v>8000</v>
      </c>
      <c r="G156" s="26">
        <f t="shared" si="16"/>
        <v>23225.81</v>
      </c>
      <c r="H156" s="45">
        <v>7225.81</v>
      </c>
      <c r="I156" s="45">
        <f>F156*1</f>
        <v>8000</v>
      </c>
      <c r="J156" s="45">
        <v>8000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BV156" s="104"/>
      <c r="BW156" s="104"/>
      <c r="BX156" s="104"/>
      <c r="BY156" s="104"/>
      <c r="BZ156" s="104"/>
      <c r="CA156" s="104"/>
      <c r="CB156" s="104"/>
      <c r="CC156" s="104"/>
      <c r="CD156" s="104"/>
      <c r="CE156" s="104"/>
      <c r="CF156" s="104"/>
      <c r="CG156" s="104"/>
      <c r="CH156" s="104"/>
      <c r="CI156" s="104"/>
      <c r="CJ156" s="104"/>
      <c r="CK156" s="104"/>
      <c r="CL156" s="104"/>
      <c r="CM156" s="104"/>
      <c r="CN156" s="104"/>
      <c r="CO156" s="104"/>
      <c r="CP156" s="104"/>
      <c r="CQ156" s="104"/>
      <c r="CR156" s="104"/>
      <c r="CS156" s="104"/>
      <c r="CT156" s="104"/>
      <c r="CU156" s="104"/>
      <c r="CV156" s="104"/>
      <c r="CW156" s="104"/>
      <c r="CX156" s="104"/>
      <c r="CY156" s="104"/>
      <c r="CZ156" s="104"/>
      <c r="DA156" s="104"/>
      <c r="DB156" s="104"/>
      <c r="DC156" s="104"/>
      <c r="DD156" s="104"/>
      <c r="DE156" s="104"/>
      <c r="DF156" s="104"/>
      <c r="DG156" s="104"/>
      <c r="DH156" s="104"/>
      <c r="DI156" s="104"/>
      <c r="DJ156" s="104"/>
      <c r="DK156" s="104"/>
      <c r="DL156" s="104"/>
      <c r="DM156" s="104"/>
      <c r="DN156" s="104"/>
      <c r="DO156" s="104"/>
      <c r="DP156" s="104"/>
      <c r="DQ156" s="104"/>
      <c r="DR156" s="104"/>
      <c r="DS156" s="104"/>
      <c r="DT156" s="104"/>
      <c r="DU156" s="104"/>
      <c r="DV156" s="104"/>
      <c r="DW156" s="104"/>
      <c r="DX156" s="104"/>
      <c r="DY156" s="104"/>
      <c r="DZ156" s="104"/>
      <c r="EA156" s="104"/>
      <c r="EB156" s="104"/>
      <c r="EC156" s="104"/>
      <c r="ED156" s="104"/>
      <c r="EE156" s="104"/>
      <c r="EF156" s="104"/>
      <c r="EG156" s="104"/>
      <c r="EH156" s="104"/>
      <c r="EI156" s="104"/>
      <c r="EJ156" s="104"/>
      <c r="EK156" s="104"/>
      <c r="EL156" s="104"/>
      <c r="EM156" s="104"/>
      <c r="EN156" s="104"/>
      <c r="EO156" s="104"/>
      <c r="EP156" s="104"/>
      <c r="EQ156" s="104"/>
      <c r="ER156" s="104"/>
      <c r="ES156" s="104"/>
      <c r="ET156" s="104"/>
      <c r="EU156" s="104"/>
      <c r="EV156" s="104"/>
      <c r="EW156" s="104"/>
      <c r="EX156" s="104"/>
      <c r="EY156" s="104"/>
      <c r="EZ156" s="104"/>
      <c r="FA156" s="104"/>
      <c r="FB156" s="104"/>
      <c r="FC156" s="104"/>
      <c r="FD156" s="104"/>
      <c r="FE156" s="104"/>
      <c r="FF156" s="104"/>
      <c r="FG156" s="104"/>
      <c r="FH156" s="104"/>
      <c r="FI156" s="104"/>
      <c r="FJ156" s="104"/>
      <c r="FK156" s="104"/>
      <c r="FL156" s="104"/>
      <c r="FM156" s="104"/>
      <c r="FN156" s="104"/>
      <c r="FO156" s="104"/>
      <c r="FP156" s="104"/>
      <c r="FQ156" s="104"/>
      <c r="FR156" s="104"/>
      <c r="FS156" s="104"/>
      <c r="FT156" s="104"/>
      <c r="FU156" s="104"/>
      <c r="FV156" s="104"/>
      <c r="FW156" s="104"/>
      <c r="FX156" s="104"/>
      <c r="FY156" s="104"/>
      <c r="FZ156" s="104"/>
      <c r="GA156" s="104"/>
      <c r="GB156" s="104"/>
      <c r="GC156" s="104"/>
      <c r="GD156" s="104"/>
      <c r="GE156" s="104"/>
      <c r="GF156" s="104"/>
      <c r="GG156" s="104"/>
      <c r="GH156" s="104"/>
      <c r="GI156" s="104"/>
      <c r="GJ156" s="104"/>
      <c r="GK156" s="104"/>
      <c r="GL156" s="104"/>
      <c r="GM156" s="104"/>
      <c r="GN156" s="104"/>
      <c r="GO156" s="104"/>
      <c r="GP156" s="104"/>
      <c r="GQ156" s="104"/>
      <c r="GR156" s="104"/>
      <c r="GS156" s="104"/>
      <c r="GT156" s="104"/>
      <c r="GU156" s="104"/>
      <c r="GV156" s="104"/>
      <c r="GW156" s="104"/>
      <c r="GX156" s="104"/>
      <c r="GY156" s="104"/>
      <c r="GZ156" s="104"/>
      <c r="HA156" s="104"/>
      <c r="HB156" s="104"/>
      <c r="HC156" s="104"/>
      <c r="HD156" s="104"/>
      <c r="HE156" s="104"/>
      <c r="HF156" s="104"/>
      <c r="HG156" s="104"/>
      <c r="HH156" s="104"/>
      <c r="HI156" s="104"/>
      <c r="HJ156" s="104"/>
      <c r="HK156" s="104"/>
      <c r="HL156" s="104"/>
      <c r="HM156" s="104"/>
      <c r="HN156" s="104"/>
      <c r="HO156" s="104"/>
      <c r="HP156" s="104"/>
      <c r="HQ156" s="104"/>
      <c r="HR156" s="104"/>
      <c r="HS156" s="104"/>
      <c r="HT156" s="104"/>
      <c r="HU156" s="104"/>
      <c r="HV156" s="104"/>
      <c r="HW156" s="104"/>
      <c r="HX156" s="104"/>
      <c r="HY156" s="104"/>
      <c r="HZ156" s="104"/>
      <c r="IA156" s="104"/>
      <c r="IB156" s="104"/>
      <c r="IC156" s="104"/>
      <c r="ID156" s="104"/>
      <c r="IE156" s="104"/>
      <c r="IF156" s="104"/>
      <c r="IG156" s="104"/>
      <c r="IH156" s="104"/>
      <c r="II156" s="104"/>
      <c r="IJ156" s="104"/>
      <c r="IK156" s="104"/>
      <c r="IL156" s="104"/>
      <c r="IM156" s="104"/>
      <c r="IN156" s="104"/>
      <c r="IO156" s="104"/>
      <c r="IP156" s="104"/>
      <c r="IQ156" s="104"/>
      <c r="IR156" s="104"/>
      <c r="IS156" s="104"/>
      <c r="IT156" s="104"/>
      <c r="IU156" s="104"/>
      <c r="IV156" s="104"/>
      <c r="IW156" s="104"/>
      <c r="IX156" s="104"/>
      <c r="IY156" s="104"/>
      <c r="IZ156" s="104"/>
      <c r="JA156" s="104"/>
      <c r="JB156" s="104"/>
      <c r="JC156" s="104"/>
      <c r="JD156" s="104"/>
      <c r="JE156" s="104"/>
      <c r="JF156" s="104"/>
      <c r="JG156" s="104"/>
      <c r="JH156" s="104"/>
      <c r="JI156" s="104"/>
      <c r="JJ156" s="104"/>
      <c r="JK156" s="104"/>
      <c r="JL156" s="104"/>
      <c r="JM156" s="104"/>
      <c r="JN156" s="104"/>
      <c r="JO156" s="104"/>
      <c r="JP156" s="104"/>
      <c r="JQ156" s="104"/>
      <c r="JR156" s="104"/>
      <c r="JS156" s="104"/>
      <c r="JT156" s="104"/>
      <c r="JU156" s="104"/>
      <c r="JV156" s="104"/>
      <c r="JW156" s="104"/>
    </row>
    <row r="157" spans="2:283" ht="15" customHeight="1">
      <c r="B157" s="17"/>
      <c r="C157" s="23">
        <v>0</v>
      </c>
      <c r="D157" s="178" t="s">
        <v>28</v>
      </c>
      <c r="E157" s="24" t="s">
        <v>30</v>
      </c>
      <c r="F157" s="167">
        <v>5500</v>
      </c>
      <c r="G157" s="26">
        <f t="shared" si="16"/>
        <v>15967.74</v>
      </c>
      <c r="H157" s="45">
        <v>4967.74</v>
      </c>
      <c r="I157" s="45">
        <f>F157*1</f>
        <v>5500</v>
      </c>
      <c r="J157" s="45">
        <v>5500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BV157" s="104"/>
      <c r="BW157" s="104"/>
      <c r="BX157" s="104"/>
      <c r="BY157" s="104"/>
      <c r="BZ157" s="104"/>
      <c r="CA157" s="104"/>
      <c r="CB157" s="104"/>
      <c r="CC157" s="104"/>
      <c r="CD157" s="104"/>
      <c r="CE157" s="104"/>
      <c r="CF157" s="104"/>
      <c r="CG157" s="104"/>
      <c r="CH157" s="104"/>
      <c r="CI157" s="104"/>
      <c r="CJ157" s="104"/>
      <c r="CK157" s="104"/>
      <c r="CL157" s="104"/>
      <c r="CM157" s="104"/>
      <c r="CN157" s="104"/>
      <c r="CO157" s="104"/>
      <c r="CP157" s="104"/>
      <c r="CQ157" s="104"/>
      <c r="CR157" s="104"/>
      <c r="CS157" s="104"/>
      <c r="CT157" s="104"/>
      <c r="CU157" s="104"/>
      <c r="CV157" s="104"/>
      <c r="CW157" s="104"/>
      <c r="CX157" s="104"/>
      <c r="CY157" s="104"/>
      <c r="CZ157" s="104"/>
      <c r="DA157" s="104"/>
      <c r="DB157" s="104"/>
      <c r="DC157" s="104"/>
      <c r="DD157" s="104"/>
      <c r="DE157" s="104"/>
      <c r="DF157" s="104"/>
      <c r="DG157" s="104"/>
      <c r="DH157" s="104"/>
      <c r="DI157" s="104"/>
      <c r="DJ157" s="104"/>
      <c r="DK157" s="104"/>
      <c r="DL157" s="104"/>
      <c r="DM157" s="104"/>
      <c r="DN157" s="104"/>
      <c r="DO157" s="104"/>
      <c r="DP157" s="104"/>
      <c r="DQ157" s="104"/>
      <c r="DR157" s="104"/>
      <c r="DS157" s="104"/>
      <c r="DT157" s="104"/>
      <c r="DU157" s="104"/>
      <c r="DV157" s="104"/>
      <c r="DW157" s="104"/>
      <c r="DX157" s="104"/>
      <c r="DY157" s="104"/>
      <c r="DZ157" s="104"/>
      <c r="EA157" s="104"/>
      <c r="EB157" s="104"/>
      <c r="EC157" s="104"/>
      <c r="ED157" s="104"/>
      <c r="EE157" s="104"/>
      <c r="EF157" s="104"/>
      <c r="EG157" s="104"/>
      <c r="EH157" s="104"/>
      <c r="EI157" s="104"/>
      <c r="EJ157" s="104"/>
      <c r="EK157" s="104"/>
      <c r="EL157" s="104"/>
      <c r="EM157" s="104"/>
      <c r="EN157" s="104"/>
      <c r="EO157" s="104"/>
      <c r="EP157" s="104"/>
      <c r="EQ157" s="104"/>
      <c r="ER157" s="104"/>
      <c r="ES157" s="104"/>
      <c r="ET157" s="104"/>
      <c r="EU157" s="104"/>
      <c r="EV157" s="104"/>
      <c r="EW157" s="104"/>
      <c r="EX157" s="104"/>
      <c r="EY157" s="104"/>
      <c r="EZ157" s="104"/>
      <c r="FA157" s="104"/>
      <c r="FB157" s="104"/>
      <c r="FC157" s="104"/>
      <c r="FD157" s="104"/>
      <c r="FE157" s="104"/>
      <c r="FF157" s="104"/>
      <c r="FG157" s="104"/>
      <c r="FH157" s="104"/>
      <c r="FI157" s="104"/>
      <c r="FJ157" s="104"/>
      <c r="FK157" s="104"/>
      <c r="FL157" s="104"/>
      <c r="FM157" s="104"/>
      <c r="FN157" s="104"/>
      <c r="FO157" s="104"/>
      <c r="FP157" s="104"/>
      <c r="FQ157" s="104"/>
      <c r="FR157" s="104"/>
      <c r="FS157" s="104"/>
      <c r="FT157" s="104"/>
      <c r="FU157" s="104"/>
      <c r="FV157" s="104"/>
      <c r="FW157" s="104"/>
      <c r="FX157" s="104"/>
      <c r="FY157" s="104"/>
      <c r="FZ157" s="104"/>
      <c r="GA157" s="104"/>
      <c r="GB157" s="104"/>
      <c r="GC157" s="104"/>
      <c r="GD157" s="104"/>
      <c r="GE157" s="104"/>
      <c r="GF157" s="104"/>
      <c r="GG157" s="104"/>
      <c r="GH157" s="104"/>
      <c r="GI157" s="104"/>
      <c r="GJ157" s="104"/>
      <c r="GK157" s="104"/>
      <c r="GL157" s="104"/>
      <c r="GM157" s="104"/>
      <c r="GN157" s="104"/>
      <c r="GO157" s="104"/>
      <c r="GP157" s="104"/>
      <c r="GQ157" s="104"/>
      <c r="GR157" s="104"/>
      <c r="GS157" s="104"/>
      <c r="GT157" s="104"/>
      <c r="GU157" s="104"/>
      <c r="GV157" s="104"/>
      <c r="GW157" s="104"/>
      <c r="GX157" s="104"/>
      <c r="GY157" s="104"/>
      <c r="GZ157" s="104"/>
      <c r="HA157" s="104"/>
      <c r="HB157" s="104"/>
      <c r="HC157" s="104"/>
      <c r="HD157" s="104"/>
      <c r="HE157" s="104"/>
      <c r="HF157" s="104"/>
      <c r="HG157" s="104"/>
      <c r="HH157" s="104"/>
      <c r="HI157" s="104"/>
      <c r="HJ157" s="104"/>
      <c r="HK157" s="104"/>
      <c r="HL157" s="104"/>
      <c r="HM157" s="104"/>
      <c r="HN157" s="104"/>
      <c r="HO157" s="104"/>
      <c r="HP157" s="104"/>
      <c r="HQ157" s="104"/>
      <c r="HR157" s="104"/>
      <c r="HS157" s="104"/>
      <c r="HT157" s="104"/>
      <c r="HU157" s="104"/>
      <c r="HV157" s="104"/>
      <c r="HW157" s="104"/>
      <c r="HX157" s="104"/>
      <c r="HY157" s="104"/>
      <c r="HZ157" s="104"/>
      <c r="IA157" s="104"/>
      <c r="IB157" s="104"/>
      <c r="IC157" s="104"/>
      <c r="ID157" s="104"/>
      <c r="IE157" s="104"/>
      <c r="IF157" s="104"/>
      <c r="IG157" s="104"/>
      <c r="IH157" s="104"/>
      <c r="II157" s="104"/>
      <c r="IJ157" s="104"/>
      <c r="IK157" s="104"/>
      <c r="IL157" s="104"/>
      <c r="IM157" s="104"/>
      <c r="IN157" s="104"/>
      <c r="IO157" s="104"/>
      <c r="IP157" s="104"/>
      <c r="IQ157" s="104"/>
      <c r="IR157" s="104"/>
      <c r="IS157" s="104"/>
      <c r="IT157" s="104"/>
      <c r="IU157" s="104"/>
      <c r="IV157" s="104"/>
      <c r="IW157" s="104"/>
      <c r="IX157" s="104"/>
      <c r="IY157" s="104"/>
      <c r="IZ157" s="104"/>
      <c r="JA157" s="104"/>
      <c r="JB157" s="104"/>
      <c r="JC157" s="104"/>
      <c r="JD157" s="104"/>
      <c r="JE157" s="104"/>
      <c r="JF157" s="104"/>
      <c r="JG157" s="104"/>
      <c r="JH157" s="104"/>
      <c r="JI157" s="104"/>
      <c r="JJ157" s="104"/>
      <c r="JK157" s="104"/>
      <c r="JL157" s="104"/>
      <c r="JM157" s="104"/>
      <c r="JN157" s="104"/>
      <c r="JO157" s="104"/>
      <c r="JP157" s="104"/>
      <c r="JQ157" s="104"/>
      <c r="JR157" s="104"/>
      <c r="JS157" s="104"/>
      <c r="JT157" s="104"/>
      <c r="JU157" s="104"/>
      <c r="JV157" s="104"/>
      <c r="JW157" s="104"/>
    </row>
    <row r="158" spans="2:283">
      <c r="B158" s="17"/>
      <c r="C158" s="18"/>
      <c r="D158" s="208"/>
      <c r="E158" s="291" t="s">
        <v>24</v>
      </c>
      <c r="F158" s="292"/>
      <c r="G158" s="20">
        <f>157330-SUM(G145:G157)+154650-2000</f>
        <v>77.849999999999994</v>
      </c>
      <c r="H158" s="21"/>
      <c r="I158" s="21"/>
      <c r="J158" s="21"/>
      <c r="K158" s="45"/>
      <c r="L158" s="21"/>
      <c r="M158" s="128"/>
      <c r="N158" s="21"/>
      <c r="O158" s="21"/>
      <c r="P158" s="21"/>
      <c r="Q158" s="21"/>
      <c r="R158" s="21"/>
      <c r="S158" s="20"/>
      <c r="BV158" s="104"/>
      <c r="BW158" s="104"/>
      <c r="BX158" s="104"/>
      <c r="BY158" s="104"/>
      <c r="BZ158" s="104"/>
      <c r="CA158" s="104"/>
      <c r="CB158" s="104"/>
      <c r="CC158" s="104"/>
      <c r="CD158" s="104"/>
      <c r="CE158" s="104"/>
      <c r="CF158" s="104"/>
      <c r="CG158" s="104"/>
      <c r="CH158" s="104"/>
      <c r="CI158" s="104"/>
      <c r="CJ158" s="104"/>
      <c r="CK158" s="104"/>
      <c r="CL158" s="104"/>
      <c r="CM158" s="104"/>
      <c r="CN158" s="104"/>
      <c r="CO158" s="104"/>
      <c r="CP158" s="104"/>
      <c r="CQ158" s="104"/>
      <c r="CR158" s="104"/>
      <c r="CS158" s="104"/>
      <c r="CT158" s="104"/>
      <c r="CU158" s="104"/>
      <c r="CV158" s="104"/>
      <c r="CW158" s="104"/>
      <c r="CX158" s="104"/>
      <c r="CY158" s="104"/>
      <c r="CZ158" s="104"/>
      <c r="DA158" s="104"/>
      <c r="DB158" s="104"/>
      <c r="DC158" s="104"/>
      <c r="DD158" s="104"/>
      <c r="DE158" s="104"/>
      <c r="DF158" s="104"/>
      <c r="DG158" s="104"/>
      <c r="DH158" s="104"/>
      <c r="DI158" s="104"/>
      <c r="DJ158" s="104"/>
      <c r="DK158" s="104"/>
      <c r="DL158" s="104"/>
      <c r="DM158" s="104"/>
      <c r="DN158" s="104"/>
      <c r="DO158" s="104"/>
      <c r="DP158" s="104"/>
      <c r="DQ158" s="104"/>
      <c r="DR158" s="104"/>
      <c r="DS158" s="104"/>
      <c r="DT158" s="104"/>
      <c r="DU158" s="104"/>
      <c r="DV158" s="104"/>
      <c r="DW158" s="104"/>
      <c r="DX158" s="104"/>
      <c r="DY158" s="104"/>
      <c r="DZ158" s="104"/>
      <c r="EA158" s="104"/>
      <c r="EB158" s="104"/>
      <c r="EC158" s="104"/>
      <c r="ED158" s="104"/>
      <c r="EE158" s="104"/>
      <c r="EF158" s="104"/>
      <c r="EG158" s="104"/>
      <c r="EH158" s="104"/>
      <c r="EI158" s="104"/>
      <c r="EJ158" s="104"/>
      <c r="EK158" s="104"/>
      <c r="EL158" s="104"/>
      <c r="EM158" s="104"/>
      <c r="EN158" s="104"/>
      <c r="EO158" s="104"/>
      <c r="EP158" s="104"/>
      <c r="EQ158" s="104"/>
      <c r="ER158" s="104"/>
      <c r="ES158" s="104"/>
      <c r="ET158" s="104"/>
      <c r="EU158" s="104"/>
      <c r="EV158" s="104"/>
      <c r="EW158" s="104"/>
      <c r="EX158" s="104"/>
      <c r="EY158" s="104"/>
      <c r="EZ158" s="104"/>
      <c r="FA158" s="104"/>
      <c r="FB158" s="104"/>
      <c r="FC158" s="104"/>
      <c r="FD158" s="104"/>
      <c r="FE158" s="104"/>
      <c r="FF158" s="104"/>
      <c r="FG158" s="104"/>
      <c r="FH158" s="104"/>
      <c r="FI158" s="104"/>
      <c r="FJ158" s="104"/>
      <c r="FK158" s="104"/>
      <c r="FL158" s="104"/>
      <c r="FM158" s="104"/>
      <c r="FN158" s="104"/>
      <c r="FO158" s="104"/>
      <c r="FP158" s="104"/>
      <c r="FQ158" s="104"/>
      <c r="FR158" s="104"/>
      <c r="FS158" s="104"/>
      <c r="FT158" s="104"/>
      <c r="FU158" s="104"/>
      <c r="FV158" s="104"/>
      <c r="FW158" s="104"/>
      <c r="FX158" s="104"/>
      <c r="FY158" s="104"/>
      <c r="FZ158" s="104"/>
      <c r="GA158" s="104"/>
      <c r="GB158" s="104"/>
      <c r="GC158" s="104"/>
      <c r="GD158" s="104"/>
      <c r="GE158" s="104"/>
      <c r="GF158" s="104"/>
      <c r="GG158" s="104"/>
      <c r="GH158" s="104"/>
      <c r="GI158" s="104"/>
      <c r="GJ158" s="104"/>
      <c r="GK158" s="104"/>
      <c r="GL158" s="104"/>
      <c r="GM158" s="104"/>
      <c r="GN158" s="104"/>
      <c r="GO158" s="104"/>
      <c r="GP158" s="104"/>
      <c r="GQ158" s="104"/>
      <c r="GR158" s="104"/>
      <c r="GS158" s="104"/>
      <c r="GT158" s="104"/>
      <c r="GU158" s="104"/>
      <c r="GV158" s="104"/>
      <c r="GW158" s="104"/>
      <c r="GX158" s="104"/>
      <c r="GY158" s="104"/>
      <c r="GZ158" s="104"/>
      <c r="HA158" s="104"/>
      <c r="HB158" s="104"/>
      <c r="HC158" s="104"/>
      <c r="HD158" s="104"/>
      <c r="HE158" s="104"/>
      <c r="HF158" s="104"/>
      <c r="HG158" s="104"/>
      <c r="HH158" s="104"/>
      <c r="HI158" s="104"/>
      <c r="HJ158" s="104"/>
      <c r="HK158" s="104"/>
      <c r="HL158" s="104"/>
      <c r="HM158" s="104"/>
      <c r="HN158" s="104"/>
      <c r="HO158" s="104"/>
      <c r="HP158" s="104"/>
      <c r="HQ158" s="104"/>
      <c r="HR158" s="104"/>
      <c r="HS158" s="104"/>
      <c r="HT158" s="104"/>
      <c r="HU158" s="104"/>
      <c r="HV158" s="104"/>
      <c r="HW158" s="104"/>
      <c r="HX158" s="104"/>
      <c r="HY158" s="104"/>
      <c r="HZ158" s="104"/>
      <c r="IA158" s="104"/>
      <c r="IB158" s="104"/>
      <c r="IC158" s="104"/>
      <c r="ID158" s="104"/>
      <c r="IE158" s="104"/>
      <c r="IF158" s="104"/>
      <c r="IG158" s="104"/>
      <c r="IH158" s="104"/>
      <c r="II158" s="104"/>
      <c r="IJ158" s="104"/>
      <c r="IK158" s="104"/>
      <c r="IL158" s="104"/>
      <c r="IM158" s="104"/>
      <c r="IN158" s="104"/>
      <c r="IO158" s="104"/>
      <c r="IP158" s="104"/>
      <c r="IQ158" s="104"/>
      <c r="IR158" s="104"/>
      <c r="IS158" s="104"/>
      <c r="IT158" s="104"/>
      <c r="IU158" s="104"/>
      <c r="IV158" s="104"/>
      <c r="IW158" s="104"/>
      <c r="IX158" s="104"/>
      <c r="IY158" s="104"/>
      <c r="IZ158" s="104"/>
      <c r="JA158" s="104"/>
      <c r="JB158" s="104"/>
      <c r="JC158" s="104"/>
      <c r="JD158" s="104"/>
      <c r="JE158" s="104"/>
      <c r="JF158" s="104"/>
      <c r="JG158" s="104"/>
      <c r="JH158" s="104"/>
      <c r="JI158" s="104"/>
      <c r="JJ158" s="104"/>
      <c r="JK158" s="104"/>
      <c r="JL158" s="104"/>
      <c r="JM158" s="104"/>
      <c r="JN158" s="104"/>
      <c r="JO158" s="104"/>
      <c r="JP158" s="104"/>
      <c r="JQ158" s="104"/>
      <c r="JR158" s="104"/>
      <c r="JS158" s="104"/>
      <c r="JT158" s="104"/>
      <c r="JU158" s="104"/>
      <c r="JV158" s="104"/>
      <c r="JW158" s="104"/>
    </row>
    <row r="159" spans="2:283">
      <c r="B159" s="113"/>
      <c r="C159" s="114"/>
      <c r="D159" s="209"/>
      <c r="E159" s="126"/>
      <c r="F159" s="126"/>
      <c r="G159" s="118"/>
      <c r="H159" s="117"/>
      <c r="I159" s="117"/>
      <c r="J159" s="117"/>
      <c r="K159" s="129"/>
      <c r="L159" s="117"/>
      <c r="M159" s="117"/>
      <c r="N159" s="117"/>
      <c r="O159" s="117"/>
      <c r="P159" s="117"/>
      <c r="Q159" s="117"/>
      <c r="R159" s="117"/>
      <c r="S159" s="118"/>
      <c r="T159" s="100"/>
      <c r="BV159" s="104"/>
      <c r="BW159" s="104"/>
      <c r="BX159" s="104"/>
      <c r="BY159" s="104"/>
      <c r="BZ159" s="104"/>
      <c r="CA159" s="104"/>
      <c r="CB159" s="104"/>
      <c r="CC159" s="104"/>
      <c r="CD159" s="104"/>
      <c r="CE159" s="104"/>
      <c r="CF159" s="104"/>
      <c r="CG159" s="104"/>
      <c r="CH159" s="104"/>
      <c r="CI159" s="104"/>
      <c r="CJ159" s="104"/>
      <c r="CK159" s="104"/>
      <c r="CL159" s="104"/>
      <c r="CM159" s="104"/>
      <c r="CN159" s="104"/>
      <c r="CO159" s="104"/>
      <c r="CP159" s="104"/>
      <c r="CQ159" s="104"/>
      <c r="CR159" s="104"/>
      <c r="CS159" s="104"/>
      <c r="CT159" s="104"/>
      <c r="CU159" s="104"/>
      <c r="CV159" s="104"/>
      <c r="CW159" s="104"/>
      <c r="CX159" s="104"/>
      <c r="CY159" s="104"/>
      <c r="CZ159" s="104"/>
      <c r="DA159" s="104"/>
      <c r="DB159" s="104"/>
      <c r="DC159" s="104"/>
      <c r="DD159" s="104"/>
      <c r="DE159" s="104"/>
      <c r="DF159" s="104"/>
      <c r="DG159" s="104"/>
      <c r="DH159" s="104"/>
      <c r="DI159" s="104"/>
      <c r="DJ159" s="104"/>
      <c r="DK159" s="104"/>
      <c r="DL159" s="104"/>
      <c r="DM159" s="104"/>
      <c r="DN159" s="104"/>
      <c r="DO159" s="104"/>
      <c r="DP159" s="104"/>
      <c r="DQ159" s="104"/>
      <c r="DR159" s="104"/>
      <c r="DS159" s="104"/>
      <c r="DT159" s="104"/>
      <c r="DU159" s="104"/>
      <c r="DV159" s="104"/>
      <c r="DW159" s="104"/>
      <c r="DX159" s="104"/>
      <c r="DY159" s="104"/>
      <c r="DZ159" s="104"/>
      <c r="EA159" s="104"/>
      <c r="EB159" s="104"/>
      <c r="EC159" s="104"/>
      <c r="ED159" s="104"/>
      <c r="EE159" s="104"/>
      <c r="EF159" s="104"/>
      <c r="EG159" s="104"/>
      <c r="EH159" s="104"/>
      <c r="EI159" s="104"/>
      <c r="EJ159" s="104"/>
      <c r="EK159" s="104"/>
      <c r="EL159" s="104"/>
      <c r="EM159" s="104"/>
      <c r="EN159" s="104"/>
      <c r="EO159" s="104"/>
      <c r="EP159" s="104"/>
      <c r="EQ159" s="104"/>
      <c r="ER159" s="104"/>
      <c r="ES159" s="104"/>
      <c r="ET159" s="104"/>
      <c r="EU159" s="104"/>
      <c r="EV159" s="104"/>
      <c r="EW159" s="104"/>
      <c r="EX159" s="104"/>
      <c r="EY159" s="104"/>
      <c r="EZ159" s="104"/>
      <c r="FA159" s="104"/>
      <c r="FB159" s="104"/>
      <c r="FC159" s="104"/>
      <c r="FD159" s="104"/>
      <c r="FE159" s="104"/>
      <c r="FF159" s="104"/>
      <c r="FG159" s="104"/>
      <c r="FH159" s="104"/>
      <c r="FI159" s="104"/>
      <c r="FJ159" s="104"/>
      <c r="FK159" s="104"/>
      <c r="FL159" s="104"/>
      <c r="FM159" s="104"/>
      <c r="FN159" s="104"/>
      <c r="FO159" s="104"/>
      <c r="FP159" s="104"/>
      <c r="FQ159" s="104"/>
      <c r="FR159" s="104"/>
      <c r="FS159" s="104"/>
      <c r="FT159" s="104"/>
      <c r="FU159" s="104"/>
      <c r="FV159" s="104"/>
      <c r="FW159" s="104"/>
      <c r="FX159" s="104"/>
      <c r="FY159" s="104"/>
      <c r="FZ159" s="104"/>
      <c r="GA159" s="104"/>
      <c r="GB159" s="104"/>
      <c r="GC159" s="104"/>
      <c r="GD159" s="104"/>
      <c r="GE159" s="104"/>
      <c r="GF159" s="104"/>
      <c r="GG159" s="104"/>
      <c r="GH159" s="104"/>
      <c r="GI159" s="104"/>
      <c r="GJ159" s="104"/>
      <c r="GK159" s="104"/>
      <c r="GL159" s="104"/>
      <c r="GM159" s="104"/>
      <c r="GN159" s="104"/>
      <c r="GO159" s="104"/>
      <c r="GP159" s="104"/>
      <c r="GQ159" s="104"/>
      <c r="GR159" s="104"/>
      <c r="GS159" s="104"/>
      <c r="GT159" s="104"/>
      <c r="GU159" s="104"/>
      <c r="GV159" s="104"/>
      <c r="GW159" s="104"/>
      <c r="GX159" s="104"/>
      <c r="GY159" s="104"/>
      <c r="GZ159" s="104"/>
      <c r="HA159" s="104"/>
      <c r="HB159" s="104"/>
      <c r="HC159" s="104"/>
      <c r="HD159" s="104"/>
      <c r="HE159" s="104"/>
      <c r="HF159" s="104"/>
      <c r="HG159" s="104"/>
      <c r="HH159" s="104"/>
      <c r="HI159" s="104"/>
      <c r="HJ159" s="104"/>
      <c r="HK159" s="104"/>
      <c r="HL159" s="104"/>
      <c r="HM159" s="104"/>
      <c r="HN159" s="104"/>
      <c r="HO159" s="104"/>
      <c r="HP159" s="104"/>
      <c r="HQ159" s="104"/>
      <c r="HR159" s="104"/>
      <c r="HS159" s="104"/>
      <c r="HT159" s="104"/>
      <c r="HU159" s="104"/>
      <c r="HV159" s="104"/>
      <c r="HW159" s="104"/>
      <c r="HX159" s="104"/>
      <c r="HY159" s="104"/>
      <c r="HZ159" s="104"/>
      <c r="IA159" s="104"/>
      <c r="IB159" s="104"/>
      <c r="IC159" s="104"/>
      <c r="ID159" s="104"/>
      <c r="IE159" s="104"/>
      <c r="IF159" s="104"/>
      <c r="IG159" s="104"/>
      <c r="IH159" s="104"/>
      <c r="II159" s="104"/>
      <c r="IJ159" s="104"/>
      <c r="IK159" s="104"/>
      <c r="IL159" s="104"/>
      <c r="IM159" s="104"/>
      <c r="IN159" s="104"/>
      <c r="IO159" s="104"/>
      <c r="IP159" s="104"/>
      <c r="IQ159" s="104"/>
      <c r="IR159" s="104"/>
      <c r="IS159" s="104"/>
      <c r="IT159" s="104"/>
      <c r="IU159" s="104"/>
      <c r="IV159" s="104"/>
      <c r="IW159" s="104"/>
      <c r="IX159" s="104"/>
      <c r="IY159" s="104"/>
      <c r="IZ159" s="104"/>
      <c r="JA159" s="104"/>
      <c r="JB159" s="104"/>
      <c r="JC159" s="104"/>
      <c r="JD159" s="104"/>
      <c r="JE159" s="104"/>
      <c r="JF159" s="104"/>
      <c r="JG159" s="104"/>
      <c r="JH159" s="104"/>
      <c r="JI159" s="104"/>
      <c r="JJ159" s="104"/>
      <c r="JK159" s="104"/>
      <c r="JL159" s="104"/>
      <c r="JM159" s="104"/>
      <c r="JN159" s="104"/>
      <c r="JO159" s="104"/>
      <c r="JP159" s="104"/>
      <c r="JQ159" s="104"/>
      <c r="JR159" s="104"/>
      <c r="JS159" s="104"/>
      <c r="JT159" s="104"/>
      <c r="JU159" s="104"/>
      <c r="JV159" s="104"/>
      <c r="JW159" s="104"/>
    </row>
    <row r="160" spans="2:283">
      <c r="B160" s="287" t="s">
        <v>40</v>
      </c>
      <c r="C160" s="124"/>
      <c r="D160" s="212"/>
      <c r="E160" s="125"/>
      <c r="F160" s="130" t="s">
        <v>23</v>
      </c>
      <c r="G160" s="106">
        <f>G161+G162</f>
        <v>2353850</v>
      </c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BV160" s="104"/>
      <c r="BW160" s="104"/>
      <c r="BX160" s="104"/>
      <c r="BY160" s="104"/>
      <c r="BZ160" s="104"/>
      <c r="CA160" s="104"/>
      <c r="CB160" s="104"/>
      <c r="CC160" s="104"/>
      <c r="CD160" s="104"/>
      <c r="CE160" s="104"/>
      <c r="CF160" s="104"/>
      <c r="CG160" s="104"/>
      <c r="CH160" s="104"/>
      <c r="CI160" s="104"/>
      <c r="CJ160" s="104"/>
      <c r="CK160" s="104"/>
      <c r="CL160" s="104"/>
      <c r="CM160" s="104"/>
      <c r="CN160" s="104"/>
      <c r="CO160" s="104"/>
      <c r="CP160" s="104"/>
      <c r="CQ160" s="104"/>
      <c r="CR160" s="104"/>
      <c r="CS160" s="104"/>
      <c r="CT160" s="104"/>
      <c r="CU160" s="104"/>
      <c r="CV160" s="104"/>
      <c r="CW160" s="104"/>
      <c r="CX160" s="104"/>
      <c r="CY160" s="104"/>
      <c r="CZ160" s="104"/>
      <c r="DA160" s="104"/>
      <c r="DB160" s="104"/>
      <c r="DC160" s="104"/>
      <c r="DD160" s="104"/>
      <c r="DE160" s="104"/>
      <c r="DF160" s="104"/>
      <c r="DG160" s="104"/>
      <c r="DH160" s="104"/>
      <c r="DI160" s="104"/>
      <c r="DJ160" s="104"/>
      <c r="DK160" s="104"/>
      <c r="DL160" s="104"/>
      <c r="DM160" s="104"/>
      <c r="DN160" s="104"/>
      <c r="DO160" s="104"/>
      <c r="DP160" s="104"/>
      <c r="DQ160" s="104"/>
      <c r="DR160" s="104"/>
      <c r="DS160" s="104"/>
      <c r="DT160" s="104"/>
      <c r="DU160" s="104"/>
      <c r="DV160" s="104"/>
      <c r="DW160" s="104"/>
      <c r="DX160" s="104"/>
      <c r="DY160" s="104"/>
      <c r="DZ160" s="104"/>
      <c r="EA160" s="104"/>
      <c r="EB160" s="104"/>
      <c r="EC160" s="104"/>
      <c r="ED160" s="104"/>
      <c r="EE160" s="104"/>
      <c r="EF160" s="104"/>
      <c r="EG160" s="104"/>
      <c r="EH160" s="104"/>
      <c r="EI160" s="104"/>
      <c r="EJ160" s="104"/>
      <c r="EK160" s="104"/>
      <c r="EL160" s="104"/>
      <c r="EM160" s="104"/>
      <c r="EN160" s="104"/>
      <c r="EO160" s="104"/>
      <c r="EP160" s="104"/>
      <c r="EQ160" s="104"/>
      <c r="ER160" s="104"/>
      <c r="ES160" s="104"/>
      <c r="ET160" s="104"/>
      <c r="EU160" s="104"/>
      <c r="EV160" s="104"/>
      <c r="EW160" s="104"/>
      <c r="EX160" s="104"/>
      <c r="EY160" s="104"/>
      <c r="EZ160" s="104"/>
      <c r="FA160" s="104"/>
      <c r="FB160" s="104"/>
      <c r="FC160" s="104"/>
      <c r="FD160" s="104"/>
      <c r="FE160" s="104"/>
      <c r="FF160" s="104"/>
      <c r="FG160" s="104"/>
      <c r="FH160" s="104"/>
      <c r="FI160" s="104"/>
      <c r="FJ160" s="104"/>
      <c r="FK160" s="104"/>
      <c r="FL160" s="104"/>
      <c r="FM160" s="104"/>
      <c r="FN160" s="104"/>
      <c r="FO160" s="104"/>
      <c r="FP160" s="104"/>
      <c r="FQ160" s="104"/>
      <c r="FR160" s="104"/>
      <c r="FS160" s="104"/>
      <c r="FT160" s="104"/>
      <c r="FU160" s="104"/>
      <c r="FV160" s="104"/>
      <c r="FW160" s="104"/>
      <c r="FX160" s="104"/>
      <c r="FY160" s="104"/>
      <c r="FZ160" s="104"/>
      <c r="GA160" s="104"/>
      <c r="GB160" s="104"/>
      <c r="GC160" s="104"/>
      <c r="GD160" s="104"/>
      <c r="GE160" s="104"/>
      <c r="GF160" s="104"/>
      <c r="GG160" s="104"/>
      <c r="GH160" s="104"/>
      <c r="GI160" s="104"/>
      <c r="GJ160" s="104"/>
      <c r="GK160" s="104"/>
      <c r="GL160" s="104"/>
      <c r="GM160" s="104"/>
      <c r="GN160" s="104"/>
      <c r="GO160" s="104"/>
      <c r="GP160" s="104"/>
      <c r="GQ160" s="104"/>
      <c r="GR160" s="104"/>
      <c r="GS160" s="104"/>
      <c r="GT160" s="104"/>
      <c r="GU160" s="104"/>
      <c r="GV160" s="104"/>
      <c r="GW160" s="104"/>
      <c r="GX160" s="104"/>
      <c r="GY160" s="104"/>
      <c r="GZ160" s="104"/>
      <c r="HA160" s="104"/>
      <c r="HB160" s="104"/>
      <c r="HC160" s="104"/>
      <c r="HD160" s="104"/>
      <c r="HE160" s="104"/>
      <c r="HF160" s="104"/>
      <c r="HG160" s="104"/>
      <c r="HH160" s="104"/>
      <c r="HI160" s="104"/>
      <c r="HJ160" s="104"/>
      <c r="HK160" s="104"/>
      <c r="HL160" s="104"/>
      <c r="HM160" s="104"/>
      <c r="HN160" s="104"/>
      <c r="HO160" s="104"/>
      <c r="HP160" s="104"/>
      <c r="HQ160" s="104"/>
      <c r="HR160" s="104"/>
      <c r="HS160" s="104"/>
      <c r="HT160" s="104"/>
      <c r="HU160" s="104"/>
      <c r="HV160" s="104"/>
      <c r="HW160" s="104"/>
      <c r="HX160" s="104"/>
      <c r="HY160" s="104"/>
      <c r="HZ160" s="104"/>
      <c r="IA160" s="104"/>
      <c r="IB160" s="104"/>
      <c r="IC160" s="104"/>
      <c r="ID160" s="104"/>
      <c r="IE160" s="104"/>
      <c r="IF160" s="104"/>
      <c r="IG160" s="104"/>
      <c r="IH160" s="104"/>
      <c r="II160" s="104"/>
      <c r="IJ160" s="104"/>
      <c r="IK160" s="104"/>
      <c r="IL160" s="104"/>
      <c r="IM160" s="104"/>
      <c r="IN160" s="104"/>
      <c r="IO160" s="104"/>
      <c r="IP160" s="104"/>
      <c r="IQ160" s="104"/>
      <c r="IR160" s="104"/>
      <c r="IS160" s="104"/>
      <c r="IT160" s="104"/>
      <c r="IU160" s="104"/>
      <c r="IV160" s="104"/>
      <c r="IW160" s="104"/>
      <c r="IX160" s="104"/>
      <c r="IY160" s="104"/>
      <c r="IZ160" s="104"/>
      <c r="JA160" s="104"/>
      <c r="JB160" s="104"/>
      <c r="JC160" s="104"/>
      <c r="JD160" s="104"/>
      <c r="JE160" s="104"/>
      <c r="JF160" s="104"/>
      <c r="JG160" s="104"/>
      <c r="JH160" s="104"/>
      <c r="JI160" s="104"/>
      <c r="JJ160" s="104"/>
      <c r="JK160" s="104"/>
      <c r="JL160" s="104"/>
      <c r="JM160" s="104"/>
      <c r="JN160" s="104"/>
      <c r="JO160" s="104"/>
      <c r="JP160" s="104"/>
      <c r="JQ160" s="104"/>
      <c r="JR160" s="104"/>
      <c r="JS160" s="104"/>
      <c r="JT160" s="104"/>
      <c r="JU160" s="104"/>
      <c r="JV160" s="104"/>
      <c r="JW160" s="104"/>
    </row>
    <row r="161" spans="2:283">
      <c r="B161" s="288"/>
      <c r="C161" s="8"/>
      <c r="D161" s="203"/>
      <c r="E161" s="33"/>
      <c r="F161" s="108" t="s">
        <v>95</v>
      </c>
      <c r="G161" s="106">
        <f>G163</f>
        <v>2353820.1</v>
      </c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BV161" s="104"/>
      <c r="BW161" s="104"/>
      <c r="BX161" s="104"/>
      <c r="BY161" s="104"/>
      <c r="BZ161" s="104"/>
      <c r="CA161" s="104"/>
      <c r="CB161" s="104"/>
      <c r="CC161" s="104"/>
      <c r="CD161" s="104"/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4"/>
      <c r="CY161" s="104"/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4"/>
      <c r="DT161" s="104"/>
      <c r="DU161" s="104"/>
      <c r="DV161" s="104"/>
      <c r="DW161" s="104"/>
      <c r="DX161" s="104"/>
      <c r="DY161" s="104"/>
      <c r="DZ161" s="104"/>
      <c r="EA161" s="104"/>
      <c r="EB161" s="104"/>
      <c r="EC161" s="104"/>
      <c r="ED161" s="104"/>
      <c r="EE161" s="104"/>
      <c r="EF161" s="104"/>
      <c r="EG161" s="104"/>
      <c r="EH161" s="104"/>
      <c r="EI161" s="104"/>
      <c r="EJ161" s="104"/>
      <c r="EK161" s="104"/>
      <c r="EL161" s="104"/>
      <c r="EM161" s="104"/>
      <c r="EN161" s="104"/>
      <c r="EO161" s="104"/>
      <c r="EP161" s="104"/>
      <c r="EQ161" s="104"/>
      <c r="ER161" s="104"/>
      <c r="ES161" s="104"/>
      <c r="ET161" s="104"/>
      <c r="EU161" s="104"/>
      <c r="EV161" s="104"/>
      <c r="EW161" s="104"/>
      <c r="EX161" s="104"/>
      <c r="EY161" s="104"/>
      <c r="EZ161" s="104"/>
      <c r="FA161" s="104"/>
      <c r="FB161" s="104"/>
      <c r="FC161" s="104"/>
      <c r="FD161" s="104"/>
      <c r="FE161" s="104"/>
      <c r="FF161" s="104"/>
      <c r="FG161" s="104"/>
      <c r="FH161" s="104"/>
      <c r="FI161" s="104"/>
      <c r="FJ161" s="104"/>
      <c r="FK161" s="104"/>
      <c r="FL161" s="104"/>
      <c r="FM161" s="104"/>
      <c r="FN161" s="104"/>
      <c r="FO161" s="104"/>
      <c r="FP161" s="104"/>
      <c r="FQ161" s="104"/>
      <c r="FR161" s="104"/>
      <c r="FS161" s="104"/>
      <c r="FT161" s="104"/>
      <c r="FU161" s="104"/>
      <c r="FV161" s="104"/>
      <c r="FW161" s="104"/>
      <c r="FX161" s="104"/>
      <c r="FY161" s="104"/>
      <c r="FZ161" s="104"/>
      <c r="GA161" s="104"/>
      <c r="GB161" s="104"/>
      <c r="GC161" s="104"/>
      <c r="GD161" s="104"/>
      <c r="GE161" s="104"/>
      <c r="GF161" s="104"/>
      <c r="GG161" s="104"/>
      <c r="GH161" s="104"/>
      <c r="GI161" s="104"/>
      <c r="GJ161" s="104"/>
      <c r="GK161" s="104"/>
      <c r="GL161" s="104"/>
      <c r="GM161" s="104"/>
      <c r="GN161" s="104"/>
      <c r="GO161" s="104"/>
      <c r="GP161" s="104"/>
      <c r="GQ161" s="104"/>
      <c r="GR161" s="104"/>
      <c r="GS161" s="104"/>
      <c r="GT161" s="104"/>
      <c r="GU161" s="104"/>
      <c r="GV161" s="104"/>
      <c r="GW161" s="104"/>
      <c r="GX161" s="104"/>
      <c r="GY161" s="104"/>
      <c r="GZ161" s="104"/>
      <c r="HA161" s="104"/>
      <c r="HB161" s="104"/>
      <c r="HC161" s="104"/>
      <c r="HD161" s="104"/>
      <c r="HE161" s="104"/>
      <c r="HF161" s="104"/>
      <c r="HG161" s="104"/>
      <c r="HH161" s="104"/>
      <c r="HI161" s="104"/>
      <c r="HJ161" s="104"/>
      <c r="HK161" s="104"/>
      <c r="HL161" s="104"/>
      <c r="HM161" s="104"/>
      <c r="HN161" s="104"/>
      <c r="HO161" s="104"/>
      <c r="HP161" s="104"/>
      <c r="HQ161" s="104"/>
      <c r="HR161" s="104"/>
      <c r="HS161" s="104"/>
      <c r="HT161" s="104"/>
      <c r="HU161" s="104"/>
      <c r="HV161" s="104"/>
      <c r="HW161" s="104"/>
      <c r="HX161" s="104"/>
      <c r="HY161" s="104"/>
      <c r="HZ161" s="104"/>
      <c r="IA161" s="104"/>
      <c r="IB161" s="104"/>
      <c r="IC161" s="104"/>
      <c r="ID161" s="104"/>
      <c r="IE161" s="104"/>
      <c r="IF161" s="104"/>
      <c r="IG161" s="104"/>
      <c r="IH161" s="104"/>
      <c r="II161" s="104"/>
      <c r="IJ161" s="104"/>
      <c r="IK161" s="104"/>
      <c r="IL161" s="104"/>
      <c r="IM161" s="104"/>
      <c r="IN161" s="104"/>
      <c r="IO161" s="104"/>
      <c r="IP161" s="104"/>
      <c r="IQ161" s="104"/>
      <c r="IR161" s="104"/>
      <c r="IS161" s="104"/>
      <c r="IT161" s="104"/>
      <c r="IU161" s="104"/>
      <c r="IV161" s="104"/>
      <c r="IW161" s="104"/>
      <c r="IX161" s="104"/>
      <c r="IY161" s="104"/>
      <c r="IZ161" s="104"/>
      <c r="JA161" s="104"/>
      <c r="JB161" s="104"/>
      <c r="JC161" s="104"/>
      <c r="JD161" s="104"/>
      <c r="JE161" s="104"/>
      <c r="JF161" s="104"/>
      <c r="JG161" s="104"/>
      <c r="JH161" s="104"/>
      <c r="JI161" s="104"/>
      <c r="JJ161" s="104"/>
      <c r="JK161" s="104"/>
      <c r="JL161" s="104"/>
      <c r="JM161" s="104"/>
      <c r="JN161" s="104"/>
      <c r="JO161" s="104"/>
      <c r="JP161" s="104"/>
      <c r="JQ161" s="104"/>
      <c r="JR161" s="104"/>
      <c r="JS161" s="104"/>
      <c r="JT161" s="104"/>
      <c r="JU161" s="104"/>
      <c r="JV161" s="104"/>
      <c r="JW161" s="104"/>
    </row>
    <row r="162" spans="2:283" ht="30">
      <c r="B162" s="288"/>
      <c r="C162" s="8"/>
      <c r="D162" s="203"/>
      <c r="E162" s="33"/>
      <c r="F162" s="108" t="s">
        <v>24</v>
      </c>
      <c r="G162" s="106">
        <f>G198+G204+G210+G219+G227</f>
        <v>29.9</v>
      </c>
      <c r="H162" s="10"/>
      <c r="I162" s="10"/>
      <c r="J162" s="10"/>
      <c r="K162" s="10"/>
      <c r="L162" s="10"/>
      <c r="M162" s="10"/>
      <c r="N162" s="10"/>
      <c r="O162" s="78"/>
      <c r="P162" s="10"/>
      <c r="Q162" s="10"/>
      <c r="R162" s="10"/>
      <c r="S162" s="10"/>
      <c r="BV162" s="104"/>
      <c r="BW162" s="104"/>
      <c r="BX162" s="104"/>
      <c r="BY162" s="104"/>
      <c r="BZ162" s="104"/>
      <c r="CA162" s="104"/>
      <c r="CB162" s="104"/>
      <c r="CC162" s="104"/>
      <c r="CD162" s="104"/>
      <c r="CE162" s="104"/>
      <c r="CF162" s="104"/>
      <c r="CG162" s="104"/>
      <c r="CH162" s="104"/>
      <c r="CI162" s="104"/>
      <c r="CJ162" s="104"/>
      <c r="CK162" s="104"/>
      <c r="CL162" s="104"/>
      <c r="CM162" s="104"/>
      <c r="CN162" s="104"/>
      <c r="CO162" s="104"/>
      <c r="CP162" s="104"/>
      <c r="CQ162" s="104"/>
      <c r="CR162" s="104"/>
      <c r="CS162" s="104"/>
      <c r="CT162" s="104"/>
      <c r="CU162" s="104"/>
      <c r="CV162" s="104"/>
      <c r="CW162" s="104"/>
      <c r="CX162" s="104"/>
      <c r="CY162" s="104"/>
      <c r="CZ162" s="104"/>
      <c r="DA162" s="104"/>
      <c r="DB162" s="104"/>
      <c r="DC162" s="104"/>
      <c r="DD162" s="104"/>
      <c r="DE162" s="104"/>
      <c r="DF162" s="104"/>
      <c r="DG162" s="104"/>
      <c r="DH162" s="104"/>
      <c r="DI162" s="104"/>
      <c r="DJ162" s="104"/>
      <c r="DK162" s="104"/>
      <c r="DL162" s="104"/>
      <c r="DM162" s="104"/>
      <c r="DN162" s="104"/>
      <c r="DO162" s="104"/>
      <c r="DP162" s="104"/>
      <c r="DQ162" s="104"/>
      <c r="DR162" s="104"/>
      <c r="DS162" s="104"/>
      <c r="DT162" s="104"/>
      <c r="DU162" s="104"/>
      <c r="DV162" s="104"/>
      <c r="DW162" s="104"/>
      <c r="DX162" s="104"/>
      <c r="DY162" s="104"/>
      <c r="DZ162" s="104"/>
      <c r="EA162" s="104"/>
      <c r="EB162" s="104"/>
      <c r="EC162" s="104"/>
      <c r="ED162" s="104"/>
      <c r="EE162" s="104"/>
      <c r="EF162" s="104"/>
      <c r="EG162" s="104"/>
      <c r="EH162" s="104"/>
      <c r="EI162" s="104"/>
      <c r="EJ162" s="104"/>
      <c r="EK162" s="104"/>
      <c r="EL162" s="104"/>
      <c r="EM162" s="104"/>
      <c r="EN162" s="104"/>
      <c r="EO162" s="104"/>
      <c r="EP162" s="104"/>
      <c r="EQ162" s="104"/>
      <c r="ER162" s="104"/>
      <c r="ES162" s="104"/>
      <c r="ET162" s="104"/>
      <c r="EU162" s="104"/>
      <c r="EV162" s="104"/>
      <c r="EW162" s="104"/>
      <c r="EX162" s="104"/>
      <c r="EY162" s="104"/>
      <c r="EZ162" s="104"/>
      <c r="FA162" s="104"/>
      <c r="FB162" s="104"/>
      <c r="FC162" s="104"/>
      <c r="FD162" s="104"/>
      <c r="FE162" s="104"/>
      <c r="FF162" s="104"/>
      <c r="FG162" s="104"/>
      <c r="FH162" s="104"/>
      <c r="FI162" s="104"/>
      <c r="FJ162" s="104"/>
      <c r="FK162" s="104"/>
      <c r="FL162" s="104"/>
      <c r="FM162" s="104"/>
      <c r="FN162" s="104"/>
      <c r="FO162" s="104"/>
      <c r="FP162" s="104"/>
      <c r="FQ162" s="104"/>
      <c r="FR162" s="104"/>
      <c r="FS162" s="104"/>
      <c r="FT162" s="104"/>
      <c r="FU162" s="104"/>
      <c r="FV162" s="104"/>
      <c r="FW162" s="104"/>
      <c r="FX162" s="104"/>
      <c r="FY162" s="104"/>
      <c r="FZ162" s="104"/>
      <c r="GA162" s="104"/>
      <c r="GB162" s="104"/>
      <c r="GC162" s="104"/>
      <c r="GD162" s="104"/>
      <c r="GE162" s="104"/>
      <c r="GF162" s="104"/>
      <c r="GG162" s="104"/>
      <c r="GH162" s="104"/>
      <c r="GI162" s="104"/>
      <c r="GJ162" s="104"/>
      <c r="GK162" s="104"/>
      <c r="GL162" s="104"/>
      <c r="GM162" s="104"/>
      <c r="GN162" s="104"/>
      <c r="GO162" s="104"/>
      <c r="GP162" s="104"/>
      <c r="GQ162" s="104"/>
      <c r="GR162" s="104"/>
      <c r="GS162" s="104"/>
      <c r="GT162" s="104"/>
      <c r="GU162" s="104"/>
      <c r="GV162" s="104"/>
      <c r="GW162" s="104"/>
      <c r="GX162" s="104"/>
      <c r="GY162" s="104"/>
      <c r="GZ162" s="104"/>
      <c r="HA162" s="104"/>
      <c r="HB162" s="104"/>
      <c r="HC162" s="104"/>
      <c r="HD162" s="104"/>
      <c r="HE162" s="104"/>
      <c r="HF162" s="104"/>
      <c r="HG162" s="104"/>
      <c r="HH162" s="104"/>
      <c r="HI162" s="104"/>
      <c r="HJ162" s="104"/>
      <c r="HK162" s="104"/>
      <c r="HL162" s="104"/>
      <c r="HM162" s="104"/>
      <c r="HN162" s="104"/>
      <c r="HO162" s="104"/>
      <c r="HP162" s="104"/>
      <c r="HQ162" s="104"/>
      <c r="HR162" s="104"/>
      <c r="HS162" s="104"/>
      <c r="HT162" s="104"/>
      <c r="HU162" s="104"/>
      <c r="HV162" s="104"/>
      <c r="HW162" s="104"/>
      <c r="HX162" s="104"/>
      <c r="HY162" s="104"/>
      <c r="HZ162" s="104"/>
      <c r="IA162" s="104"/>
      <c r="IB162" s="104"/>
      <c r="IC162" s="104"/>
      <c r="ID162" s="104"/>
      <c r="IE162" s="104"/>
      <c r="IF162" s="104"/>
      <c r="IG162" s="104"/>
      <c r="IH162" s="104"/>
      <c r="II162" s="104"/>
      <c r="IJ162" s="104"/>
      <c r="IK162" s="104"/>
      <c r="IL162" s="104"/>
      <c r="IM162" s="104"/>
      <c r="IN162" s="104"/>
      <c r="IO162" s="104"/>
      <c r="IP162" s="104"/>
      <c r="IQ162" s="104"/>
      <c r="IR162" s="104"/>
      <c r="IS162" s="104"/>
      <c r="IT162" s="104"/>
      <c r="IU162" s="104"/>
      <c r="IV162" s="104"/>
      <c r="IW162" s="104"/>
      <c r="IX162" s="104"/>
      <c r="IY162" s="104"/>
      <c r="IZ162" s="104"/>
      <c r="JA162" s="104"/>
      <c r="JB162" s="104"/>
      <c r="JC162" s="104"/>
      <c r="JD162" s="104"/>
      <c r="JE162" s="104"/>
      <c r="JF162" s="104"/>
      <c r="JG162" s="104"/>
      <c r="JH162" s="104"/>
      <c r="JI162" s="104"/>
      <c r="JJ162" s="104"/>
      <c r="JK162" s="104"/>
      <c r="JL162" s="104"/>
      <c r="JM162" s="104"/>
      <c r="JN162" s="104"/>
      <c r="JO162" s="104"/>
      <c r="JP162" s="104"/>
      <c r="JQ162" s="104"/>
      <c r="JR162" s="104"/>
      <c r="JS162" s="104"/>
      <c r="JT162" s="104"/>
      <c r="JU162" s="104"/>
      <c r="JV162" s="104"/>
      <c r="JW162" s="104"/>
    </row>
    <row r="163" spans="2:283" ht="30" thickBot="1">
      <c r="B163" s="79" t="s">
        <v>41</v>
      </c>
      <c r="C163" s="8">
        <f>C165+C199+C205+C211+C220</f>
        <v>32</v>
      </c>
      <c r="D163" s="203"/>
      <c r="E163" s="40"/>
      <c r="F163" s="10"/>
      <c r="G163" s="14">
        <f>+G221+G200+G166+G206+G212</f>
        <v>2353820.1</v>
      </c>
      <c r="H163" s="14">
        <f>+H221+H200+H166+H206+H212</f>
        <v>32967.72</v>
      </c>
      <c r="I163" s="14">
        <f>+I221+I200+I166+I206+I212</f>
        <v>245629.05</v>
      </c>
      <c r="J163" s="14">
        <f>+J221+J200+J166+J206+J212</f>
        <v>208301.84</v>
      </c>
      <c r="K163" s="14">
        <f>+K221+K200+K166+K206+K212</f>
        <v>196921.49</v>
      </c>
      <c r="L163" s="14">
        <f>+L221+L200+L166+L206+L212</f>
        <v>207500</v>
      </c>
      <c r="M163" s="14">
        <f>+M221+M200+M166+M206+M212</f>
        <v>207500</v>
      </c>
      <c r="N163" s="14">
        <f>+N221+N200+N166+N206+N212</f>
        <v>196500</v>
      </c>
      <c r="O163" s="14">
        <f>+O221+O200+O166+O206+O212</f>
        <v>224500</v>
      </c>
      <c r="P163" s="14">
        <f>+P221+P200+P166+P206+P212</f>
        <v>202500</v>
      </c>
      <c r="Q163" s="14">
        <f>+Q221+Q200+Q166+Q206+Q212</f>
        <v>202500</v>
      </c>
      <c r="R163" s="14">
        <f>+R221+R200+R166+R206+R212</f>
        <v>218500</v>
      </c>
      <c r="S163" s="14">
        <f>+S221+S200+S166+S206+S212</f>
        <v>210500</v>
      </c>
      <c r="T163" s="78"/>
      <c r="U163" s="78"/>
      <c r="V163" s="78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  <c r="IP163" s="104"/>
      <c r="IQ163" s="104"/>
      <c r="IR163" s="104"/>
      <c r="IS163" s="104"/>
      <c r="IT163" s="104"/>
      <c r="IU163" s="104"/>
      <c r="IV163" s="104"/>
      <c r="IW163" s="104"/>
      <c r="IX163" s="104"/>
      <c r="IY163" s="104"/>
      <c r="IZ163" s="104"/>
      <c r="JA163" s="104"/>
      <c r="JB163" s="104"/>
      <c r="JC163" s="104"/>
      <c r="JD163" s="104"/>
      <c r="JE163" s="104"/>
      <c r="JF163" s="104"/>
      <c r="JG163" s="104"/>
      <c r="JH163" s="104"/>
      <c r="JI163" s="104"/>
      <c r="JJ163" s="104"/>
      <c r="JK163" s="104"/>
      <c r="JL163" s="104"/>
      <c r="JM163" s="104"/>
      <c r="JN163" s="104"/>
      <c r="JO163" s="104"/>
      <c r="JP163" s="104"/>
      <c r="JQ163" s="104"/>
      <c r="JR163" s="104"/>
      <c r="JS163" s="104"/>
      <c r="JT163" s="104"/>
      <c r="JU163" s="104"/>
      <c r="JV163" s="104"/>
      <c r="JW163" s="104"/>
    </row>
    <row r="164" spans="2:283" ht="15.75" thickTop="1">
      <c r="B164" s="41"/>
      <c r="C164" s="42"/>
      <c r="D164" s="213"/>
      <c r="E164" s="28"/>
      <c r="F164" s="53"/>
      <c r="G164" s="29"/>
      <c r="H164" s="29"/>
      <c r="I164" s="29"/>
      <c r="J164" s="29"/>
      <c r="K164" s="29"/>
      <c r="L164" s="29"/>
      <c r="M164" s="32"/>
      <c r="N164" s="78"/>
      <c r="O164" s="29"/>
      <c r="P164" s="29"/>
      <c r="Q164" s="29"/>
      <c r="R164" s="29"/>
      <c r="S164" s="29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  <c r="IP164" s="104"/>
      <c r="IQ164" s="104"/>
      <c r="IR164" s="104"/>
      <c r="IS164" s="104"/>
      <c r="IT164" s="104"/>
      <c r="IU164" s="104"/>
      <c r="IV164" s="104"/>
      <c r="IW164" s="104"/>
      <c r="IX164" s="104"/>
      <c r="IY164" s="104"/>
      <c r="IZ164" s="104"/>
      <c r="JA164" s="104"/>
      <c r="JB164" s="104"/>
      <c r="JC164" s="104"/>
      <c r="JD164" s="104"/>
      <c r="JE164" s="104"/>
      <c r="JF164" s="104"/>
      <c r="JG164" s="104"/>
      <c r="JH164" s="104"/>
      <c r="JI164" s="104"/>
      <c r="JJ164" s="104"/>
      <c r="JK164" s="104"/>
      <c r="JL164" s="104"/>
      <c r="JM164" s="104"/>
      <c r="JN164" s="104"/>
      <c r="JO164" s="104"/>
      <c r="JP164" s="104"/>
      <c r="JQ164" s="104"/>
      <c r="JR164" s="104"/>
      <c r="JS164" s="104"/>
      <c r="JT164" s="104"/>
      <c r="JU164" s="104"/>
      <c r="JV164" s="104"/>
      <c r="JW164" s="104"/>
    </row>
    <row r="165" spans="2:283" s="86" customFormat="1" ht="29.25" customHeight="1">
      <c r="B165" s="293" t="s">
        <v>42</v>
      </c>
      <c r="C165" s="295">
        <f>SUM(C180:C197)</f>
        <v>22</v>
      </c>
      <c r="D165" s="214"/>
      <c r="E165" s="93"/>
      <c r="F165" s="61"/>
      <c r="G165" s="61"/>
      <c r="H165" s="61"/>
      <c r="I165" s="61"/>
      <c r="J165" s="61"/>
      <c r="K165" s="61"/>
      <c r="L165" s="61"/>
      <c r="M165" s="94"/>
      <c r="N165" s="61"/>
      <c r="O165" s="61"/>
      <c r="P165" s="61"/>
      <c r="Q165" s="61"/>
      <c r="R165" s="61"/>
      <c r="S165" s="61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  <c r="GM165" s="104"/>
      <c r="GN165" s="104"/>
      <c r="GO165" s="104"/>
      <c r="GP165" s="104"/>
      <c r="GQ165" s="104"/>
      <c r="GR165" s="104"/>
      <c r="GS165" s="104"/>
      <c r="GT165" s="104"/>
      <c r="GU165" s="104"/>
      <c r="GV165" s="104"/>
      <c r="GW165" s="104"/>
      <c r="GX165" s="104"/>
      <c r="GY165" s="104"/>
      <c r="GZ165" s="104"/>
      <c r="HA165" s="104"/>
      <c r="HB165" s="104"/>
      <c r="HC165" s="104"/>
      <c r="HD165" s="104"/>
      <c r="HE165" s="104"/>
      <c r="HF165" s="104"/>
      <c r="HG165" s="104"/>
      <c r="HH165" s="104"/>
      <c r="HI165" s="104"/>
      <c r="HJ165" s="104"/>
      <c r="HK165" s="104"/>
      <c r="HL165" s="104"/>
      <c r="HM165" s="104"/>
      <c r="HN165" s="104"/>
      <c r="HO165" s="104"/>
      <c r="HP165" s="104"/>
      <c r="HQ165" s="104"/>
      <c r="HR165" s="104"/>
      <c r="HS165" s="104"/>
      <c r="HT165" s="104"/>
      <c r="HU165" s="104"/>
      <c r="HV165" s="104"/>
      <c r="HW165" s="104"/>
      <c r="HX165" s="104"/>
      <c r="HY165" s="104"/>
      <c r="HZ165" s="104"/>
      <c r="IA165" s="104"/>
      <c r="IB165" s="104"/>
      <c r="IC165" s="104"/>
      <c r="ID165" s="104"/>
      <c r="IE165" s="104"/>
      <c r="IF165" s="104"/>
      <c r="IG165" s="104"/>
      <c r="IH165" s="104"/>
      <c r="II165" s="104"/>
      <c r="IJ165" s="104"/>
      <c r="IK165" s="104"/>
      <c r="IL165" s="104"/>
      <c r="IM165" s="104"/>
      <c r="IN165" s="104"/>
      <c r="IO165" s="104"/>
      <c r="IP165" s="104"/>
      <c r="IQ165" s="104"/>
      <c r="IR165" s="104"/>
      <c r="IS165" s="104"/>
      <c r="IT165" s="104"/>
      <c r="IU165" s="104"/>
      <c r="IV165" s="104"/>
      <c r="IW165" s="104"/>
      <c r="IX165" s="104"/>
      <c r="IY165" s="104"/>
      <c r="IZ165" s="104"/>
      <c r="JA165" s="104"/>
      <c r="JB165" s="104"/>
      <c r="JC165" s="104"/>
      <c r="JD165" s="104"/>
      <c r="JE165" s="104"/>
      <c r="JF165" s="104"/>
      <c r="JG165" s="104"/>
      <c r="JH165" s="104"/>
      <c r="JI165" s="104"/>
      <c r="JJ165" s="104"/>
      <c r="JK165" s="104"/>
      <c r="JL165" s="104"/>
      <c r="JM165" s="104"/>
      <c r="JN165" s="104"/>
      <c r="JO165" s="104"/>
      <c r="JP165" s="104"/>
      <c r="JQ165" s="104"/>
      <c r="JR165" s="104"/>
      <c r="JS165" s="104"/>
      <c r="JT165" s="104"/>
      <c r="JU165" s="104"/>
      <c r="JV165" s="104"/>
      <c r="JW165" s="104"/>
    </row>
    <row r="166" spans="2:283">
      <c r="B166" s="294"/>
      <c r="C166" s="296"/>
      <c r="D166" s="211"/>
      <c r="E166" s="33"/>
      <c r="F166" s="77"/>
      <c r="G166" s="15">
        <f t="shared" ref="G166:R166" si="17">SUM(G167:G197)</f>
        <v>1664674.97</v>
      </c>
      <c r="H166" s="43">
        <f t="shared" si="17"/>
        <v>0</v>
      </c>
      <c r="I166" s="43">
        <f t="shared" si="17"/>
        <v>163451.63</v>
      </c>
      <c r="J166" s="43">
        <f t="shared" si="17"/>
        <v>147801.84</v>
      </c>
      <c r="K166" s="15">
        <f t="shared" si="17"/>
        <v>151421.5</v>
      </c>
      <c r="L166" s="43">
        <f t="shared" si="17"/>
        <v>155000</v>
      </c>
      <c r="M166" s="43">
        <f t="shared" si="17"/>
        <v>155000</v>
      </c>
      <c r="N166" s="43">
        <f t="shared" si="17"/>
        <v>136000</v>
      </c>
      <c r="O166" s="43">
        <f t="shared" si="17"/>
        <v>164000</v>
      </c>
      <c r="P166" s="43">
        <f t="shared" si="17"/>
        <v>142000</v>
      </c>
      <c r="Q166" s="43">
        <f t="shared" si="17"/>
        <v>142000</v>
      </c>
      <c r="R166" s="43">
        <f t="shared" si="17"/>
        <v>158000</v>
      </c>
      <c r="S166" s="43">
        <f>SUM(S167:S198)</f>
        <v>150000</v>
      </c>
      <c r="T166" s="78"/>
      <c r="BV166" s="104"/>
      <c r="BW166" s="104"/>
      <c r="BX166" s="104"/>
      <c r="BY166" s="104"/>
      <c r="BZ166" s="104"/>
      <c r="CA166" s="104"/>
      <c r="CB166" s="104"/>
      <c r="CC166" s="104"/>
      <c r="CD166" s="104"/>
      <c r="CE166" s="104"/>
      <c r="CF166" s="104"/>
      <c r="CG166" s="104"/>
      <c r="CH166" s="104"/>
      <c r="CI166" s="104"/>
      <c r="CJ166" s="104"/>
      <c r="CK166" s="104"/>
      <c r="CL166" s="104"/>
      <c r="CM166" s="104"/>
      <c r="CN166" s="104"/>
      <c r="CO166" s="104"/>
      <c r="CP166" s="104"/>
      <c r="CQ166" s="104"/>
      <c r="CR166" s="104"/>
      <c r="CS166" s="104"/>
      <c r="CT166" s="104"/>
      <c r="CU166" s="104"/>
      <c r="CV166" s="104"/>
      <c r="CW166" s="104"/>
      <c r="CX166" s="104"/>
      <c r="CY166" s="104"/>
      <c r="CZ166" s="104"/>
      <c r="DA166" s="104"/>
      <c r="DB166" s="104"/>
      <c r="DC166" s="104"/>
      <c r="DD166" s="104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4"/>
      <c r="DS166" s="104"/>
      <c r="DT166" s="104"/>
      <c r="DU166" s="104"/>
      <c r="DV166" s="104"/>
      <c r="DW166" s="104"/>
      <c r="DX166" s="104"/>
      <c r="DY166" s="104"/>
      <c r="DZ166" s="104"/>
      <c r="EA166" s="104"/>
      <c r="EB166" s="104"/>
      <c r="EC166" s="104"/>
      <c r="ED166" s="104"/>
      <c r="EE166" s="104"/>
      <c r="EF166" s="104"/>
      <c r="EG166" s="104"/>
      <c r="EH166" s="104"/>
      <c r="EI166" s="104"/>
      <c r="EJ166" s="104"/>
      <c r="EK166" s="104"/>
      <c r="EL166" s="104"/>
      <c r="EM166" s="104"/>
      <c r="EN166" s="104"/>
      <c r="EO166" s="104"/>
      <c r="EP166" s="104"/>
      <c r="EQ166" s="104"/>
      <c r="ER166" s="104"/>
      <c r="ES166" s="104"/>
      <c r="ET166" s="104"/>
      <c r="EU166" s="104"/>
      <c r="EV166" s="104"/>
      <c r="EW166" s="104"/>
      <c r="EX166" s="104"/>
      <c r="EY166" s="104"/>
      <c r="EZ166" s="104"/>
      <c r="FA166" s="104"/>
      <c r="FB166" s="104"/>
      <c r="FC166" s="104"/>
      <c r="FD166" s="104"/>
      <c r="FE166" s="104"/>
      <c r="FF166" s="104"/>
      <c r="FG166" s="104"/>
      <c r="FH166" s="104"/>
      <c r="FI166" s="104"/>
      <c r="FJ166" s="104"/>
      <c r="FK166" s="104"/>
      <c r="FL166" s="104"/>
      <c r="FM166" s="104"/>
      <c r="FN166" s="104"/>
      <c r="FO166" s="104"/>
      <c r="FP166" s="104"/>
      <c r="FQ166" s="104"/>
      <c r="FR166" s="104"/>
      <c r="FS166" s="104"/>
      <c r="FT166" s="104"/>
      <c r="FU166" s="104"/>
      <c r="FV166" s="104"/>
      <c r="FW166" s="104"/>
      <c r="FX166" s="104"/>
      <c r="FY166" s="104"/>
      <c r="FZ166" s="104"/>
      <c r="GA166" s="104"/>
      <c r="GB166" s="104"/>
      <c r="GC166" s="104"/>
      <c r="GD166" s="104"/>
      <c r="GE166" s="104"/>
      <c r="GF166" s="104"/>
      <c r="GG166" s="104"/>
      <c r="GH166" s="104"/>
      <c r="GI166" s="104"/>
      <c r="GJ166" s="104"/>
      <c r="GK166" s="104"/>
      <c r="GL166" s="104"/>
      <c r="GM166" s="104"/>
      <c r="GN166" s="104"/>
      <c r="GO166" s="104"/>
      <c r="GP166" s="104"/>
      <c r="GQ166" s="104"/>
      <c r="GR166" s="104"/>
      <c r="GS166" s="104"/>
      <c r="GT166" s="104"/>
      <c r="GU166" s="104"/>
      <c r="GV166" s="104"/>
      <c r="GW166" s="104"/>
      <c r="GX166" s="104"/>
      <c r="GY166" s="104"/>
      <c r="GZ166" s="104"/>
      <c r="HA166" s="104"/>
      <c r="HB166" s="104"/>
      <c r="HC166" s="104"/>
      <c r="HD166" s="104"/>
      <c r="HE166" s="104"/>
      <c r="HF166" s="104"/>
      <c r="HG166" s="104"/>
      <c r="HH166" s="104"/>
      <c r="HI166" s="104"/>
      <c r="HJ166" s="104"/>
      <c r="HK166" s="104"/>
      <c r="HL166" s="104"/>
      <c r="HM166" s="104"/>
      <c r="HN166" s="104"/>
      <c r="HO166" s="104"/>
      <c r="HP166" s="104"/>
      <c r="HQ166" s="104"/>
      <c r="HR166" s="104"/>
      <c r="HS166" s="104"/>
      <c r="HT166" s="104"/>
      <c r="HU166" s="104"/>
      <c r="HV166" s="104"/>
      <c r="HW166" s="104"/>
      <c r="HX166" s="104"/>
      <c r="HY166" s="104"/>
      <c r="HZ166" s="104"/>
      <c r="IA166" s="104"/>
      <c r="IB166" s="104"/>
      <c r="IC166" s="104"/>
      <c r="ID166" s="104"/>
      <c r="IE166" s="104"/>
      <c r="IF166" s="104"/>
      <c r="IG166" s="104"/>
      <c r="IH166" s="104"/>
      <c r="II166" s="104"/>
      <c r="IJ166" s="104"/>
      <c r="IK166" s="104"/>
      <c r="IL166" s="104"/>
      <c r="IM166" s="104"/>
      <c r="IN166" s="104"/>
      <c r="IO166" s="104"/>
      <c r="IP166" s="104"/>
      <c r="IQ166" s="104"/>
      <c r="IR166" s="104"/>
      <c r="IS166" s="104"/>
      <c r="IT166" s="104"/>
      <c r="IU166" s="104"/>
      <c r="IV166" s="104"/>
      <c r="IW166" s="104"/>
      <c r="IX166" s="104"/>
      <c r="IY166" s="104"/>
      <c r="IZ166" s="104"/>
      <c r="JA166" s="104"/>
      <c r="JB166" s="104"/>
      <c r="JC166" s="104"/>
      <c r="JD166" s="104"/>
      <c r="JE166" s="104"/>
      <c r="JF166" s="104"/>
      <c r="JG166" s="104"/>
      <c r="JH166" s="104"/>
      <c r="JI166" s="104"/>
      <c r="JJ166" s="104"/>
      <c r="JK166" s="104"/>
      <c r="JL166" s="104"/>
      <c r="JM166" s="104"/>
      <c r="JN166" s="104"/>
      <c r="JO166" s="104"/>
      <c r="JP166" s="104"/>
      <c r="JQ166" s="104"/>
      <c r="JR166" s="104"/>
      <c r="JS166" s="104"/>
      <c r="JT166" s="104"/>
      <c r="JU166" s="104"/>
      <c r="JV166" s="104"/>
      <c r="JW166" s="104"/>
    </row>
    <row r="167" spans="2:283" ht="15" customHeight="1">
      <c r="B167" s="17"/>
      <c r="C167" s="23">
        <v>0</v>
      </c>
      <c r="D167" s="178" t="s">
        <v>28</v>
      </c>
      <c r="E167" s="44" t="s">
        <v>39</v>
      </c>
      <c r="F167" s="25">
        <v>4500</v>
      </c>
      <c r="G167" s="26">
        <f t="shared" ref="G167:G172" si="18">SUM(H167:S167)</f>
        <v>78387.12</v>
      </c>
      <c r="H167" s="26">
        <v>0</v>
      </c>
      <c r="I167" s="45">
        <v>51387.12</v>
      </c>
      <c r="J167" s="45">
        <f>F167*6</f>
        <v>27000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04"/>
      <c r="CJ167" s="104"/>
      <c r="CK167" s="104"/>
      <c r="CL167" s="104"/>
      <c r="CM167" s="104"/>
      <c r="CN167" s="104"/>
      <c r="CO167" s="104"/>
      <c r="CP167" s="104"/>
      <c r="CQ167" s="104"/>
      <c r="CR167" s="104"/>
      <c r="CS167" s="104"/>
      <c r="CT167" s="104"/>
      <c r="CU167" s="104"/>
      <c r="CV167" s="104"/>
      <c r="CW167" s="104"/>
      <c r="CX167" s="104"/>
      <c r="CY167" s="104"/>
      <c r="CZ167" s="104"/>
      <c r="DA167" s="104"/>
      <c r="DB167" s="104"/>
      <c r="DC167" s="104"/>
      <c r="DD167" s="104"/>
      <c r="DE167" s="104"/>
      <c r="DF167" s="104"/>
      <c r="DG167" s="104"/>
      <c r="DH167" s="104"/>
      <c r="DI167" s="104"/>
      <c r="DJ167" s="104"/>
      <c r="DK167" s="104"/>
      <c r="DL167" s="104"/>
      <c r="DM167" s="104"/>
      <c r="DN167" s="104"/>
      <c r="DO167" s="104"/>
      <c r="DP167" s="104"/>
      <c r="DQ167" s="104"/>
      <c r="DR167" s="104"/>
      <c r="DS167" s="104"/>
      <c r="DT167" s="104"/>
      <c r="DU167" s="104"/>
      <c r="DV167" s="104"/>
      <c r="DW167" s="104"/>
      <c r="DX167" s="104"/>
      <c r="DY167" s="104"/>
      <c r="DZ167" s="104"/>
      <c r="EA167" s="104"/>
      <c r="EB167" s="104"/>
      <c r="EC167" s="104"/>
      <c r="ED167" s="104"/>
      <c r="EE167" s="104"/>
      <c r="EF167" s="104"/>
      <c r="EG167" s="104"/>
      <c r="EH167" s="104"/>
      <c r="EI167" s="104"/>
      <c r="EJ167" s="104"/>
      <c r="EK167" s="104"/>
      <c r="EL167" s="104"/>
      <c r="EM167" s="104"/>
      <c r="EN167" s="104"/>
      <c r="EO167" s="104"/>
      <c r="EP167" s="104"/>
      <c r="EQ167" s="104"/>
      <c r="ER167" s="104"/>
      <c r="ES167" s="104"/>
      <c r="ET167" s="104"/>
      <c r="EU167" s="104"/>
      <c r="EV167" s="104"/>
      <c r="EW167" s="104"/>
      <c r="EX167" s="104"/>
      <c r="EY167" s="104"/>
      <c r="EZ167" s="104"/>
      <c r="FA167" s="104"/>
      <c r="FB167" s="104"/>
      <c r="FC167" s="104"/>
      <c r="FD167" s="104"/>
      <c r="FE167" s="104"/>
      <c r="FF167" s="104"/>
      <c r="FG167" s="104"/>
      <c r="FH167" s="104"/>
      <c r="FI167" s="104"/>
      <c r="FJ167" s="104"/>
      <c r="FK167" s="104"/>
      <c r="FL167" s="104"/>
      <c r="FM167" s="104"/>
      <c r="FN167" s="104"/>
      <c r="FO167" s="104"/>
      <c r="FP167" s="104"/>
      <c r="FQ167" s="104"/>
      <c r="FR167" s="104"/>
      <c r="FS167" s="104"/>
      <c r="FT167" s="104"/>
      <c r="FU167" s="104"/>
      <c r="FV167" s="104"/>
      <c r="FW167" s="104"/>
      <c r="FX167" s="104"/>
      <c r="FY167" s="104"/>
      <c r="FZ167" s="104"/>
      <c r="GA167" s="104"/>
      <c r="GB167" s="104"/>
      <c r="GC167" s="104"/>
      <c r="GD167" s="104"/>
      <c r="GE167" s="104"/>
      <c r="GF167" s="104"/>
      <c r="GG167" s="104"/>
      <c r="GH167" s="104"/>
      <c r="GI167" s="104"/>
      <c r="GJ167" s="104"/>
      <c r="GK167" s="104"/>
      <c r="GL167" s="104"/>
      <c r="GM167" s="104"/>
      <c r="GN167" s="104"/>
      <c r="GO167" s="104"/>
      <c r="GP167" s="104"/>
      <c r="GQ167" s="104"/>
      <c r="GR167" s="104"/>
      <c r="GS167" s="104"/>
      <c r="GT167" s="104"/>
      <c r="GU167" s="104"/>
      <c r="GV167" s="104"/>
      <c r="GW167" s="104"/>
      <c r="GX167" s="104"/>
      <c r="GY167" s="104"/>
      <c r="GZ167" s="104"/>
      <c r="HA167" s="104"/>
      <c r="HB167" s="104"/>
      <c r="HC167" s="104"/>
      <c r="HD167" s="104"/>
      <c r="HE167" s="104"/>
      <c r="HF167" s="104"/>
      <c r="HG167" s="104"/>
      <c r="HH167" s="104"/>
      <c r="HI167" s="104"/>
      <c r="HJ167" s="104"/>
      <c r="HK167" s="104"/>
      <c r="HL167" s="104"/>
      <c r="HM167" s="104"/>
      <c r="HN167" s="104"/>
      <c r="HO167" s="104"/>
      <c r="HP167" s="104"/>
      <c r="HQ167" s="104"/>
      <c r="HR167" s="104"/>
      <c r="HS167" s="104"/>
      <c r="HT167" s="104"/>
      <c r="HU167" s="104"/>
      <c r="HV167" s="104"/>
      <c r="HW167" s="104"/>
      <c r="HX167" s="104"/>
      <c r="HY167" s="104"/>
      <c r="HZ167" s="104"/>
      <c r="IA167" s="104"/>
      <c r="IB167" s="104"/>
      <c r="IC167" s="104"/>
      <c r="ID167" s="104"/>
      <c r="IE167" s="104"/>
      <c r="IF167" s="104"/>
      <c r="IG167" s="104"/>
      <c r="IH167" s="104"/>
      <c r="II167" s="104"/>
      <c r="IJ167" s="104"/>
      <c r="IK167" s="104"/>
      <c r="IL167" s="104"/>
      <c r="IM167" s="104"/>
      <c r="IN167" s="104"/>
      <c r="IO167" s="104"/>
      <c r="IP167" s="104"/>
      <c r="IQ167" s="104"/>
      <c r="IR167" s="104"/>
      <c r="IS167" s="104"/>
      <c r="IT167" s="104"/>
      <c r="IU167" s="104"/>
      <c r="IV167" s="104"/>
      <c r="IW167" s="104"/>
      <c r="IX167" s="104"/>
      <c r="IY167" s="104"/>
      <c r="IZ167" s="104"/>
      <c r="JA167" s="104"/>
      <c r="JB167" s="104"/>
      <c r="JC167" s="104"/>
      <c r="JD167" s="104"/>
      <c r="JE167" s="104"/>
      <c r="JF167" s="104"/>
      <c r="JG167" s="104"/>
      <c r="JH167" s="104"/>
      <c r="JI167" s="104"/>
      <c r="JJ167" s="104"/>
      <c r="JK167" s="104"/>
      <c r="JL167" s="104"/>
      <c r="JM167" s="104"/>
      <c r="JN167" s="104"/>
      <c r="JO167" s="104"/>
      <c r="JP167" s="104"/>
      <c r="JQ167" s="104"/>
      <c r="JR167" s="104"/>
      <c r="JS167" s="104"/>
      <c r="JT167" s="104"/>
      <c r="JU167" s="104"/>
      <c r="JV167" s="104"/>
      <c r="JW167" s="104"/>
    </row>
    <row r="168" spans="2:283" ht="15.75" customHeight="1">
      <c r="B168" s="17"/>
      <c r="C168" s="23">
        <v>0</v>
      </c>
      <c r="D168" s="178" t="s">
        <v>28</v>
      </c>
      <c r="E168" s="44" t="s">
        <v>39</v>
      </c>
      <c r="F168" s="25">
        <v>5000</v>
      </c>
      <c r="G168" s="26">
        <f t="shared" si="18"/>
        <v>43548.39</v>
      </c>
      <c r="H168" s="26">
        <v>0</v>
      </c>
      <c r="I168" s="45">
        <v>28548.39</v>
      </c>
      <c r="J168" s="45">
        <f>F168*3</f>
        <v>15000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BV168" s="104"/>
      <c r="BW168" s="104"/>
      <c r="BX168" s="104"/>
      <c r="BY168" s="104"/>
      <c r="BZ168" s="104"/>
      <c r="CA168" s="104"/>
      <c r="CB168" s="104"/>
      <c r="CC168" s="104"/>
      <c r="CD168" s="104"/>
      <c r="CE168" s="104"/>
      <c r="CF168" s="104"/>
      <c r="CG168" s="104"/>
      <c r="CH168" s="104"/>
      <c r="CI168" s="104"/>
      <c r="CJ168" s="104"/>
      <c r="CK168" s="104"/>
      <c r="CL168" s="104"/>
      <c r="CM168" s="104"/>
      <c r="CN168" s="104"/>
      <c r="CO168" s="104"/>
      <c r="CP168" s="104"/>
      <c r="CQ168" s="104"/>
      <c r="CR168" s="104"/>
      <c r="CS168" s="104"/>
      <c r="CT168" s="104"/>
      <c r="CU168" s="104"/>
      <c r="CV168" s="104"/>
      <c r="CW168" s="104"/>
      <c r="CX168" s="104"/>
      <c r="CY168" s="104"/>
      <c r="CZ168" s="104"/>
      <c r="DA168" s="104"/>
      <c r="DB168" s="104"/>
      <c r="DC168" s="104"/>
      <c r="DD168" s="104"/>
      <c r="DE168" s="104"/>
      <c r="DF168" s="104"/>
      <c r="DG168" s="104"/>
      <c r="DH168" s="104"/>
      <c r="DI168" s="104"/>
      <c r="DJ168" s="104"/>
      <c r="DK168" s="104"/>
      <c r="DL168" s="104"/>
      <c r="DM168" s="104"/>
      <c r="DN168" s="104"/>
      <c r="DO168" s="104"/>
      <c r="DP168" s="104"/>
      <c r="DQ168" s="104"/>
      <c r="DR168" s="104"/>
      <c r="DS168" s="104"/>
      <c r="DT168" s="104"/>
      <c r="DU168" s="104"/>
      <c r="DV168" s="104"/>
      <c r="DW168" s="104"/>
      <c r="DX168" s="104"/>
      <c r="DY168" s="104"/>
      <c r="DZ168" s="104"/>
      <c r="EA168" s="104"/>
      <c r="EB168" s="104"/>
      <c r="EC168" s="104"/>
      <c r="ED168" s="104"/>
      <c r="EE168" s="104"/>
      <c r="EF168" s="104"/>
      <c r="EG168" s="104"/>
      <c r="EH168" s="104"/>
      <c r="EI168" s="104"/>
      <c r="EJ168" s="104"/>
      <c r="EK168" s="104"/>
      <c r="EL168" s="104"/>
      <c r="EM168" s="104"/>
      <c r="EN168" s="104"/>
      <c r="EO168" s="104"/>
      <c r="EP168" s="104"/>
      <c r="EQ168" s="104"/>
      <c r="ER168" s="104"/>
      <c r="ES168" s="104"/>
      <c r="ET168" s="104"/>
      <c r="EU168" s="104"/>
      <c r="EV168" s="104"/>
      <c r="EW168" s="104"/>
      <c r="EX168" s="104"/>
      <c r="EY168" s="104"/>
      <c r="EZ168" s="104"/>
      <c r="FA168" s="104"/>
      <c r="FB168" s="104"/>
      <c r="FC168" s="104"/>
      <c r="FD168" s="104"/>
      <c r="FE168" s="104"/>
      <c r="FF168" s="104"/>
      <c r="FG168" s="104"/>
      <c r="FH168" s="104"/>
      <c r="FI168" s="104"/>
      <c r="FJ168" s="104"/>
      <c r="FK168" s="104"/>
      <c r="FL168" s="104"/>
      <c r="FM168" s="104"/>
      <c r="FN168" s="104"/>
      <c r="FO168" s="104"/>
      <c r="FP168" s="104"/>
      <c r="FQ168" s="104"/>
      <c r="FR168" s="104"/>
      <c r="FS168" s="104"/>
      <c r="FT168" s="104"/>
      <c r="FU168" s="104"/>
      <c r="FV168" s="104"/>
      <c r="FW168" s="104"/>
      <c r="FX168" s="104"/>
      <c r="FY168" s="104"/>
      <c r="FZ168" s="104"/>
      <c r="GA168" s="104"/>
      <c r="GB168" s="104"/>
      <c r="GC168" s="104"/>
      <c r="GD168" s="104"/>
      <c r="GE168" s="104"/>
      <c r="GF168" s="104"/>
      <c r="GG168" s="104"/>
      <c r="GH168" s="104"/>
      <c r="GI168" s="104"/>
      <c r="GJ168" s="104"/>
      <c r="GK168" s="104"/>
      <c r="GL168" s="104"/>
      <c r="GM168" s="104"/>
      <c r="GN168" s="104"/>
      <c r="GO168" s="104"/>
      <c r="GP168" s="104"/>
      <c r="GQ168" s="104"/>
      <c r="GR168" s="104"/>
      <c r="GS168" s="104"/>
      <c r="GT168" s="104"/>
      <c r="GU168" s="104"/>
      <c r="GV168" s="104"/>
      <c r="GW168" s="104"/>
      <c r="GX168" s="104"/>
      <c r="GY168" s="104"/>
      <c r="GZ168" s="104"/>
      <c r="HA168" s="104"/>
      <c r="HB168" s="104"/>
      <c r="HC168" s="104"/>
      <c r="HD168" s="104"/>
      <c r="HE168" s="104"/>
      <c r="HF168" s="104"/>
      <c r="HG168" s="104"/>
      <c r="HH168" s="104"/>
      <c r="HI168" s="104"/>
      <c r="HJ168" s="104"/>
      <c r="HK168" s="104"/>
      <c r="HL168" s="104"/>
      <c r="HM168" s="104"/>
      <c r="HN168" s="104"/>
      <c r="HO168" s="104"/>
      <c r="HP168" s="104"/>
      <c r="HQ168" s="104"/>
      <c r="HR168" s="104"/>
      <c r="HS168" s="104"/>
      <c r="HT168" s="104"/>
      <c r="HU168" s="104"/>
      <c r="HV168" s="104"/>
      <c r="HW168" s="104"/>
      <c r="HX168" s="104"/>
      <c r="HY168" s="104"/>
      <c r="HZ168" s="104"/>
      <c r="IA168" s="104"/>
      <c r="IB168" s="104"/>
      <c r="IC168" s="104"/>
      <c r="ID168" s="104"/>
      <c r="IE168" s="104"/>
      <c r="IF168" s="104"/>
      <c r="IG168" s="104"/>
      <c r="IH168" s="104"/>
      <c r="II168" s="104"/>
      <c r="IJ168" s="104"/>
      <c r="IK168" s="104"/>
      <c r="IL168" s="104"/>
      <c r="IM168" s="104"/>
      <c r="IN168" s="104"/>
      <c r="IO168" s="104"/>
      <c r="IP168" s="104"/>
      <c r="IQ168" s="104"/>
      <c r="IR168" s="104"/>
      <c r="IS168" s="104"/>
      <c r="IT168" s="104"/>
      <c r="IU168" s="104"/>
      <c r="IV168" s="104"/>
      <c r="IW168" s="104"/>
      <c r="IX168" s="104"/>
      <c r="IY168" s="104"/>
      <c r="IZ168" s="104"/>
      <c r="JA168" s="104"/>
      <c r="JB168" s="104"/>
      <c r="JC168" s="104"/>
      <c r="JD168" s="104"/>
      <c r="JE168" s="104"/>
      <c r="JF168" s="104"/>
      <c r="JG168" s="104"/>
      <c r="JH168" s="104"/>
      <c r="JI168" s="104"/>
      <c r="JJ168" s="104"/>
      <c r="JK168" s="104"/>
      <c r="JL168" s="104"/>
      <c r="JM168" s="104"/>
      <c r="JN168" s="104"/>
      <c r="JO168" s="104"/>
      <c r="JP168" s="104"/>
      <c r="JQ168" s="104"/>
      <c r="JR168" s="104"/>
      <c r="JS168" s="104"/>
      <c r="JT168" s="104"/>
      <c r="JU168" s="104"/>
      <c r="JV168" s="104"/>
      <c r="JW168" s="104"/>
    </row>
    <row r="169" spans="2:283" ht="15.75" customHeight="1">
      <c r="B169" s="17"/>
      <c r="C169" s="23">
        <v>0</v>
      </c>
      <c r="D169" s="178" t="s">
        <v>28</v>
      </c>
      <c r="E169" s="44" t="s">
        <v>39</v>
      </c>
      <c r="F169" s="25">
        <v>6000</v>
      </c>
      <c r="G169" s="26">
        <f t="shared" si="18"/>
        <v>34838.699999999997</v>
      </c>
      <c r="H169" s="26">
        <v>0</v>
      </c>
      <c r="I169" s="45">
        <v>22838.7</v>
      </c>
      <c r="J169" s="45">
        <f>F169*2</f>
        <v>12000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U169" s="78"/>
      <c r="BV169" s="104"/>
      <c r="BW169" s="104"/>
      <c r="BX169" s="104"/>
      <c r="BY169" s="104"/>
      <c r="BZ169" s="104"/>
      <c r="CA169" s="104"/>
      <c r="CB169" s="104"/>
      <c r="CC169" s="104"/>
      <c r="CD169" s="104"/>
      <c r="CE169" s="104"/>
      <c r="CF169" s="104"/>
      <c r="CG169" s="104"/>
      <c r="CH169" s="104"/>
      <c r="CI169" s="104"/>
      <c r="CJ169" s="104"/>
      <c r="CK169" s="104"/>
      <c r="CL169" s="104"/>
      <c r="CM169" s="104"/>
      <c r="CN169" s="104"/>
      <c r="CO169" s="104"/>
      <c r="CP169" s="104"/>
      <c r="CQ169" s="104"/>
      <c r="CR169" s="104"/>
      <c r="CS169" s="104"/>
      <c r="CT169" s="104"/>
      <c r="CU169" s="104"/>
      <c r="CV169" s="104"/>
      <c r="CW169" s="104"/>
      <c r="CX169" s="104"/>
      <c r="CY169" s="104"/>
      <c r="CZ169" s="104"/>
      <c r="DA169" s="104"/>
      <c r="DB169" s="104"/>
      <c r="DC169" s="104"/>
      <c r="DD169" s="104"/>
      <c r="DE169" s="104"/>
      <c r="DF169" s="104"/>
      <c r="DG169" s="104"/>
      <c r="DH169" s="104"/>
      <c r="DI169" s="104"/>
      <c r="DJ169" s="104"/>
      <c r="DK169" s="104"/>
      <c r="DL169" s="104"/>
      <c r="DM169" s="104"/>
      <c r="DN169" s="104"/>
      <c r="DO169" s="104"/>
      <c r="DP169" s="104"/>
      <c r="DQ169" s="104"/>
      <c r="DR169" s="104"/>
      <c r="DS169" s="104"/>
      <c r="DT169" s="104"/>
      <c r="DU169" s="104"/>
      <c r="DV169" s="104"/>
      <c r="DW169" s="104"/>
      <c r="DX169" s="104"/>
      <c r="DY169" s="104"/>
      <c r="DZ169" s="104"/>
      <c r="EA169" s="104"/>
      <c r="EB169" s="104"/>
      <c r="EC169" s="104"/>
      <c r="ED169" s="104"/>
      <c r="EE169" s="104"/>
      <c r="EF169" s="104"/>
      <c r="EG169" s="104"/>
      <c r="EH169" s="104"/>
      <c r="EI169" s="104"/>
      <c r="EJ169" s="104"/>
      <c r="EK169" s="104"/>
      <c r="EL169" s="104"/>
      <c r="EM169" s="104"/>
      <c r="EN169" s="104"/>
      <c r="EO169" s="104"/>
      <c r="EP169" s="104"/>
      <c r="EQ169" s="104"/>
      <c r="ER169" s="104"/>
      <c r="ES169" s="104"/>
      <c r="ET169" s="104"/>
      <c r="EU169" s="104"/>
      <c r="EV169" s="104"/>
      <c r="EW169" s="104"/>
      <c r="EX169" s="104"/>
      <c r="EY169" s="104"/>
      <c r="EZ169" s="104"/>
      <c r="FA169" s="104"/>
      <c r="FB169" s="104"/>
      <c r="FC169" s="104"/>
      <c r="FD169" s="104"/>
      <c r="FE169" s="104"/>
      <c r="FF169" s="104"/>
      <c r="FG169" s="104"/>
      <c r="FH169" s="104"/>
      <c r="FI169" s="104"/>
      <c r="FJ169" s="104"/>
      <c r="FK169" s="104"/>
      <c r="FL169" s="104"/>
      <c r="FM169" s="104"/>
      <c r="FN169" s="104"/>
      <c r="FO169" s="104"/>
      <c r="FP169" s="104"/>
      <c r="FQ169" s="104"/>
      <c r="FR169" s="104"/>
      <c r="FS169" s="104"/>
      <c r="FT169" s="104"/>
      <c r="FU169" s="104"/>
      <c r="FV169" s="104"/>
      <c r="FW169" s="104"/>
      <c r="FX169" s="104"/>
      <c r="FY169" s="104"/>
      <c r="FZ169" s="104"/>
      <c r="GA169" s="104"/>
      <c r="GB169" s="104"/>
      <c r="GC169" s="104"/>
      <c r="GD169" s="104"/>
      <c r="GE169" s="104"/>
      <c r="GF169" s="104"/>
      <c r="GG169" s="104"/>
      <c r="GH169" s="104"/>
      <c r="GI169" s="104"/>
      <c r="GJ169" s="104"/>
      <c r="GK169" s="104"/>
      <c r="GL169" s="104"/>
      <c r="GM169" s="104"/>
      <c r="GN169" s="104"/>
      <c r="GO169" s="104"/>
      <c r="GP169" s="104"/>
      <c r="GQ169" s="104"/>
      <c r="GR169" s="104"/>
      <c r="GS169" s="104"/>
      <c r="GT169" s="104"/>
      <c r="GU169" s="104"/>
      <c r="GV169" s="104"/>
      <c r="GW169" s="104"/>
      <c r="GX169" s="104"/>
      <c r="GY169" s="104"/>
      <c r="GZ169" s="104"/>
      <c r="HA169" s="104"/>
      <c r="HB169" s="104"/>
      <c r="HC169" s="104"/>
      <c r="HD169" s="104"/>
      <c r="HE169" s="104"/>
      <c r="HF169" s="104"/>
      <c r="HG169" s="104"/>
      <c r="HH169" s="104"/>
      <c r="HI169" s="104"/>
      <c r="HJ169" s="104"/>
      <c r="HK169" s="104"/>
      <c r="HL169" s="104"/>
      <c r="HM169" s="104"/>
      <c r="HN169" s="104"/>
      <c r="HO169" s="104"/>
      <c r="HP169" s="104"/>
      <c r="HQ169" s="104"/>
      <c r="HR169" s="104"/>
      <c r="HS169" s="104"/>
      <c r="HT169" s="104"/>
      <c r="HU169" s="104"/>
      <c r="HV169" s="104"/>
      <c r="HW169" s="104"/>
      <c r="HX169" s="104"/>
      <c r="HY169" s="104"/>
      <c r="HZ169" s="104"/>
      <c r="IA169" s="104"/>
      <c r="IB169" s="104"/>
      <c r="IC169" s="104"/>
      <c r="ID169" s="104"/>
      <c r="IE169" s="104"/>
      <c r="IF169" s="104"/>
      <c r="IG169" s="104"/>
      <c r="IH169" s="104"/>
      <c r="II169" s="104"/>
      <c r="IJ169" s="104"/>
      <c r="IK169" s="104"/>
      <c r="IL169" s="104"/>
      <c r="IM169" s="104"/>
      <c r="IN169" s="104"/>
      <c r="IO169" s="104"/>
      <c r="IP169" s="104"/>
      <c r="IQ169" s="104"/>
      <c r="IR169" s="104"/>
      <c r="IS169" s="104"/>
      <c r="IT169" s="104"/>
      <c r="IU169" s="104"/>
      <c r="IV169" s="104"/>
      <c r="IW169" s="104"/>
      <c r="IX169" s="104"/>
      <c r="IY169" s="104"/>
      <c r="IZ169" s="104"/>
      <c r="JA169" s="104"/>
      <c r="JB169" s="104"/>
      <c r="JC169" s="104"/>
      <c r="JD169" s="104"/>
      <c r="JE169" s="104"/>
      <c r="JF169" s="104"/>
      <c r="JG169" s="104"/>
      <c r="JH169" s="104"/>
      <c r="JI169" s="104"/>
      <c r="JJ169" s="104"/>
      <c r="JK169" s="104"/>
      <c r="JL169" s="104"/>
      <c r="JM169" s="104"/>
      <c r="JN169" s="104"/>
      <c r="JO169" s="104"/>
      <c r="JP169" s="104"/>
      <c r="JQ169" s="104"/>
      <c r="JR169" s="104"/>
      <c r="JS169" s="104"/>
      <c r="JT169" s="104"/>
      <c r="JU169" s="104"/>
      <c r="JV169" s="104"/>
      <c r="JW169" s="104"/>
    </row>
    <row r="170" spans="2:283" ht="15.75" customHeight="1">
      <c r="B170" s="17"/>
      <c r="C170" s="23">
        <v>0</v>
      </c>
      <c r="D170" s="178" t="s">
        <v>33</v>
      </c>
      <c r="E170" s="44" t="s">
        <v>39</v>
      </c>
      <c r="F170" s="25">
        <v>6000</v>
      </c>
      <c r="G170" s="26">
        <f t="shared" si="18"/>
        <v>21000</v>
      </c>
      <c r="H170" s="26">
        <v>0</v>
      </c>
      <c r="I170" s="45">
        <v>9000</v>
      </c>
      <c r="J170" s="45">
        <f>F170*2</f>
        <v>12000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BV170" s="104"/>
      <c r="BW170" s="104"/>
      <c r="BX170" s="104"/>
      <c r="BY170" s="104"/>
      <c r="BZ170" s="104"/>
      <c r="CA170" s="104"/>
      <c r="CB170" s="104"/>
      <c r="CC170" s="104"/>
      <c r="CD170" s="104"/>
      <c r="CE170" s="104"/>
      <c r="CF170" s="104"/>
      <c r="CG170" s="104"/>
      <c r="CH170" s="104"/>
      <c r="CI170" s="104"/>
      <c r="CJ170" s="104"/>
      <c r="CK170" s="104"/>
      <c r="CL170" s="104"/>
      <c r="CM170" s="104"/>
      <c r="CN170" s="104"/>
      <c r="CO170" s="104"/>
      <c r="CP170" s="104"/>
      <c r="CQ170" s="104"/>
      <c r="CR170" s="104"/>
      <c r="CS170" s="104"/>
      <c r="CT170" s="104"/>
      <c r="CU170" s="104"/>
      <c r="CV170" s="104"/>
      <c r="CW170" s="104"/>
      <c r="CX170" s="104"/>
      <c r="CY170" s="104"/>
      <c r="CZ170" s="104"/>
      <c r="DA170" s="104"/>
      <c r="DB170" s="104"/>
      <c r="DC170" s="104"/>
      <c r="DD170" s="104"/>
      <c r="DE170" s="104"/>
      <c r="DF170" s="104"/>
      <c r="DG170" s="104"/>
      <c r="DH170" s="104"/>
      <c r="DI170" s="104"/>
      <c r="DJ170" s="104"/>
      <c r="DK170" s="104"/>
      <c r="DL170" s="104"/>
      <c r="DM170" s="104"/>
      <c r="DN170" s="104"/>
      <c r="DO170" s="104"/>
      <c r="DP170" s="104"/>
      <c r="DQ170" s="104"/>
      <c r="DR170" s="104"/>
      <c r="DS170" s="104"/>
      <c r="DT170" s="104"/>
      <c r="DU170" s="104"/>
      <c r="DV170" s="104"/>
      <c r="DW170" s="104"/>
      <c r="DX170" s="104"/>
      <c r="DY170" s="104"/>
      <c r="DZ170" s="104"/>
      <c r="EA170" s="104"/>
      <c r="EB170" s="104"/>
      <c r="EC170" s="104"/>
      <c r="ED170" s="104"/>
      <c r="EE170" s="104"/>
      <c r="EF170" s="104"/>
      <c r="EG170" s="104"/>
      <c r="EH170" s="104"/>
      <c r="EI170" s="104"/>
      <c r="EJ170" s="104"/>
      <c r="EK170" s="104"/>
      <c r="EL170" s="104"/>
      <c r="EM170" s="104"/>
      <c r="EN170" s="104"/>
      <c r="EO170" s="104"/>
      <c r="EP170" s="104"/>
      <c r="EQ170" s="104"/>
      <c r="ER170" s="104"/>
      <c r="ES170" s="104"/>
      <c r="ET170" s="104"/>
      <c r="EU170" s="104"/>
      <c r="EV170" s="104"/>
      <c r="EW170" s="104"/>
      <c r="EX170" s="104"/>
      <c r="EY170" s="104"/>
      <c r="EZ170" s="104"/>
      <c r="FA170" s="104"/>
      <c r="FB170" s="104"/>
      <c r="FC170" s="104"/>
      <c r="FD170" s="104"/>
      <c r="FE170" s="104"/>
      <c r="FF170" s="104"/>
      <c r="FG170" s="104"/>
      <c r="FH170" s="104"/>
      <c r="FI170" s="104"/>
      <c r="FJ170" s="104"/>
      <c r="FK170" s="104"/>
      <c r="FL170" s="104"/>
      <c r="FM170" s="104"/>
      <c r="FN170" s="104"/>
      <c r="FO170" s="104"/>
      <c r="FP170" s="104"/>
      <c r="FQ170" s="104"/>
      <c r="FR170" s="104"/>
      <c r="FS170" s="104"/>
      <c r="FT170" s="104"/>
      <c r="FU170" s="104"/>
      <c r="FV170" s="104"/>
      <c r="FW170" s="104"/>
      <c r="FX170" s="104"/>
      <c r="FY170" s="104"/>
      <c r="FZ170" s="104"/>
      <c r="GA170" s="104"/>
      <c r="GB170" s="104"/>
      <c r="GC170" s="104"/>
      <c r="GD170" s="104"/>
      <c r="GE170" s="104"/>
      <c r="GF170" s="104"/>
      <c r="GG170" s="104"/>
      <c r="GH170" s="104"/>
      <c r="GI170" s="104"/>
      <c r="GJ170" s="104"/>
      <c r="GK170" s="104"/>
      <c r="GL170" s="104"/>
      <c r="GM170" s="104"/>
      <c r="GN170" s="104"/>
      <c r="GO170" s="104"/>
      <c r="GP170" s="104"/>
      <c r="GQ170" s="104"/>
      <c r="GR170" s="104"/>
      <c r="GS170" s="104"/>
      <c r="GT170" s="104"/>
      <c r="GU170" s="104"/>
      <c r="GV170" s="104"/>
      <c r="GW170" s="104"/>
      <c r="GX170" s="104"/>
      <c r="GY170" s="104"/>
      <c r="GZ170" s="104"/>
      <c r="HA170" s="104"/>
      <c r="HB170" s="104"/>
      <c r="HC170" s="104"/>
      <c r="HD170" s="104"/>
      <c r="HE170" s="104"/>
      <c r="HF170" s="104"/>
      <c r="HG170" s="104"/>
      <c r="HH170" s="104"/>
      <c r="HI170" s="104"/>
      <c r="HJ170" s="104"/>
      <c r="HK170" s="104"/>
      <c r="HL170" s="104"/>
      <c r="HM170" s="104"/>
      <c r="HN170" s="104"/>
      <c r="HO170" s="104"/>
      <c r="HP170" s="104"/>
      <c r="HQ170" s="104"/>
      <c r="HR170" s="104"/>
      <c r="HS170" s="104"/>
      <c r="HT170" s="104"/>
      <c r="HU170" s="104"/>
      <c r="HV170" s="104"/>
      <c r="HW170" s="104"/>
      <c r="HX170" s="104"/>
      <c r="HY170" s="104"/>
      <c r="HZ170" s="104"/>
      <c r="IA170" s="104"/>
      <c r="IB170" s="104"/>
      <c r="IC170" s="104"/>
      <c r="ID170" s="104"/>
      <c r="IE170" s="104"/>
      <c r="IF170" s="104"/>
      <c r="IG170" s="104"/>
      <c r="IH170" s="104"/>
      <c r="II170" s="104"/>
      <c r="IJ170" s="104"/>
      <c r="IK170" s="104"/>
      <c r="IL170" s="104"/>
      <c r="IM170" s="104"/>
      <c r="IN170" s="104"/>
      <c r="IO170" s="104"/>
      <c r="IP170" s="104"/>
      <c r="IQ170" s="104"/>
      <c r="IR170" s="104"/>
      <c r="IS170" s="104"/>
      <c r="IT170" s="104"/>
      <c r="IU170" s="104"/>
      <c r="IV170" s="104"/>
      <c r="IW170" s="104"/>
      <c r="IX170" s="104"/>
      <c r="IY170" s="104"/>
      <c r="IZ170" s="104"/>
      <c r="JA170" s="104"/>
      <c r="JB170" s="104"/>
      <c r="JC170" s="104"/>
      <c r="JD170" s="104"/>
      <c r="JE170" s="104"/>
      <c r="JF170" s="104"/>
      <c r="JG170" s="104"/>
      <c r="JH170" s="104"/>
      <c r="JI170" s="104"/>
      <c r="JJ170" s="104"/>
      <c r="JK170" s="104"/>
      <c r="JL170" s="104"/>
      <c r="JM170" s="104"/>
      <c r="JN170" s="104"/>
      <c r="JO170" s="104"/>
      <c r="JP170" s="104"/>
      <c r="JQ170" s="104"/>
      <c r="JR170" s="104"/>
      <c r="JS170" s="104"/>
      <c r="JT170" s="104"/>
      <c r="JU170" s="104"/>
      <c r="JV170" s="104"/>
      <c r="JW170" s="104"/>
    </row>
    <row r="171" spans="2:283" ht="15.75" customHeight="1">
      <c r="B171" s="17"/>
      <c r="C171" s="23">
        <v>0</v>
      </c>
      <c r="D171" s="178" t="s">
        <v>28</v>
      </c>
      <c r="E171" s="44" t="s">
        <v>39</v>
      </c>
      <c r="F171" s="25">
        <v>7000</v>
      </c>
      <c r="G171" s="26">
        <f t="shared" si="18"/>
        <v>40645.160000000003</v>
      </c>
      <c r="H171" s="26">
        <v>0</v>
      </c>
      <c r="I171" s="45">
        <v>26645.16</v>
      </c>
      <c r="J171" s="45">
        <f>F171*2</f>
        <v>14000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  <c r="IP171" s="104"/>
      <c r="IQ171" s="104"/>
      <c r="IR171" s="104"/>
      <c r="IS171" s="104"/>
      <c r="IT171" s="104"/>
      <c r="IU171" s="104"/>
      <c r="IV171" s="104"/>
      <c r="IW171" s="104"/>
      <c r="IX171" s="104"/>
      <c r="IY171" s="104"/>
      <c r="IZ171" s="104"/>
      <c r="JA171" s="104"/>
      <c r="JB171" s="104"/>
      <c r="JC171" s="104"/>
      <c r="JD171" s="104"/>
      <c r="JE171" s="104"/>
      <c r="JF171" s="104"/>
      <c r="JG171" s="104"/>
      <c r="JH171" s="104"/>
      <c r="JI171" s="104"/>
      <c r="JJ171" s="104"/>
      <c r="JK171" s="104"/>
      <c r="JL171" s="104"/>
      <c r="JM171" s="104"/>
      <c r="JN171" s="104"/>
      <c r="JO171" s="104"/>
      <c r="JP171" s="104"/>
      <c r="JQ171" s="104"/>
      <c r="JR171" s="104"/>
      <c r="JS171" s="104"/>
      <c r="JT171" s="104"/>
      <c r="JU171" s="104"/>
      <c r="JV171" s="104"/>
      <c r="JW171" s="104"/>
    </row>
    <row r="172" spans="2:283" ht="15.75" customHeight="1">
      <c r="B172" s="17"/>
      <c r="C172" s="23">
        <v>0</v>
      </c>
      <c r="D172" s="178" t="s">
        <v>33</v>
      </c>
      <c r="E172" s="44" t="s">
        <v>39</v>
      </c>
      <c r="F172" s="25">
        <v>8000</v>
      </c>
      <c r="G172" s="26">
        <f t="shared" si="18"/>
        <v>14000</v>
      </c>
      <c r="H172" s="26">
        <v>0</v>
      </c>
      <c r="I172" s="45">
        <v>6000</v>
      </c>
      <c r="J172" s="45">
        <f>F172*1</f>
        <v>8000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BV172" s="104"/>
      <c r="BW172" s="104"/>
      <c r="BX172" s="104"/>
      <c r="BY172" s="104"/>
      <c r="BZ172" s="104"/>
      <c r="CA172" s="104"/>
      <c r="CB172" s="104"/>
      <c r="CC172" s="104"/>
      <c r="CD172" s="104"/>
      <c r="CE172" s="104"/>
      <c r="CF172" s="104"/>
      <c r="CG172" s="104"/>
      <c r="CH172" s="104"/>
      <c r="CI172" s="104"/>
      <c r="CJ172" s="104"/>
      <c r="CK172" s="104"/>
      <c r="CL172" s="104"/>
      <c r="CM172" s="104"/>
      <c r="CN172" s="104"/>
      <c r="CO172" s="104"/>
      <c r="CP172" s="104"/>
      <c r="CQ172" s="104"/>
      <c r="CR172" s="104"/>
      <c r="CS172" s="104"/>
      <c r="CT172" s="104"/>
      <c r="CU172" s="104"/>
      <c r="CV172" s="104"/>
      <c r="CW172" s="104"/>
      <c r="CX172" s="104"/>
      <c r="CY172" s="104"/>
      <c r="CZ172" s="104"/>
      <c r="DA172" s="104"/>
      <c r="DB172" s="104"/>
      <c r="DC172" s="104"/>
      <c r="DD172" s="104"/>
      <c r="DE172" s="104"/>
      <c r="DF172" s="104"/>
      <c r="DG172" s="104"/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4"/>
      <c r="DT172" s="104"/>
      <c r="DU172" s="104"/>
      <c r="DV172" s="104"/>
      <c r="DW172" s="104"/>
      <c r="DX172" s="104"/>
      <c r="DY172" s="104"/>
      <c r="DZ172" s="104"/>
      <c r="EA172" s="104"/>
      <c r="EB172" s="104"/>
      <c r="EC172" s="104"/>
      <c r="ED172" s="104"/>
      <c r="EE172" s="104"/>
      <c r="EF172" s="104"/>
      <c r="EG172" s="104"/>
      <c r="EH172" s="104"/>
      <c r="EI172" s="104"/>
      <c r="EJ172" s="104"/>
      <c r="EK172" s="104"/>
      <c r="EL172" s="104"/>
      <c r="EM172" s="104"/>
      <c r="EN172" s="104"/>
      <c r="EO172" s="104"/>
      <c r="EP172" s="104"/>
      <c r="EQ172" s="104"/>
      <c r="ER172" s="104"/>
      <c r="ES172" s="104"/>
      <c r="ET172" s="104"/>
      <c r="EU172" s="104"/>
      <c r="EV172" s="104"/>
      <c r="EW172" s="104"/>
      <c r="EX172" s="104"/>
      <c r="EY172" s="104"/>
      <c r="EZ172" s="104"/>
      <c r="FA172" s="104"/>
      <c r="FB172" s="104"/>
      <c r="FC172" s="104"/>
      <c r="FD172" s="104"/>
      <c r="FE172" s="104"/>
      <c r="FF172" s="104"/>
      <c r="FG172" s="104"/>
      <c r="FH172" s="104"/>
      <c r="FI172" s="104"/>
      <c r="FJ172" s="104"/>
      <c r="FK172" s="104"/>
      <c r="FL172" s="104"/>
      <c r="FM172" s="104"/>
      <c r="FN172" s="104"/>
      <c r="FO172" s="104"/>
      <c r="FP172" s="104"/>
      <c r="FQ172" s="104"/>
      <c r="FR172" s="104"/>
      <c r="FS172" s="104"/>
      <c r="FT172" s="104"/>
      <c r="FU172" s="104"/>
      <c r="FV172" s="104"/>
      <c r="FW172" s="104"/>
      <c r="FX172" s="104"/>
      <c r="FY172" s="104"/>
      <c r="FZ172" s="104"/>
      <c r="GA172" s="104"/>
      <c r="GB172" s="104"/>
      <c r="GC172" s="104"/>
      <c r="GD172" s="104"/>
      <c r="GE172" s="104"/>
      <c r="GF172" s="104"/>
      <c r="GG172" s="104"/>
      <c r="GH172" s="104"/>
      <c r="GI172" s="104"/>
      <c r="GJ172" s="104"/>
      <c r="GK172" s="104"/>
      <c r="GL172" s="104"/>
      <c r="GM172" s="104"/>
      <c r="GN172" s="104"/>
      <c r="GO172" s="104"/>
      <c r="GP172" s="104"/>
      <c r="GQ172" s="104"/>
      <c r="GR172" s="104"/>
      <c r="GS172" s="104"/>
      <c r="GT172" s="104"/>
      <c r="GU172" s="104"/>
      <c r="GV172" s="104"/>
      <c r="GW172" s="104"/>
      <c r="GX172" s="104"/>
      <c r="GY172" s="104"/>
      <c r="GZ172" s="104"/>
      <c r="HA172" s="104"/>
      <c r="HB172" s="104"/>
      <c r="HC172" s="104"/>
      <c r="HD172" s="104"/>
      <c r="HE172" s="104"/>
      <c r="HF172" s="104"/>
      <c r="HG172" s="104"/>
      <c r="HH172" s="104"/>
      <c r="HI172" s="104"/>
      <c r="HJ172" s="104"/>
      <c r="HK172" s="104"/>
      <c r="HL172" s="104"/>
      <c r="HM172" s="104"/>
      <c r="HN172" s="104"/>
      <c r="HO172" s="104"/>
      <c r="HP172" s="104"/>
      <c r="HQ172" s="104"/>
      <c r="HR172" s="104"/>
      <c r="HS172" s="104"/>
      <c r="HT172" s="104"/>
      <c r="HU172" s="104"/>
      <c r="HV172" s="104"/>
      <c r="HW172" s="104"/>
      <c r="HX172" s="104"/>
      <c r="HY172" s="104"/>
      <c r="HZ172" s="104"/>
      <c r="IA172" s="104"/>
      <c r="IB172" s="104"/>
      <c r="IC172" s="104"/>
      <c r="ID172" s="104"/>
      <c r="IE172" s="104"/>
      <c r="IF172" s="104"/>
      <c r="IG172" s="104"/>
      <c r="IH172" s="104"/>
      <c r="II172" s="104"/>
      <c r="IJ172" s="104"/>
      <c r="IK172" s="104"/>
      <c r="IL172" s="104"/>
      <c r="IM172" s="104"/>
      <c r="IN172" s="104"/>
      <c r="IO172" s="104"/>
      <c r="IP172" s="104"/>
      <c r="IQ172" s="104"/>
      <c r="IR172" s="104"/>
      <c r="IS172" s="104"/>
      <c r="IT172" s="104"/>
      <c r="IU172" s="104"/>
      <c r="IV172" s="104"/>
      <c r="IW172" s="104"/>
      <c r="IX172" s="104"/>
      <c r="IY172" s="104"/>
      <c r="IZ172" s="104"/>
      <c r="JA172" s="104"/>
      <c r="JB172" s="104"/>
      <c r="JC172" s="104"/>
      <c r="JD172" s="104"/>
      <c r="JE172" s="104"/>
      <c r="JF172" s="104"/>
      <c r="JG172" s="104"/>
      <c r="JH172" s="104"/>
      <c r="JI172" s="104"/>
      <c r="JJ172" s="104"/>
      <c r="JK172" s="104"/>
      <c r="JL172" s="104"/>
      <c r="JM172" s="104"/>
      <c r="JN172" s="104"/>
      <c r="JO172" s="104"/>
      <c r="JP172" s="104"/>
      <c r="JQ172" s="104"/>
      <c r="JR172" s="104"/>
      <c r="JS172" s="104"/>
      <c r="JT172" s="104"/>
      <c r="JU172" s="104"/>
      <c r="JV172" s="104"/>
      <c r="JW172" s="104"/>
    </row>
    <row r="173" spans="2:283" ht="15" customHeight="1">
      <c r="B173" s="17"/>
      <c r="C173" s="23">
        <v>0</v>
      </c>
      <c r="D173" s="178" t="s">
        <v>32</v>
      </c>
      <c r="E173" s="24" t="s">
        <v>30</v>
      </c>
      <c r="F173" s="25">
        <v>6000</v>
      </c>
      <c r="G173" s="26">
        <f>SUM(H173:S173)</f>
        <v>17571.419999999998</v>
      </c>
      <c r="H173" s="26">
        <v>0</v>
      </c>
      <c r="I173" s="26">
        <v>0</v>
      </c>
      <c r="J173" s="45">
        <v>17571.419999999998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BV173" s="104"/>
      <c r="BW173" s="104"/>
      <c r="BX173" s="104"/>
      <c r="BY173" s="104"/>
      <c r="BZ173" s="104"/>
      <c r="CA173" s="104"/>
      <c r="CB173" s="104"/>
      <c r="CC173" s="104"/>
      <c r="CD173" s="104"/>
      <c r="CE173" s="104"/>
      <c r="CF173" s="104"/>
      <c r="CG173" s="104"/>
      <c r="CH173" s="104"/>
      <c r="CI173" s="104"/>
      <c r="CJ173" s="104"/>
      <c r="CK173" s="104"/>
      <c r="CL173" s="104"/>
      <c r="CM173" s="104"/>
      <c r="CN173" s="104"/>
      <c r="CO173" s="104"/>
      <c r="CP173" s="104"/>
      <c r="CQ173" s="104"/>
      <c r="CR173" s="104"/>
      <c r="CS173" s="104"/>
      <c r="CT173" s="104"/>
      <c r="CU173" s="104"/>
      <c r="CV173" s="104"/>
      <c r="CW173" s="104"/>
      <c r="CX173" s="104"/>
      <c r="CY173" s="104"/>
      <c r="CZ173" s="104"/>
      <c r="DA173" s="104"/>
      <c r="DB173" s="104"/>
      <c r="DC173" s="104"/>
      <c r="DD173" s="104"/>
      <c r="DE173" s="104"/>
      <c r="DF173" s="104"/>
      <c r="DG173" s="104"/>
      <c r="DH173" s="104"/>
      <c r="DI173" s="104"/>
      <c r="DJ173" s="104"/>
      <c r="DK173" s="104"/>
      <c r="DL173" s="104"/>
      <c r="DM173" s="104"/>
      <c r="DN173" s="104"/>
      <c r="DO173" s="104"/>
      <c r="DP173" s="104"/>
      <c r="DQ173" s="104"/>
      <c r="DR173" s="104"/>
      <c r="DS173" s="104"/>
      <c r="DT173" s="104"/>
      <c r="DU173" s="104"/>
      <c r="DV173" s="104"/>
      <c r="DW173" s="104"/>
      <c r="DX173" s="104"/>
      <c r="DY173" s="104"/>
      <c r="DZ173" s="104"/>
      <c r="EA173" s="104"/>
      <c r="EB173" s="104"/>
      <c r="EC173" s="104"/>
      <c r="ED173" s="104"/>
      <c r="EE173" s="104"/>
      <c r="EF173" s="104"/>
      <c r="EG173" s="104"/>
      <c r="EH173" s="104"/>
      <c r="EI173" s="104"/>
      <c r="EJ173" s="104"/>
      <c r="EK173" s="104"/>
      <c r="EL173" s="104"/>
      <c r="EM173" s="104"/>
      <c r="EN173" s="104"/>
      <c r="EO173" s="104"/>
      <c r="EP173" s="104"/>
      <c r="EQ173" s="104"/>
      <c r="ER173" s="104"/>
      <c r="ES173" s="104"/>
      <c r="ET173" s="104"/>
      <c r="EU173" s="104"/>
      <c r="EV173" s="104"/>
      <c r="EW173" s="104"/>
      <c r="EX173" s="104"/>
      <c r="EY173" s="104"/>
      <c r="EZ173" s="104"/>
      <c r="FA173" s="104"/>
      <c r="FB173" s="104"/>
      <c r="FC173" s="104"/>
      <c r="FD173" s="104"/>
      <c r="FE173" s="104"/>
      <c r="FF173" s="104"/>
      <c r="FG173" s="104"/>
      <c r="FH173" s="104"/>
      <c r="FI173" s="104"/>
      <c r="FJ173" s="104"/>
      <c r="FK173" s="104"/>
      <c r="FL173" s="104"/>
      <c r="FM173" s="104"/>
      <c r="FN173" s="104"/>
      <c r="FO173" s="104"/>
      <c r="FP173" s="104"/>
      <c r="FQ173" s="104"/>
      <c r="FR173" s="104"/>
      <c r="FS173" s="104"/>
      <c r="FT173" s="104"/>
      <c r="FU173" s="104"/>
      <c r="FV173" s="104"/>
      <c r="FW173" s="104"/>
      <c r="FX173" s="104"/>
      <c r="FY173" s="104"/>
      <c r="FZ173" s="104"/>
      <c r="GA173" s="104"/>
      <c r="GB173" s="104"/>
      <c r="GC173" s="104"/>
      <c r="GD173" s="104"/>
      <c r="GE173" s="104"/>
      <c r="GF173" s="104"/>
      <c r="GG173" s="104"/>
      <c r="GH173" s="104"/>
      <c r="GI173" s="104"/>
      <c r="GJ173" s="104"/>
      <c r="GK173" s="104"/>
      <c r="GL173" s="104"/>
      <c r="GM173" s="104"/>
      <c r="GN173" s="104"/>
      <c r="GO173" s="104"/>
      <c r="GP173" s="104"/>
      <c r="GQ173" s="104"/>
      <c r="GR173" s="104"/>
      <c r="GS173" s="104"/>
      <c r="GT173" s="104"/>
      <c r="GU173" s="104"/>
      <c r="GV173" s="104"/>
      <c r="GW173" s="104"/>
      <c r="GX173" s="104"/>
      <c r="GY173" s="104"/>
      <c r="GZ173" s="104"/>
      <c r="HA173" s="104"/>
      <c r="HB173" s="104"/>
      <c r="HC173" s="104"/>
      <c r="HD173" s="104"/>
      <c r="HE173" s="104"/>
      <c r="HF173" s="104"/>
      <c r="HG173" s="104"/>
      <c r="HH173" s="104"/>
      <c r="HI173" s="104"/>
      <c r="HJ173" s="104"/>
      <c r="HK173" s="104"/>
      <c r="HL173" s="104"/>
      <c r="HM173" s="104"/>
      <c r="HN173" s="104"/>
      <c r="HO173" s="104"/>
      <c r="HP173" s="104"/>
      <c r="HQ173" s="104"/>
      <c r="HR173" s="104"/>
      <c r="HS173" s="104"/>
      <c r="HT173" s="104"/>
      <c r="HU173" s="104"/>
      <c r="HV173" s="104"/>
      <c r="HW173" s="104"/>
      <c r="HX173" s="104"/>
      <c r="HY173" s="104"/>
      <c r="HZ173" s="104"/>
      <c r="IA173" s="104"/>
      <c r="IB173" s="104"/>
      <c r="IC173" s="104"/>
      <c r="ID173" s="104"/>
      <c r="IE173" s="104"/>
      <c r="IF173" s="104"/>
      <c r="IG173" s="104"/>
      <c r="IH173" s="104"/>
      <c r="II173" s="104"/>
      <c r="IJ173" s="104"/>
      <c r="IK173" s="104"/>
      <c r="IL173" s="104"/>
      <c r="IM173" s="104"/>
      <c r="IN173" s="104"/>
      <c r="IO173" s="104"/>
      <c r="IP173" s="104"/>
      <c r="IQ173" s="104"/>
      <c r="IR173" s="104"/>
      <c r="IS173" s="104"/>
      <c r="IT173" s="104"/>
      <c r="IU173" s="104"/>
      <c r="IV173" s="104"/>
      <c r="IW173" s="104"/>
      <c r="IX173" s="104"/>
      <c r="IY173" s="104"/>
      <c r="IZ173" s="104"/>
      <c r="JA173" s="104"/>
      <c r="JB173" s="104"/>
      <c r="JC173" s="104"/>
      <c r="JD173" s="104"/>
      <c r="JE173" s="104"/>
      <c r="JF173" s="104"/>
      <c r="JG173" s="104"/>
      <c r="JH173" s="104"/>
      <c r="JI173" s="104"/>
      <c r="JJ173" s="104"/>
      <c r="JK173" s="104"/>
      <c r="JL173" s="104"/>
      <c r="JM173" s="104"/>
      <c r="JN173" s="104"/>
      <c r="JO173" s="104"/>
      <c r="JP173" s="104"/>
      <c r="JQ173" s="104"/>
      <c r="JR173" s="104"/>
      <c r="JS173" s="104"/>
      <c r="JT173" s="104"/>
      <c r="JU173" s="104"/>
      <c r="JV173" s="104"/>
      <c r="JW173" s="104"/>
    </row>
    <row r="174" spans="2:283" s="179" customFormat="1" ht="15" customHeight="1">
      <c r="B174" s="66"/>
      <c r="C174" s="23">
        <v>0</v>
      </c>
      <c r="D174" s="178" t="s">
        <v>79</v>
      </c>
      <c r="E174" s="166" t="s">
        <v>39</v>
      </c>
      <c r="F174" s="167">
        <v>6000</v>
      </c>
      <c r="G174" s="26">
        <f t="shared" ref="G174:G188" si="19">SUM(H174:S174)</f>
        <v>18000</v>
      </c>
      <c r="H174" s="26">
        <v>0</v>
      </c>
      <c r="I174" s="26">
        <v>0</v>
      </c>
      <c r="J174" s="45">
        <v>6000</v>
      </c>
      <c r="K174" s="26">
        <v>6000</v>
      </c>
      <c r="L174" s="26">
        <v>6000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</row>
    <row r="175" spans="2:283" ht="15" customHeight="1">
      <c r="B175" s="17"/>
      <c r="C175" s="23">
        <v>0</v>
      </c>
      <c r="D175" s="178" t="s">
        <v>32</v>
      </c>
      <c r="E175" s="24" t="s">
        <v>35</v>
      </c>
      <c r="F175" s="25">
        <v>8000</v>
      </c>
      <c r="G175" s="26">
        <f t="shared" si="19"/>
        <v>11714.29</v>
      </c>
      <c r="H175" s="26">
        <v>0</v>
      </c>
      <c r="I175" s="26">
        <v>0</v>
      </c>
      <c r="J175" s="45">
        <v>11714.29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BV175" s="104"/>
      <c r="BW175" s="104"/>
      <c r="BX175" s="104"/>
      <c r="BY175" s="104"/>
      <c r="BZ175" s="104"/>
      <c r="CA175" s="104"/>
      <c r="CB175" s="104"/>
      <c r="CC175" s="104"/>
      <c r="CD175" s="104"/>
      <c r="CE175" s="104"/>
      <c r="CF175" s="104"/>
      <c r="CG175" s="104"/>
      <c r="CH175" s="104"/>
      <c r="CI175" s="104"/>
      <c r="CJ175" s="104"/>
      <c r="CK175" s="104"/>
      <c r="CL175" s="104"/>
      <c r="CM175" s="104"/>
      <c r="CN175" s="104"/>
      <c r="CO175" s="104"/>
      <c r="CP175" s="104"/>
      <c r="CQ175" s="104"/>
      <c r="CR175" s="104"/>
      <c r="CS175" s="104"/>
      <c r="CT175" s="104"/>
      <c r="CU175" s="104"/>
      <c r="CV175" s="104"/>
      <c r="CW175" s="104"/>
      <c r="CX175" s="104"/>
      <c r="CY175" s="104"/>
      <c r="CZ175" s="104"/>
      <c r="DA175" s="104"/>
      <c r="DB175" s="104"/>
      <c r="DC175" s="104"/>
      <c r="DD175" s="104"/>
      <c r="DE175" s="104"/>
      <c r="DF175" s="104"/>
      <c r="DG175" s="104"/>
      <c r="DH175" s="104"/>
      <c r="DI175" s="104"/>
      <c r="DJ175" s="104"/>
      <c r="DK175" s="104"/>
      <c r="DL175" s="104"/>
      <c r="DM175" s="104"/>
      <c r="DN175" s="104"/>
      <c r="DO175" s="104"/>
      <c r="DP175" s="104"/>
      <c r="DQ175" s="104"/>
      <c r="DR175" s="104"/>
      <c r="DS175" s="104"/>
      <c r="DT175" s="104"/>
      <c r="DU175" s="104"/>
      <c r="DV175" s="104"/>
      <c r="DW175" s="104"/>
      <c r="DX175" s="104"/>
      <c r="DY175" s="104"/>
      <c r="DZ175" s="104"/>
      <c r="EA175" s="104"/>
      <c r="EB175" s="104"/>
      <c r="EC175" s="104"/>
      <c r="ED175" s="104"/>
      <c r="EE175" s="104"/>
      <c r="EF175" s="104"/>
      <c r="EG175" s="104"/>
      <c r="EH175" s="104"/>
      <c r="EI175" s="104"/>
      <c r="EJ175" s="104"/>
      <c r="EK175" s="104"/>
      <c r="EL175" s="104"/>
      <c r="EM175" s="104"/>
      <c r="EN175" s="104"/>
      <c r="EO175" s="104"/>
      <c r="EP175" s="104"/>
      <c r="EQ175" s="104"/>
      <c r="ER175" s="104"/>
      <c r="ES175" s="104"/>
      <c r="ET175" s="104"/>
      <c r="EU175" s="104"/>
      <c r="EV175" s="104"/>
      <c r="EW175" s="104"/>
      <c r="EX175" s="104"/>
      <c r="EY175" s="104"/>
      <c r="EZ175" s="104"/>
      <c r="FA175" s="104"/>
      <c r="FB175" s="104"/>
      <c r="FC175" s="104"/>
      <c r="FD175" s="104"/>
      <c r="FE175" s="104"/>
      <c r="FF175" s="104"/>
      <c r="FG175" s="104"/>
      <c r="FH175" s="104"/>
      <c r="FI175" s="104"/>
      <c r="FJ175" s="104"/>
      <c r="FK175" s="104"/>
      <c r="FL175" s="104"/>
      <c r="FM175" s="104"/>
      <c r="FN175" s="104"/>
      <c r="FO175" s="104"/>
      <c r="FP175" s="104"/>
      <c r="FQ175" s="104"/>
      <c r="FR175" s="104"/>
      <c r="FS175" s="104"/>
      <c r="FT175" s="104"/>
      <c r="FU175" s="104"/>
      <c r="FV175" s="104"/>
      <c r="FW175" s="104"/>
      <c r="FX175" s="104"/>
      <c r="FY175" s="104"/>
      <c r="FZ175" s="104"/>
      <c r="GA175" s="104"/>
      <c r="GB175" s="104"/>
      <c r="GC175" s="104"/>
      <c r="GD175" s="104"/>
      <c r="GE175" s="104"/>
      <c r="GF175" s="104"/>
      <c r="GG175" s="104"/>
      <c r="GH175" s="104"/>
      <c r="GI175" s="104"/>
      <c r="GJ175" s="104"/>
      <c r="GK175" s="104"/>
      <c r="GL175" s="104"/>
      <c r="GM175" s="104"/>
      <c r="GN175" s="104"/>
      <c r="GO175" s="104"/>
      <c r="GP175" s="104"/>
      <c r="GQ175" s="104"/>
      <c r="GR175" s="104"/>
      <c r="GS175" s="104"/>
      <c r="GT175" s="104"/>
      <c r="GU175" s="104"/>
      <c r="GV175" s="104"/>
      <c r="GW175" s="104"/>
      <c r="GX175" s="104"/>
      <c r="GY175" s="104"/>
      <c r="GZ175" s="104"/>
      <c r="HA175" s="104"/>
      <c r="HB175" s="104"/>
      <c r="HC175" s="104"/>
      <c r="HD175" s="104"/>
      <c r="HE175" s="104"/>
      <c r="HF175" s="104"/>
      <c r="HG175" s="104"/>
      <c r="HH175" s="104"/>
      <c r="HI175" s="104"/>
      <c r="HJ175" s="104"/>
      <c r="HK175" s="104"/>
      <c r="HL175" s="104"/>
      <c r="HM175" s="104"/>
      <c r="HN175" s="104"/>
      <c r="HO175" s="104"/>
      <c r="HP175" s="104"/>
      <c r="HQ175" s="104"/>
      <c r="HR175" s="104"/>
      <c r="HS175" s="104"/>
      <c r="HT175" s="104"/>
      <c r="HU175" s="104"/>
      <c r="HV175" s="104"/>
      <c r="HW175" s="104"/>
      <c r="HX175" s="104"/>
      <c r="HY175" s="104"/>
      <c r="HZ175" s="104"/>
      <c r="IA175" s="104"/>
      <c r="IB175" s="104"/>
      <c r="IC175" s="104"/>
      <c r="ID175" s="104"/>
      <c r="IE175" s="104"/>
      <c r="IF175" s="104"/>
      <c r="IG175" s="104"/>
      <c r="IH175" s="104"/>
      <c r="II175" s="104"/>
      <c r="IJ175" s="104"/>
      <c r="IK175" s="104"/>
      <c r="IL175" s="104"/>
      <c r="IM175" s="104"/>
      <c r="IN175" s="104"/>
      <c r="IO175" s="104"/>
      <c r="IP175" s="104"/>
      <c r="IQ175" s="104"/>
      <c r="IR175" s="104"/>
      <c r="IS175" s="104"/>
      <c r="IT175" s="104"/>
      <c r="IU175" s="104"/>
      <c r="IV175" s="104"/>
      <c r="IW175" s="104"/>
      <c r="IX175" s="104"/>
      <c r="IY175" s="104"/>
      <c r="IZ175" s="104"/>
      <c r="JA175" s="104"/>
      <c r="JB175" s="104"/>
      <c r="JC175" s="104"/>
      <c r="JD175" s="104"/>
      <c r="JE175" s="104"/>
      <c r="JF175" s="104"/>
      <c r="JG175" s="104"/>
      <c r="JH175" s="104"/>
      <c r="JI175" s="104"/>
      <c r="JJ175" s="104"/>
      <c r="JK175" s="104"/>
      <c r="JL175" s="104"/>
      <c r="JM175" s="104"/>
      <c r="JN175" s="104"/>
      <c r="JO175" s="104"/>
      <c r="JP175" s="104"/>
      <c r="JQ175" s="104"/>
      <c r="JR175" s="104"/>
      <c r="JS175" s="104"/>
      <c r="JT175" s="104"/>
      <c r="JU175" s="104"/>
      <c r="JV175" s="104"/>
      <c r="JW175" s="104"/>
    </row>
    <row r="176" spans="2:283" ht="15" customHeight="1">
      <c r="B176" s="17"/>
      <c r="C176" s="23">
        <v>0</v>
      </c>
      <c r="D176" s="178" t="s">
        <v>28</v>
      </c>
      <c r="E176" s="46" t="s">
        <v>35</v>
      </c>
      <c r="F176" s="25">
        <v>10000</v>
      </c>
      <c r="G176" s="26">
        <f t="shared" si="19"/>
        <v>29032.26</v>
      </c>
      <c r="H176" s="26">
        <v>0</v>
      </c>
      <c r="I176" s="45">
        <v>19032.259999999998</v>
      </c>
      <c r="J176" s="45">
        <f>F176*1</f>
        <v>10000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BV176" s="104"/>
      <c r="BW176" s="104"/>
      <c r="BX176" s="104"/>
      <c r="BY176" s="104"/>
      <c r="BZ176" s="104"/>
      <c r="CA176" s="104"/>
      <c r="CB176" s="104"/>
      <c r="CC176" s="104"/>
      <c r="CD176" s="104"/>
      <c r="CE176" s="104"/>
      <c r="CF176" s="104"/>
      <c r="CG176" s="104"/>
      <c r="CH176" s="104"/>
      <c r="CI176" s="104"/>
      <c r="CJ176" s="104"/>
      <c r="CK176" s="104"/>
      <c r="CL176" s="104"/>
      <c r="CM176" s="104"/>
      <c r="CN176" s="104"/>
      <c r="CO176" s="104"/>
      <c r="CP176" s="104"/>
      <c r="CQ176" s="104"/>
      <c r="CR176" s="104"/>
      <c r="CS176" s="104"/>
      <c r="CT176" s="104"/>
      <c r="CU176" s="104"/>
      <c r="CV176" s="104"/>
      <c r="CW176" s="104"/>
      <c r="CX176" s="104"/>
      <c r="CY176" s="104"/>
      <c r="CZ176" s="104"/>
      <c r="DA176" s="104"/>
      <c r="DB176" s="104"/>
      <c r="DC176" s="104"/>
      <c r="DD176" s="104"/>
      <c r="DE176" s="104"/>
      <c r="DF176" s="104"/>
      <c r="DG176" s="104"/>
      <c r="DH176" s="104"/>
      <c r="DI176" s="104"/>
      <c r="DJ176" s="104"/>
      <c r="DK176" s="104"/>
      <c r="DL176" s="104"/>
      <c r="DM176" s="104"/>
      <c r="DN176" s="104"/>
      <c r="DO176" s="104"/>
      <c r="DP176" s="104"/>
      <c r="DQ176" s="104"/>
      <c r="DR176" s="104"/>
      <c r="DS176" s="104"/>
      <c r="DT176" s="104"/>
      <c r="DU176" s="104"/>
      <c r="DV176" s="104"/>
      <c r="DW176" s="104"/>
      <c r="DX176" s="104"/>
      <c r="DY176" s="104"/>
      <c r="DZ176" s="104"/>
      <c r="EA176" s="104"/>
      <c r="EB176" s="104"/>
      <c r="EC176" s="104"/>
      <c r="ED176" s="104"/>
      <c r="EE176" s="104"/>
      <c r="EF176" s="104"/>
      <c r="EG176" s="104"/>
      <c r="EH176" s="104"/>
      <c r="EI176" s="104"/>
      <c r="EJ176" s="104"/>
      <c r="EK176" s="104"/>
      <c r="EL176" s="104"/>
      <c r="EM176" s="104"/>
      <c r="EN176" s="104"/>
      <c r="EO176" s="104"/>
      <c r="EP176" s="104"/>
      <c r="EQ176" s="104"/>
      <c r="ER176" s="104"/>
      <c r="ES176" s="104"/>
      <c r="ET176" s="104"/>
      <c r="EU176" s="104"/>
      <c r="EV176" s="104"/>
      <c r="EW176" s="104"/>
      <c r="EX176" s="104"/>
      <c r="EY176" s="104"/>
      <c r="EZ176" s="104"/>
      <c r="FA176" s="104"/>
      <c r="FB176" s="104"/>
      <c r="FC176" s="104"/>
      <c r="FD176" s="104"/>
      <c r="FE176" s="104"/>
      <c r="FF176" s="104"/>
      <c r="FG176" s="104"/>
      <c r="FH176" s="104"/>
      <c r="FI176" s="104"/>
      <c r="FJ176" s="104"/>
      <c r="FK176" s="104"/>
      <c r="FL176" s="104"/>
      <c r="FM176" s="104"/>
      <c r="FN176" s="104"/>
      <c r="FO176" s="104"/>
      <c r="FP176" s="104"/>
      <c r="FQ176" s="104"/>
      <c r="FR176" s="104"/>
      <c r="FS176" s="104"/>
      <c r="FT176" s="104"/>
      <c r="FU176" s="104"/>
      <c r="FV176" s="104"/>
      <c r="FW176" s="104"/>
      <c r="FX176" s="104"/>
      <c r="FY176" s="104"/>
      <c r="FZ176" s="104"/>
      <c r="GA176" s="104"/>
      <c r="GB176" s="104"/>
      <c r="GC176" s="104"/>
      <c r="GD176" s="104"/>
      <c r="GE176" s="104"/>
      <c r="GF176" s="104"/>
      <c r="GG176" s="104"/>
      <c r="GH176" s="104"/>
      <c r="GI176" s="104"/>
      <c r="GJ176" s="104"/>
      <c r="GK176" s="104"/>
      <c r="GL176" s="104"/>
      <c r="GM176" s="104"/>
      <c r="GN176" s="104"/>
      <c r="GO176" s="104"/>
      <c r="GP176" s="104"/>
      <c r="GQ176" s="104"/>
      <c r="GR176" s="104"/>
      <c r="GS176" s="104"/>
      <c r="GT176" s="104"/>
      <c r="GU176" s="104"/>
      <c r="GV176" s="104"/>
      <c r="GW176" s="104"/>
      <c r="GX176" s="104"/>
      <c r="GY176" s="104"/>
      <c r="GZ176" s="104"/>
      <c r="HA176" s="104"/>
      <c r="HB176" s="104"/>
      <c r="HC176" s="104"/>
      <c r="HD176" s="104"/>
      <c r="HE176" s="104"/>
      <c r="HF176" s="104"/>
      <c r="HG176" s="104"/>
      <c r="HH176" s="104"/>
      <c r="HI176" s="104"/>
      <c r="HJ176" s="104"/>
      <c r="HK176" s="104"/>
      <c r="HL176" s="104"/>
      <c r="HM176" s="104"/>
      <c r="HN176" s="104"/>
      <c r="HO176" s="104"/>
      <c r="HP176" s="104"/>
      <c r="HQ176" s="104"/>
      <c r="HR176" s="104"/>
      <c r="HS176" s="104"/>
      <c r="HT176" s="104"/>
      <c r="HU176" s="104"/>
      <c r="HV176" s="104"/>
      <c r="HW176" s="104"/>
      <c r="HX176" s="104"/>
      <c r="HY176" s="104"/>
      <c r="HZ176" s="104"/>
      <c r="IA176" s="104"/>
      <c r="IB176" s="104"/>
      <c r="IC176" s="104"/>
      <c r="ID176" s="104"/>
      <c r="IE176" s="104"/>
      <c r="IF176" s="104"/>
      <c r="IG176" s="104"/>
      <c r="IH176" s="104"/>
      <c r="II176" s="104"/>
      <c r="IJ176" s="104"/>
      <c r="IK176" s="104"/>
      <c r="IL176" s="104"/>
      <c r="IM176" s="104"/>
      <c r="IN176" s="104"/>
      <c r="IO176" s="104"/>
      <c r="IP176" s="104"/>
      <c r="IQ176" s="104"/>
      <c r="IR176" s="104"/>
      <c r="IS176" s="104"/>
      <c r="IT176" s="104"/>
      <c r="IU176" s="104"/>
      <c r="IV176" s="104"/>
      <c r="IW176" s="104"/>
      <c r="IX176" s="104"/>
      <c r="IY176" s="104"/>
      <c r="IZ176" s="104"/>
      <c r="JA176" s="104"/>
      <c r="JB176" s="104"/>
      <c r="JC176" s="104"/>
      <c r="JD176" s="104"/>
      <c r="JE176" s="104"/>
      <c r="JF176" s="104"/>
      <c r="JG176" s="104"/>
      <c r="JH176" s="104"/>
      <c r="JI176" s="104"/>
      <c r="JJ176" s="104"/>
      <c r="JK176" s="104"/>
      <c r="JL176" s="104"/>
      <c r="JM176" s="104"/>
      <c r="JN176" s="104"/>
      <c r="JO176" s="104"/>
      <c r="JP176" s="104"/>
      <c r="JQ176" s="104"/>
      <c r="JR176" s="104"/>
      <c r="JS176" s="104"/>
      <c r="JT176" s="104"/>
      <c r="JU176" s="104"/>
      <c r="JV176" s="104"/>
      <c r="JW176" s="104"/>
    </row>
    <row r="177" spans="2:19" s="179" customFormat="1">
      <c r="B177" s="66"/>
      <c r="C177" s="23">
        <v>0</v>
      </c>
      <c r="D177" s="178" t="s">
        <v>90</v>
      </c>
      <c r="E177" s="166" t="s">
        <v>35</v>
      </c>
      <c r="F177" s="167">
        <v>8000</v>
      </c>
      <c r="G177" s="26">
        <f t="shared" si="19"/>
        <v>20129.02</v>
      </c>
      <c r="H177" s="26">
        <v>0</v>
      </c>
      <c r="I177" s="26">
        <v>0</v>
      </c>
      <c r="J177" s="26">
        <v>0</v>
      </c>
      <c r="K177" s="26">
        <v>12129.02</v>
      </c>
      <c r="L177" s="26">
        <f>F177</f>
        <v>8000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</row>
    <row r="178" spans="2:19" s="179" customFormat="1">
      <c r="B178" s="66"/>
      <c r="C178" s="23">
        <v>0</v>
      </c>
      <c r="D178" s="178" t="s">
        <v>90</v>
      </c>
      <c r="E178" s="166" t="s">
        <v>35</v>
      </c>
      <c r="F178" s="167">
        <v>14000</v>
      </c>
      <c r="G178" s="26">
        <f t="shared" si="19"/>
        <v>35225.81</v>
      </c>
      <c r="H178" s="26">
        <v>0</v>
      </c>
      <c r="I178" s="26">
        <v>0</v>
      </c>
      <c r="J178" s="26">
        <v>0</v>
      </c>
      <c r="K178" s="26">
        <f>F178*16/31+14000</f>
        <v>21225.81</v>
      </c>
      <c r="L178" s="26">
        <f>F178</f>
        <v>14000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</row>
    <row r="179" spans="2:19" s="179" customFormat="1" ht="15" customHeight="1">
      <c r="B179" s="66"/>
      <c r="C179" s="23">
        <v>0</v>
      </c>
      <c r="D179" s="178" t="s">
        <v>86</v>
      </c>
      <c r="E179" s="166" t="s">
        <v>30</v>
      </c>
      <c r="F179" s="167">
        <v>5000</v>
      </c>
      <c r="G179" s="26">
        <f t="shared" si="19"/>
        <v>14333.33</v>
      </c>
      <c r="H179" s="26">
        <v>0</v>
      </c>
      <c r="I179" s="26">
        <v>0</v>
      </c>
      <c r="J179" s="45">
        <v>0</v>
      </c>
      <c r="K179" s="26">
        <v>4333.33</v>
      </c>
      <c r="L179" s="167">
        <v>5000</v>
      </c>
      <c r="M179" s="167">
        <v>5000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</row>
    <row r="180" spans="2:19" s="104" customFormat="1" ht="15" customHeight="1">
      <c r="B180" s="66"/>
      <c r="C180" s="23">
        <v>0</v>
      </c>
      <c r="D180" s="178" t="s">
        <v>86</v>
      </c>
      <c r="E180" s="166" t="s">
        <v>30</v>
      </c>
      <c r="F180" s="167">
        <v>4500</v>
      </c>
      <c r="G180" s="26">
        <f t="shared" si="19"/>
        <v>77400</v>
      </c>
      <c r="H180" s="26">
        <v>0</v>
      </c>
      <c r="I180" s="26">
        <v>0</v>
      </c>
      <c r="J180" s="26">
        <v>0</v>
      </c>
      <c r="K180" s="26">
        <v>23400</v>
      </c>
      <c r="L180" s="26">
        <v>27000</v>
      </c>
      <c r="M180" s="26">
        <v>27000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</row>
    <row r="181" spans="2:19" s="104" customFormat="1" ht="15" customHeight="1">
      <c r="B181" s="66"/>
      <c r="C181" s="23">
        <v>0</v>
      </c>
      <c r="D181" s="178" t="s">
        <v>86</v>
      </c>
      <c r="E181" s="166" t="s">
        <v>30</v>
      </c>
      <c r="F181" s="167">
        <v>5000</v>
      </c>
      <c r="G181" s="26">
        <f t="shared" si="19"/>
        <v>28666.67</v>
      </c>
      <c r="H181" s="26">
        <v>0</v>
      </c>
      <c r="I181" s="26">
        <v>0</v>
      </c>
      <c r="J181" s="26">
        <v>0</v>
      </c>
      <c r="K181" s="26">
        <v>8666.67</v>
      </c>
      <c r="L181" s="26">
        <v>10000</v>
      </c>
      <c r="M181" s="26">
        <v>10000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</row>
    <row r="182" spans="2:19" s="104" customFormat="1" ht="15" customHeight="1">
      <c r="B182" s="66"/>
      <c r="C182" s="23">
        <v>0</v>
      </c>
      <c r="D182" s="178" t="s">
        <v>86</v>
      </c>
      <c r="E182" s="166" t="s">
        <v>30</v>
      </c>
      <c r="F182" s="167">
        <v>6000</v>
      </c>
      <c r="G182" s="26">
        <f t="shared" si="19"/>
        <v>86000</v>
      </c>
      <c r="H182" s="26">
        <v>0</v>
      </c>
      <c r="I182" s="26">
        <v>0</v>
      </c>
      <c r="J182" s="26">
        <v>0</v>
      </c>
      <c r="K182" s="26">
        <v>26000</v>
      </c>
      <c r="L182" s="26">
        <v>30000</v>
      </c>
      <c r="M182" s="26">
        <v>30000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</row>
    <row r="183" spans="2:19" s="104" customFormat="1" ht="15" customHeight="1">
      <c r="B183" s="66"/>
      <c r="C183" s="23">
        <v>0</v>
      </c>
      <c r="D183" s="178" t="s">
        <v>86</v>
      </c>
      <c r="E183" s="166" t="s">
        <v>30</v>
      </c>
      <c r="F183" s="167">
        <v>7000</v>
      </c>
      <c r="G183" s="26">
        <f t="shared" si="19"/>
        <v>40133.33</v>
      </c>
      <c r="H183" s="26">
        <v>0</v>
      </c>
      <c r="I183" s="26">
        <v>0</v>
      </c>
      <c r="J183" s="26">
        <v>0</v>
      </c>
      <c r="K183" s="26">
        <v>12133.33</v>
      </c>
      <c r="L183" s="26">
        <v>14000</v>
      </c>
      <c r="M183" s="26">
        <v>14000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</row>
    <row r="184" spans="2:19" s="104" customFormat="1" ht="15" customHeight="1">
      <c r="B184" s="66"/>
      <c r="C184" s="23">
        <v>0</v>
      </c>
      <c r="D184" s="178" t="s">
        <v>86</v>
      </c>
      <c r="E184" s="166" t="s">
        <v>35</v>
      </c>
      <c r="F184" s="167">
        <v>8000</v>
      </c>
      <c r="G184" s="26">
        <f t="shared" si="19"/>
        <v>45866.67</v>
      </c>
      <c r="H184" s="26">
        <v>0</v>
      </c>
      <c r="I184" s="26">
        <v>0</v>
      </c>
      <c r="J184" s="26">
        <v>0</v>
      </c>
      <c r="K184" s="26">
        <v>13866.67</v>
      </c>
      <c r="L184" s="26">
        <v>16000</v>
      </c>
      <c r="M184" s="26">
        <v>16000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</row>
    <row r="185" spans="2:19" s="104" customFormat="1" ht="15.75" customHeight="1">
      <c r="B185" s="66"/>
      <c r="C185" s="23">
        <v>0</v>
      </c>
      <c r="D185" s="178" t="s">
        <v>86</v>
      </c>
      <c r="E185" s="166" t="s">
        <v>35</v>
      </c>
      <c r="F185" s="167">
        <v>10000</v>
      </c>
      <c r="G185" s="26">
        <f t="shared" si="19"/>
        <v>28666.67</v>
      </c>
      <c r="H185" s="26">
        <v>0</v>
      </c>
      <c r="I185" s="26">
        <v>0</v>
      </c>
      <c r="J185" s="26">
        <v>0</v>
      </c>
      <c r="K185" s="26">
        <v>8666.67</v>
      </c>
      <c r="L185" s="26">
        <v>10000</v>
      </c>
      <c r="M185" s="26">
        <v>10000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</row>
    <row r="186" spans="2:19" s="104" customFormat="1" ht="15" customHeight="1">
      <c r="B186" s="66"/>
      <c r="C186" s="23">
        <v>0</v>
      </c>
      <c r="D186" s="188" t="s">
        <v>110</v>
      </c>
      <c r="E186" s="166" t="s">
        <v>35</v>
      </c>
      <c r="F186" s="167">
        <v>8000</v>
      </c>
      <c r="G186" s="26">
        <f t="shared" ref="G186" si="20">SUM(H186:S186)</f>
        <v>16000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167">
        <v>8000</v>
      </c>
      <c r="O186" s="167">
        <v>8000</v>
      </c>
      <c r="P186" s="26">
        <v>0</v>
      </c>
      <c r="Q186" s="26">
        <v>0</v>
      </c>
      <c r="R186" s="26">
        <v>0</v>
      </c>
      <c r="S186" s="26">
        <v>0</v>
      </c>
    </row>
    <row r="187" spans="2:19" s="104" customFormat="1" ht="15" customHeight="1">
      <c r="B187" s="66"/>
      <c r="C187" s="23">
        <v>1</v>
      </c>
      <c r="D187" s="188" t="s">
        <v>121</v>
      </c>
      <c r="E187" s="166" t="s">
        <v>35</v>
      </c>
      <c r="F187" s="167">
        <v>8000</v>
      </c>
      <c r="G187" s="26">
        <f t="shared" ref="G187" si="21">SUM(H187:S187)</f>
        <v>24000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167">
        <v>0</v>
      </c>
      <c r="Q187" s="167">
        <v>0</v>
      </c>
      <c r="R187" s="167">
        <v>16000</v>
      </c>
      <c r="S187" s="167">
        <v>8000</v>
      </c>
    </row>
    <row r="188" spans="2:19" s="104" customFormat="1" ht="15" customHeight="1">
      <c r="B188" s="66"/>
      <c r="C188" s="23">
        <v>6</v>
      </c>
      <c r="D188" s="178" t="s">
        <v>108</v>
      </c>
      <c r="E188" s="166" t="s">
        <v>30</v>
      </c>
      <c r="F188" s="167">
        <v>4500</v>
      </c>
      <c r="G188" s="26">
        <f t="shared" si="19"/>
        <v>162000</v>
      </c>
      <c r="H188" s="26">
        <v>0</v>
      </c>
      <c r="I188" s="26">
        <v>0</v>
      </c>
      <c r="J188" s="45">
        <v>0</v>
      </c>
      <c r="K188" s="26">
        <v>0</v>
      </c>
      <c r="L188" s="26">
        <v>0</v>
      </c>
      <c r="M188" s="26">
        <v>0</v>
      </c>
      <c r="N188" s="167">
        <v>27000</v>
      </c>
      <c r="O188" s="167">
        <v>27000</v>
      </c>
      <c r="P188" s="167">
        <v>27000</v>
      </c>
      <c r="Q188" s="167">
        <v>27000</v>
      </c>
      <c r="R188" s="167">
        <v>27000</v>
      </c>
      <c r="S188" s="167">
        <v>27000</v>
      </c>
    </row>
    <row r="189" spans="2:19" s="104" customFormat="1" ht="15" customHeight="1">
      <c r="B189" s="66"/>
      <c r="C189" s="23">
        <v>2</v>
      </c>
      <c r="D189" s="178" t="s">
        <v>108</v>
      </c>
      <c r="E189" s="166" t="s">
        <v>30</v>
      </c>
      <c r="F189" s="167">
        <v>5000</v>
      </c>
      <c r="G189" s="26">
        <f t="shared" ref="G189:G197" si="22">SUM(H189:S189)</f>
        <v>60000</v>
      </c>
      <c r="H189" s="26">
        <v>0</v>
      </c>
      <c r="I189" s="26">
        <v>0</v>
      </c>
      <c r="J189" s="45">
        <v>0</v>
      </c>
      <c r="K189" s="26">
        <v>0</v>
      </c>
      <c r="L189" s="26">
        <v>0</v>
      </c>
      <c r="M189" s="26">
        <v>0</v>
      </c>
      <c r="N189" s="167">
        <v>10000</v>
      </c>
      <c r="O189" s="167">
        <v>10000</v>
      </c>
      <c r="P189" s="167">
        <v>10000</v>
      </c>
      <c r="Q189" s="167">
        <v>10000</v>
      </c>
      <c r="R189" s="167">
        <v>10000</v>
      </c>
      <c r="S189" s="167">
        <v>10000</v>
      </c>
    </row>
    <row r="190" spans="2:19" s="104" customFormat="1" ht="15" customHeight="1">
      <c r="B190" s="66"/>
      <c r="C190" s="23">
        <v>5</v>
      </c>
      <c r="D190" s="178" t="s">
        <v>108</v>
      </c>
      <c r="E190" s="166" t="s">
        <v>30</v>
      </c>
      <c r="F190" s="167">
        <v>6000</v>
      </c>
      <c r="G190" s="26">
        <f t="shared" si="22"/>
        <v>180000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167">
        <v>30000</v>
      </c>
      <c r="O190" s="167">
        <v>30000</v>
      </c>
      <c r="P190" s="167">
        <v>30000</v>
      </c>
      <c r="Q190" s="167">
        <v>30000</v>
      </c>
      <c r="R190" s="167">
        <v>30000</v>
      </c>
      <c r="S190" s="167">
        <v>30000</v>
      </c>
    </row>
    <row r="191" spans="2:19" s="104" customFormat="1" ht="15" customHeight="1">
      <c r="B191" s="66"/>
      <c r="C191" s="23">
        <v>2</v>
      </c>
      <c r="D191" s="178" t="s">
        <v>108</v>
      </c>
      <c r="E191" s="166" t="s">
        <v>30</v>
      </c>
      <c r="F191" s="167">
        <v>7000</v>
      </c>
      <c r="G191" s="26">
        <f t="shared" si="22"/>
        <v>84000</v>
      </c>
      <c r="H191" s="26">
        <v>0</v>
      </c>
      <c r="I191" s="26">
        <v>0</v>
      </c>
      <c r="J191" s="45">
        <v>0</v>
      </c>
      <c r="K191" s="26">
        <v>0</v>
      </c>
      <c r="L191" s="26">
        <v>0</v>
      </c>
      <c r="M191" s="26">
        <v>0</v>
      </c>
      <c r="N191" s="167">
        <v>14000</v>
      </c>
      <c r="O191" s="167">
        <v>14000</v>
      </c>
      <c r="P191" s="167">
        <v>14000</v>
      </c>
      <c r="Q191" s="167">
        <v>14000</v>
      </c>
      <c r="R191" s="167">
        <v>14000</v>
      </c>
      <c r="S191" s="167">
        <v>14000</v>
      </c>
    </row>
    <row r="192" spans="2:19" s="104" customFormat="1" ht="15" customHeight="1">
      <c r="B192" s="66"/>
      <c r="C192" s="23">
        <v>1</v>
      </c>
      <c r="D192" s="178" t="s">
        <v>108</v>
      </c>
      <c r="E192" s="166" t="s">
        <v>35</v>
      </c>
      <c r="F192" s="167">
        <v>8000</v>
      </c>
      <c r="G192" s="26">
        <f t="shared" si="22"/>
        <v>48000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167">
        <v>8000</v>
      </c>
      <c r="O192" s="167">
        <v>8000</v>
      </c>
      <c r="P192" s="167">
        <v>8000</v>
      </c>
      <c r="Q192" s="167">
        <v>8000</v>
      </c>
      <c r="R192" s="167">
        <v>8000</v>
      </c>
      <c r="S192" s="167">
        <v>8000</v>
      </c>
    </row>
    <row r="193" spans="2:283" s="104" customFormat="1" ht="15" customHeight="1">
      <c r="B193" s="66"/>
      <c r="C193" s="23">
        <v>1</v>
      </c>
      <c r="D193" s="178" t="s">
        <v>108</v>
      </c>
      <c r="E193" s="166" t="s">
        <v>35</v>
      </c>
      <c r="F193" s="167">
        <v>10000</v>
      </c>
      <c r="G193" s="26">
        <f t="shared" si="22"/>
        <v>60000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45">
        <v>10000</v>
      </c>
      <c r="O193" s="45">
        <v>10000</v>
      </c>
      <c r="P193" s="45">
        <v>10000</v>
      </c>
      <c r="Q193" s="45">
        <v>10000</v>
      </c>
      <c r="R193" s="45">
        <v>10000</v>
      </c>
      <c r="S193" s="45">
        <v>10000</v>
      </c>
    </row>
    <row r="194" spans="2:283" ht="14.25" customHeight="1">
      <c r="B194" s="17"/>
      <c r="C194" s="23">
        <v>1</v>
      </c>
      <c r="D194" s="178" t="s">
        <v>83</v>
      </c>
      <c r="E194" s="166" t="s">
        <v>30</v>
      </c>
      <c r="F194" s="167">
        <v>15000</v>
      </c>
      <c r="G194" s="26">
        <f t="shared" si="22"/>
        <v>149516.13</v>
      </c>
      <c r="H194" s="26">
        <v>0</v>
      </c>
      <c r="I194" s="26">
        <v>0</v>
      </c>
      <c r="J194" s="26">
        <v>14516.13</v>
      </c>
      <c r="K194" s="26">
        <v>15000</v>
      </c>
      <c r="L194" s="26">
        <v>15000</v>
      </c>
      <c r="M194" s="26">
        <v>15000</v>
      </c>
      <c r="N194" s="26">
        <v>15000</v>
      </c>
      <c r="O194" s="26">
        <v>15000</v>
      </c>
      <c r="P194" s="26">
        <v>15000</v>
      </c>
      <c r="Q194" s="26">
        <v>15000</v>
      </c>
      <c r="R194" s="26">
        <v>15000</v>
      </c>
      <c r="S194" s="26">
        <v>15000</v>
      </c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  <c r="IW194" s="104"/>
      <c r="IX194" s="104"/>
      <c r="IY194" s="104"/>
      <c r="IZ194" s="104"/>
      <c r="JA194" s="104"/>
      <c r="JB194" s="104"/>
      <c r="JC194" s="104"/>
      <c r="JD194" s="104"/>
      <c r="JE194" s="104"/>
      <c r="JF194" s="104"/>
      <c r="JG194" s="104"/>
      <c r="JH194" s="104"/>
      <c r="JI194" s="104"/>
      <c r="JJ194" s="104"/>
      <c r="JK194" s="104"/>
      <c r="JL194" s="104"/>
      <c r="JM194" s="104"/>
      <c r="JN194" s="104"/>
      <c r="JO194" s="104"/>
      <c r="JP194" s="104"/>
      <c r="JQ194" s="104"/>
      <c r="JR194" s="104"/>
      <c r="JS194" s="104"/>
      <c r="JT194" s="104"/>
      <c r="JU194" s="104"/>
      <c r="JV194" s="104"/>
      <c r="JW194" s="104"/>
    </row>
    <row r="195" spans="2:283" s="104" customFormat="1" ht="15" customHeight="1">
      <c r="B195" s="66"/>
      <c r="C195" s="23">
        <v>1</v>
      </c>
      <c r="D195" s="178" t="s">
        <v>105</v>
      </c>
      <c r="E195" s="166" t="s">
        <v>39</v>
      </c>
      <c r="F195" s="167">
        <v>6000</v>
      </c>
      <c r="G195" s="26">
        <f t="shared" si="22"/>
        <v>42000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43">
        <v>6000</v>
      </c>
      <c r="N195" s="243">
        <v>6000</v>
      </c>
      <c r="O195" s="243">
        <v>6000</v>
      </c>
      <c r="P195" s="243">
        <v>6000</v>
      </c>
      <c r="Q195" s="243">
        <v>6000</v>
      </c>
      <c r="R195" s="243">
        <v>6000</v>
      </c>
      <c r="S195" s="243">
        <v>6000</v>
      </c>
    </row>
    <row r="196" spans="2:283" s="104" customFormat="1" ht="15" customHeight="1">
      <c r="B196" s="66"/>
      <c r="C196" s="23">
        <v>1</v>
      </c>
      <c r="D196" s="178" t="s">
        <v>105</v>
      </c>
      <c r="E196" s="166" t="s">
        <v>35</v>
      </c>
      <c r="F196" s="167">
        <v>14000</v>
      </c>
      <c r="G196" s="26">
        <f t="shared" si="22"/>
        <v>98000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44">
        <v>14000</v>
      </c>
      <c r="N196" s="243">
        <v>0</v>
      </c>
      <c r="O196" s="243">
        <v>28000</v>
      </c>
      <c r="P196" s="243">
        <v>14000</v>
      </c>
      <c r="Q196" s="243">
        <v>14000</v>
      </c>
      <c r="R196" s="243">
        <v>14000</v>
      </c>
      <c r="S196" s="243">
        <v>14000</v>
      </c>
    </row>
    <row r="197" spans="2:283" s="104" customFormat="1" ht="15" customHeight="1">
      <c r="B197" s="66"/>
      <c r="C197" s="23">
        <v>1</v>
      </c>
      <c r="D197" s="178" t="s">
        <v>105</v>
      </c>
      <c r="E197" s="166" t="s">
        <v>35</v>
      </c>
      <c r="F197" s="167">
        <v>8000</v>
      </c>
      <c r="G197" s="26">
        <f t="shared" si="22"/>
        <v>56000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43">
        <v>8000</v>
      </c>
      <c r="N197" s="243">
        <v>8000</v>
      </c>
      <c r="O197" s="243">
        <v>8000</v>
      </c>
      <c r="P197" s="243">
        <v>8000</v>
      </c>
      <c r="Q197" s="243">
        <v>8000</v>
      </c>
      <c r="R197" s="243">
        <v>8000</v>
      </c>
      <c r="S197" s="243">
        <v>8000</v>
      </c>
    </row>
    <row r="198" spans="2:283" ht="30" customHeight="1">
      <c r="B198" s="47"/>
      <c r="C198" s="48"/>
      <c r="D198" s="215"/>
      <c r="E198" s="289" t="s">
        <v>24</v>
      </c>
      <c r="F198" s="290"/>
      <c r="G198" s="50">
        <f>803695-SUM(G167:G197)+31000+868000-36000-2020</f>
        <v>0.03</v>
      </c>
      <c r="H198" s="49"/>
      <c r="I198" s="50"/>
      <c r="J198" s="49"/>
      <c r="K198" s="49"/>
      <c r="L198" s="49"/>
      <c r="M198" s="51"/>
      <c r="N198" s="49"/>
      <c r="O198" s="49"/>
      <c r="P198" s="49"/>
      <c r="Q198" s="49"/>
      <c r="R198" s="49"/>
      <c r="S198" s="49"/>
      <c r="T198" s="78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  <c r="IP198" s="104"/>
      <c r="IQ198" s="104"/>
      <c r="IR198" s="104"/>
      <c r="IS198" s="104"/>
      <c r="IT198" s="104"/>
      <c r="IU198" s="104"/>
      <c r="IV198" s="104"/>
      <c r="IW198" s="104"/>
      <c r="IX198" s="104"/>
      <c r="IY198" s="104"/>
      <c r="IZ198" s="104"/>
      <c r="JA198" s="104"/>
      <c r="JB198" s="104"/>
      <c r="JC198" s="104"/>
      <c r="JD198" s="104"/>
      <c r="JE198" s="104"/>
      <c r="JF198" s="104"/>
      <c r="JG198" s="104"/>
      <c r="JH198" s="104"/>
      <c r="JI198" s="104"/>
      <c r="JJ198" s="104"/>
      <c r="JK198" s="104"/>
      <c r="JL198" s="104"/>
      <c r="JM198" s="104"/>
      <c r="JN198" s="104"/>
      <c r="JO198" s="104"/>
      <c r="JP198" s="104"/>
      <c r="JQ198" s="104"/>
      <c r="JR198" s="104"/>
      <c r="JS198" s="104"/>
      <c r="JT198" s="104"/>
      <c r="JU198" s="104"/>
      <c r="JV198" s="104"/>
      <c r="JW198" s="104"/>
    </row>
    <row r="199" spans="2:283" s="86" customFormat="1" ht="29.25">
      <c r="B199" s="91" t="s">
        <v>43</v>
      </c>
      <c r="C199" s="92">
        <f>SUM(C201:C203)</f>
        <v>5</v>
      </c>
      <c r="D199" s="214"/>
      <c r="E199" s="93"/>
      <c r="F199" s="61"/>
      <c r="G199" s="61"/>
      <c r="H199" s="61"/>
      <c r="I199" s="61"/>
      <c r="J199" s="61"/>
      <c r="K199" s="61"/>
      <c r="L199" s="61"/>
      <c r="M199" s="94"/>
      <c r="N199" s="61"/>
      <c r="O199" s="61"/>
      <c r="P199" s="61"/>
      <c r="Q199" s="61"/>
      <c r="R199" s="61"/>
      <c r="S199" s="61"/>
      <c r="BV199" s="104"/>
      <c r="BW199" s="104"/>
      <c r="BX199" s="104"/>
      <c r="BY199" s="104"/>
      <c r="BZ199" s="104"/>
      <c r="CA199" s="104"/>
      <c r="CB199" s="104"/>
      <c r="CC199" s="104"/>
      <c r="CD199" s="104"/>
      <c r="CE199" s="104"/>
      <c r="CF199" s="104"/>
      <c r="CG199" s="104"/>
      <c r="CH199" s="104"/>
      <c r="CI199" s="104"/>
      <c r="CJ199" s="104"/>
      <c r="CK199" s="104"/>
      <c r="CL199" s="104"/>
      <c r="CM199" s="104"/>
      <c r="CN199" s="104"/>
      <c r="CO199" s="104"/>
      <c r="CP199" s="104"/>
      <c r="CQ199" s="104"/>
      <c r="CR199" s="104"/>
      <c r="CS199" s="104"/>
      <c r="CT199" s="104"/>
      <c r="CU199" s="104"/>
      <c r="CV199" s="104"/>
      <c r="CW199" s="104"/>
      <c r="CX199" s="104"/>
      <c r="CY199" s="104"/>
      <c r="CZ199" s="104"/>
      <c r="DA199" s="104"/>
      <c r="DB199" s="104"/>
      <c r="DC199" s="104"/>
      <c r="DD199" s="104"/>
      <c r="DE199" s="104"/>
      <c r="DF199" s="104"/>
      <c r="DG199" s="104"/>
      <c r="DH199" s="104"/>
      <c r="DI199" s="104"/>
      <c r="DJ199" s="104"/>
      <c r="DK199" s="104"/>
      <c r="DL199" s="104"/>
      <c r="DM199" s="104"/>
      <c r="DN199" s="104"/>
      <c r="DO199" s="104"/>
      <c r="DP199" s="104"/>
      <c r="DQ199" s="104"/>
      <c r="DR199" s="104"/>
      <c r="DS199" s="104"/>
      <c r="DT199" s="104"/>
      <c r="DU199" s="104"/>
      <c r="DV199" s="104"/>
      <c r="DW199" s="104"/>
      <c r="DX199" s="104"/>
      <c r="DY199" s="104"/>
      <c r="DZ199" s="104"/>
      <c r="EA199" s="104"/>
      <c r="EB199" s="104"/>
      <c r="EC199" s="104"/>
      <c r="ED199" s="104"/>
      <c r="EE199" s="104"/>
      <c r="EF199" s="104"/>
      <c r="EG199" s="104"/>
      <c r="EH199" s="104"/>
      <c r="EI199" s="104"/>
      <c r="EJ199" s="104"/>
      <c r="EK199" s="104"/>
      <c r="EL199" s="104"/>
      <c r="EM199" s="104"/>
      <c r="EN199" s="104"/>
      <c r="EO199" s="104"/>
      <c r="EP199" s="104"/>
      <c r="EQ199" s="104"/>
      <c r="ER199" s="104"/>
      <c r="ES199" s="104"/>
      <c r="ET199" s="104"/>
      <c r="EU199" s="104"/>
      <c r="EV199" s="104"/>
      <c r="EW199" s="104"/>
      <c r="EX199" s="104"/>
      <c r="EY199" s="104"/>
      <c r="EZ199" s="104"/>
      <c r="FA199" s="104"/>
      <c r="FB199" s="104"/>
      <c r="FC199" s="104"/>
      <c r="FD199" s="104"/>
      <c r="FE199" s="104"/>
      <c r="FF199" s="104"/>
      <c r="FG199" s="104"/>
      <c r="FH199" s="104"/>
      <c r="FI199" s="104"/>
      <c r="FJ199" s="104"/>
      <c r="FK199" s="104"/>
      <c r="FL199" s="104"/>
      <c r="FM199" s="104"/>
      <c r="FN199" s="104"/>
      <c r="FO199" s="104"/>
      <c r="FP199" s="104"/>
      <c r="FQ199" s="104"/>
      <c r="FR199" s="104"/>
      <c r="FS199" s="104"/>
      <c r="FT199" s="104"/>
      <c r="FU199" s="104"/>
      <c r="FV199" s="104"/>
      <c r="FW199" s="104"/>
      <c r="FX199" s="104"/>
      <c r="FY199" s="104"/>
      <c r="FZ199" s="104"/>
      <c r="GA199" s="104"/>
      <c r="GB199" s="104"/>
      <c r="GC199" s="104"/>
      <c r="GD199" s="104"/>
      <c r="GE199" s="104"/>
      <c r="GF199" s="104"/>
      <c r="GG199" s="104"/>
      <c r="GH199" s="104"/>
      <c r="GI199" s="104"/>
      <c r="GJ199" s="104"/>
      <c r="GK199" s="104"/>
      <c r="GL199" s="104"/>
      <c r="GM199" s="104"/>
      <c r="GN199" s="104"/>
      <c r="GO199" s="104"/>
      <c r="GP199" s="104"/>
      <c r="GQ199" s="104"/>
      <c r="GR199" s="104"/>
      <c r="GS199" s="104"/>
      <c r="GT199" s="104"/>
      <c r="GU199" s="104"/>
      <c r="GV199" s="104"/>
      <c r="GW199" s="104"/>
      <c r="GX199" s="104"/>
      <c r="GY199" s="104"/>
      <c r="GZ199" s="104"/>
      <c r="HA199" s="104"/>
      <c r="HB199" s="104"/>
      <c r="HC199" s="104"/>
      <c r="HD199" s="104"/>
      <c r="HE199" s="104"/>
      <c r="HF199" s="104"/>
      <c r="HG199" s="104"/>
      <c r="HH199" s="104"/>
      <c r="HI199" s="104"/>
      <c r="HJ199" s="104"/>
      <c r="HK199" s="104"/>
      <c r="HL199" s="104"/>
      <c r="HM199" s="104"/>
      <c r="HN199" s="104"/>
      <c r="HO199" s="104"/>
      <c r="HP199" s="104"/>
      <c r="HQ199" s="104"/>
      <c r="HR199" s="104"/>
      <c r="HS199" s="104"/>
      <c r="HT199" s="104"/>
      <c r="HU199" s="104"/>
      <c r="HV199" s="104"/>
      <c r="HW199" s="104"/>
      <c r="HX199" s="104"/>
      <c r="HY199" s="104"/>
      <c r="HZ199" s="104"/>
      <c r="IA199" s="104"/>
      <c r="IB199" s="104"/>
      <c r="IC199" s="104"/>
      <c r="ID199" s="104"/>
      <c r="IE199" s="104"/>
      <c r="IF199" s="104"/>
      <c r="IG199" s="104"/>
      <c r="IH199" s="104"/>
      <c r="II199" s="104"/>
      <c r="IJ199" s="104"/>
      <c r="IK199" s="104"/>
      <c r="IL199" s="104"/>
      <c r="IM199" s="104"/>
      <c r="IN199" s="104"/>
      <c r="IO199" s="104"/>
      <c r="IP199" s="104"/>
      <c r="IQ199" s="104"/>
      <c r="IR199" s="104"/>
      <c r="IS199" s="104"/>
      <c r="IT199" s="104"/>
      <c r="IU199" s="104"/>
      <c r="IV199" s="104"/>
      <c r="IW199" s="104"/>
      <c r="IX199" s="104"/>
      <c r="IY199" s="104"/>
      <c r="IZ199" s="104"/>
      <c r="JA199" s="104"/>
      <c r="JB199" s="104"/>
      <c r="JC199" s="104"/>
      <c r="JD199" s="104"/>
      <c r="JE199" s="104"/>
      <c r="JF199" s="104"/>
      <c r="JG199" s="104"/>
      <c r="JH199" s="104"/>
      <c r="JI199" s="104"/>
      <c r="JJ199" s="104"/>
      <c r="JK199" s="104"/>
      <c r="JL199" s="104"/>
      <c r="JM199" s="104"/>
      <c r="JN199" s="104"/>
      <c r="JO199" s="104"/>
      <c r="JP199" s="104"/>
      <c r="JQ199" s="104"/>
      <c r="JR199" s="104"/>
      <c r="JS199" s="104"/>
      <c r="JT199" s="104"/>
      <c r="JU199" s="104"/>
      <c r="JV199" s="104"/>
      <c r="JW199" s="104"/>
    </row>
    <row r="200" spans="2:283">
      <c r="B200" s="41"/>
      <c r="C200" s="27"/>
      <c r="D200" s="211"/>
      <c r="E200" s="33"/>
      <c r="F200" s="10"/>
      <c r="G200" s="43">
        <f>SUM(G201:G203)</f>
        <v>353096.75</v>
      </c>
      <c r="H200" s="80">
        <f>SUM(H203:H203)</f>
        <v>27096.75</v>
      </c>
      <c r="I200" s="80">
        <f t="shared" ref="I200:R200" si="23">SUM(I201:I203)</f>
        <v>30000</v>
      </c>
      <c r="J200" s="80">
        <f t="shared" si="23"/>
        <v>30000</v>
      </c>
      <c r="K200" s="80">
        <f t="shared" si="23"/>
        <v>26000</v>
      </c>
      <c r="L200" s="80">
        <f t="shared" si="23"/>
        <v>30000</v>
      </c>
      <c r="M200" s="80">
        <f t="shared" si="23"/>
        <v>30000</v>
      </c>
      <c r="N200" s="80">
        <f t="shared" si="23"/>
        <v>30000</v>
      </c>
      <c r="O200" s="80">
        <f t="shared" si="23"/>
        <v>30000</v>
      </c>
      <c r="P200" s="80">
        <f t="shared" si="23"/>
        <v>30000</v>
      </c>
      <c r="Q200" s="80">
        <f t="shared" si="23"/>
        <v>30000</v>
      </c>
      <c r="R200" s="80">
        <f t="shared" si="23"/>
        <v>30000</v>
      </c>
      <c r="S200" s="80">
        <f>SUM(S201:S204)</f>
        <v>30000</v>
      </c>
      <c r="T200" s="78"/>
      <c r="BV200" s="104"/>
      <c r="BW200" s="104"/>
      <c r="BX200" s="104"/>
      <c r="BY200" s="104"/>
      <c r="BZ200" s="104"/>
      <c r="CA200" s="104"/>
      <c r="CB200" s="104"/>
      <c r="CC200" s="104"/>
      <c r="CD200" s="104"/>
      <c r="CE200" s="104"/>
      <c r="CF200" s="104"/>
      <c r="CG200" s="104"/>
      <c r="CH200" s="104"/>
      <c r="CI200" s="104"/>
      <c r="CJ200" s="104"/>
      <c r="CK200" s="104"/>
      <c r="CL200" s="104"/>
      <c r="CM200" s="104"/>
      <c r="CN200" s="104"/>
      <c r="CO200" s="104"/>
      <c r="CP200" s="104"/>
      <c r="CQ200" s="104"/>
      <c r="CR200" s="104"/>
      <c r="CS200" s="104"/>
      <c r="CT200" s="104"/>
      <c r="CU200" s="104"/>
      <c r="CV200" s="104"/>
      <c r="CW200" s="104"/>
      <c r="CX200" s="104"/>
      <c r="CY200" s="104"/>
      <c r="CZ200" s="104"/>
      <c r="DA200" s="104"/>
      <c r="DB200" s="104"/>
      <c r="DC200" s="104"/>
      <c r="DD200" s="104"/>
      <c r="DE200" s="104"/>
      <c r="DF200" s="104"/>
      <c r="DG200" s="104"/>
      <c r="DH200" s="104"/>
      <c r="DI200" s="104"/>
      <c r="DJ200" s="104"/>
      <c r="DK200" s="104"/>
      <c r="DL200" s="104"/>
      <c r="DM200" s="104"/>
      <c r="DN200" s="104"/>
      <c r="DO200" s="104"/>
      <c r="DP200" s="104"/>
      <c r="DQ200" s="104"/>
      <c r="DR200" s="104"/>
      <c r="DS200" s="104"/>
      <c r="DT200" s="104"/>
      <c r="DU200" s="104"/>
      <c r="DV200" s="104"/>
      <c r="DW200" s="104"/>
      <c r="DX200" s="104"/>
      <c r="DY200" s="104"/>
      <c r="DZ200" s="104"/>
      <c r="EA200" s="104"/>
      <c r="EB200" s="104"/>
      <c r="EC200" s="104"/>
      <c r="ED200" s="104"/>
      <c r="EE200" s="104"/>
      <c r="EF200" s="104"/>
      <c r="EG200" s="104"/>
      <c r="EH200" s="104"/>
      <c r="EI200" s="104"/>
      <c r="EJ200" s="104"/>
      <c r="EK200" s="104"/>
      <c r="EL200" s="104"/>
      <c r="EM200" s="104"/>
      <c r="EN200" s="104"/>
      <c r="EO200" s="104"/>
      <c r="EP200" s="104"/>
      <c r="EQ200" s="104"/>
      <c r="ER200" s="104"/>
      <c r="ES200" s="104"/>
      <c r="ET200" s="104"/>
      <c r="EU200" s="104"/>
      <c r="EV200" s="104"/>
      <c r="EW200" s="104"/>
      <c r="EX200" s="104"/>
      <c r="EY200" s="104"/>
      <c r="EZ200" s="104"/>
      <c r="FA200" s="104"/>
      <c r="FB200" s="104"/>
      <c r="FC200" s="104"/>
      <c r="FD200" s="104"/>
      <c r="FE200" s="104"/>
      <c r="FF200" s="104"/>
      <c r="FG200" s="104"/>
      <c r="FH200" s="104"/>
      <c r="FI200" s="104"/>
      <c r="FJ200" s="104"/>
      <c r="FK200" s="104"/>
      <c r="FL200" s="104"/>
      <c r="FM200" s="104"/>
      <c r="FN200" s="104"/>
      <c r="FO200" s="104"/>
      <c r="FP200" s="104"/>
      <c r="FQ200" s="104"/>
      <c r="FR200" s="104"/>
      <c r="FS200" s="104"/>
      <c r="FT200" s="104"/>
      <c r="FU200" s="104"/>
      <c r="FV200" s="104"/>
      <c r="FW200" s="104"/>
      <c r="FX200" s="104"/>
      <c r="FY200" s="104"/>
      <c r="FZ200" s="104"/>
      <c r="GA200" s="104"/>
      <c r="GB200" s="104"/>
      <c r="GC200" s="104"/>
      <c r="GD200" s="104"/>
      <c r="GE200" s="104"/>
      <c r="GF200" s="104"/>
      <c r="GG200" s="104"/>
      <c r="GH200" s="104"/>
      <c r="GI200" s="104"/>
      <c r="GJ200" s="104"/>
      <c r="GK200" s="104"/>
      <c r="GL200" s="104"/>
      <c r="GM200" s="104"/>
      <c r="GN200" s="104"/>
      <c r="GO200" s="104"/>
      <c r="GP200" s="104"/>
      <c r="GQ200" s="104"/>
      <c r="GR200" s="104"/>
      <c r="GS200" s="104"/>
      <c r="GT200" s="104"/>
      <c r="GU200" s="104"/>
      <c r="GV200" s="104"/>
      <c r="GW200" s="104"/>
      <c r="GX200" s="104"/>
      <c r="GY200" s="104"/>
      <c r="GZ200" s="104"/>
      <c r="HA200" s="104"/>
      <c r="HB200" s="104"/>
      <c r="HC200" s="104"/>
      <c r="HD200" s="104"/>
      <c r="HE200" s="104"/>
      <c r="HF200" s="104"/>
      <c r="HG200" s="104"/>
      <c r="HH200" s="104"/>
      <c r="HI200" s="104"/>
      <c r="HJ200" s="104"/>
      <c r="HK200" s="104"/>
      <c r="HL200" s="104"/>
      <c r="HM200" s="104"/>
      <c r="HN200" s="104"/>
      <c r="HO200" s="104"/>
      <c r="HP200" s="104"/>
      <c r="HQ200" s="104"/>
      <c r="HR200" s="104"/>
      <c r="HS200" s="104"/>
      <c r="HT200" s="104"/>
      <c r="HU200" s="104"/>
      <c r="HV200" s="104"/>
      <c r="HW200" s="104"/>
      <c r="HX200" s="104"/>
      <c r="HY200" s="104"/>
      <c r="HZ200" s="104"/>
      <c r="IA200" s="104"/>
      <c r="IB200" s="104"/>
      <c r="IC200" s="104"/>
      <c r="ID200" s="104"/>
      <c r="IE200" s="104"/>
      <c r="IF200" s="104"/>
      <c r="IG200" s="104"/>
      <c r="IH200" s="104"/>
      <c r="II200" s="104"/>
      <c r="IJ200" s="104"/>
      <c r="IK200" s="104"/>
      <c r="IL200" s="104"/>
      <c r="IM200" s="104"/>
      <c r="IN200" s="104"/>
      <c r="IO200" s="104"/>
      <c r="IP200" s="104"/>
      <c r="IQ200" s="104"/>
      <c r="IR200" s="104"/>
      <c r="IS200" s="104"/>
      <c r="IT200" s="104"/>
      <c r="IU200" s="104"/>
      <c r="IV200" s="104"/>
      <c r="IW200" s="104"/>
      <c r="IX200" s="104"/>
      <c r="IY200" s="104"/>
      <c r="IZ200" s="104"/>
      <c r="JA200" s="104"/>
      <c r="JB200" s="104"/>
      <c r="JC200" s="104"/>
      <c r="JD200" s="104"/>
      <c r="JE200" s="104"/>
      <c r="JF200" s="104"/>
      <c r="JG200" s="104"/>
      <c r="JH200" s="104"/>
      <c r="JI200" s="104"/>
      <c r="JJ200" s="104"/>
      <c r="JK200" s="104"/>
      <c r="JL200" s="104"/>
      <c r="JM200" s="104"/>
      <c r="JN200" s="104"/>
      <c r="JO200" s="104"/>
      <c r="JP200" s="104"/>
      <c r="JQ200" s="104"/>
      <c r="JR200" s="104"/>
      <c r="JS200" s="104"/>
      <c r="JT200" s="104"/>
      <c r="JU200" s="104"/>
      <c r="JV200" s="104"/>
      <c r="JW200" s="104"/>
    </row>
    <row r="201" spans="2:283" s="104" customFormat="1" ht="14.25" customHeight="1">
      <c r="B201" s="66"/>
      <c r="C201" s="23">
        <v>0</v>
      </c>
      <c r="D201" s="178" t="s">
        <v>86</v>
      </c>
      <c r="E201" s="44" t="s">
        <v>30</v>
      </c>
      <c r="F201" s="25">
        <v>6000</v>
      </c>
      <c r="G201" s="26">
        <f t="shared" ref="G201:G203" si="24">SUM(H201:S201)</f>
        <v>86000</v>
      </c>
      <c r="H201" s="45">
        <v>0</v>
      </c>
      <c r="I201" s="45">
        <v>0</v>
      </c>
      <c r="J201" s="45">
        <v>0</v>
      </c>
      <c r="K201" s="26">
        <v>26000</v>
      </c>
      <c r="L201" s="26">
        <v>30000</v>
      </c>
      <c r="M201" s="26">
        <v>30000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</row>
    <row r="202" spans="2:283" s="104" customFormat="1" ht="14.25" customHeight="1">
      <c r="B202" s="73"/>
      <c r="C202" s="23">
        <v>5</v>
      </c>
      <c r="D202" s="178" t="s">
        <v>108</v>
      </c>
      <c r="E202" s="44" t="s">
        <v>30</v>
      </c>
      <c r="F202" s="25">
        <v>6000</v>
      </c>
      <c r="G202" s="26">
        <f t="shared" si="24"/>
        <v>180000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5">
        <v>30000</v>
      </c>
      <c r="O202" s="25">
        <v>30000</v>
      </c>
      <c r="P202" s="25">
        <v>30000</v>
      </c>
      <c r="Q202" s="25">
        <v>30000</v>
      </c>
      <c r="R202" s="25">
        <v>30000</v>
      </c>
      <c r="S202" s="25">
        <v>30000</v>
      </c>
    </row>
    <row r="203" spans="2:283" ht="14.25" customHeight="1">
      <c r="B203" s="17"/>
      <c r="C203" s="18">
        <v>0</v>
      </c>
      <c r="D203" s="208" t="s">
        <v>28</v>
      </c>
      <c r="E203" s="52" t="s">
        <v>30</v>
      </c>
      <c r="F203" s="19">
        <v>6000</v>
      </c>
      <c r="G203" s="20">
        <f t="shared" si="24"/>
        <v>87096.75</v>
      </c>
      <c r="H203" s="21">
        <v>27096.75</v>
      </c>
      <c r="I203" s="21">
        <f>F203*5</f>
        <v>30000</v>
      </c>
      <c r="J203" s="21">
        <v>30000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BV203" s="104"/>
      <c r="BW203" s="104"/>
      <c r="BX203" s="104"/>
      <c r="BY203" s="104"/>
      <c r="BZ203" s="104"/>
      <c r="CA203" s="104"/>
      <c r="CB203" s="104"/>
      <c r="CC203" s="104"/>
      <c r="CD203" s="104"/>
      <c r="CE203" s="104"/>
      <c r="CF203" s="104"/>
      <c r="CG203" s="104"/>
      <c r="CH203" s="104"/>
      <c r="CI203" s="104"/>
      <c r="CJ203" s="104"/>
      <c r="CK203" s="104"/>
      <c r="CL203" s="104"/>
      <c r="CM203" s="104"/>
      <c r="CN203" s="104"/>
      <c r="CO203" s="104"/>
      <c r="CP203" s="104"/>
      <c r="CQ203" s="104"/>
      <c r="CR203" s="104"/>
      <c r="CS203" s="104"/>
      <c r="CT203" s="104"/>
      <c r="CU203" s="104"/>
      <c r="CV203" s="104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4"/>
      <c r="DL203" s="104"/>
      <c r="DM203" s="104"/>
      <c r="DN203" s="104"/>
      <c r="DO203" s="104"/>
      <c r="DP203" s="104"/>
      <c r="DQ203" s="104"/>
      <c r="DR203" s="104"/>
      <c r="DS203" s="104"/>
      <c r="DT203" s="104"/>
      <c r="DU203" s="104"/>
      <c r="DV203" s="104"/>
      <c r="DW203" s="104"/>
      <c r="DX203" s="104"/>
      <c r="DY203" s="104"/>
      <c r="DZ203" s="104"/>
      <c r="EA203" s="104"/>
      <c r="EB203" s="104"/>
      <c r="EC203" s="104"/>
      <c r="ED203" s="104"/>
      <c r="EE203" s="104"/>
      <c r="EF203" s="104"/>
      <c r="EG203" s="104"/>
      <c r="EH203" s="104"/>
      <c r="EI203" s="104"/>
      <c r="EJ203" s="104"/>
      <c r="EK203" s="104"/>
      <c r="EL203" s="104"/>
      <c r="EM203" s="104"/>
      <c r="EN203" s="104"/>
      <c r="EO203" s="104"/>
      <c r="EP203" s="104"/>
      <c r="EQ203" s="104"/>
      <c r="ER203" s="104"/>
      <c r="ES203" s="104"/>
      <c r="ET203" s="104"/>
      <c r="EU203" s="104"/>
      <c r="EV203" s="104"/>
      <c r="EW203" s="104"/>
      <c r="EX203" s="104"/>
      <c r="EY203" s="104"/>
      <c r="EZ203" s="104"/>
      <c r="FA203" s="104"/>
      <c r="FB203" s="104"/>
      <c r="FC203" s="104"/>
      <c r="FD203" s="104"/>
      <c r="FE203" s="104"/>
      <c r="FF203" s="104"/>
      <c r="FG203" s="104"/>
      <c r="FH203" s="104"/>
      <c r="FI203" s="104"/>
      <c r="FJ203" s="104"/>
      <c r="FK203" s="104"/>
      <c r="FL203" s="104"/>
      <c r="FM203" s="104"/>
      <c r="FN203" s="104"/>
      <c r="FO203" s="104"/>
      <c r="FP203" s="104"/>
      <c r="FQ203" s="104"/>
      <c r="FR203" s="104"/>
      <c r="FS203" s="104"/>
      <c r="FT203" s="104"/>
      <c r="FU203" s="104"/>
      <c r="FV203" s="104"/>
      <c r="FW203" s="104"/>
      <c r="FX203" s="104"/>
      <c r="FY203" s="104"/>
      <c r="FZ203" s="104"/>
      <c r="GA203" s="104"/>
      <c r="GB203" s="104"/>
      <c r="GC203" s="104"/>
      <c r="GD203" s="104"/>
      <c r="GE203" s="104"/>
      <c r="GF203" s="104"/>
      <c r="GG203" s="104"/>
      <c r="GH203" s="104"/>
      <c r="GI203" s="104"/>
      <c r="GJ203" s="104"/>
      <c r="GK203" s="104"/>
      <c r="GL203" s="104"/>
      <c r="GM203" s="104"/>
      <c r="GN203" s="104"/>
      <c r="GO203" s="104"/>
      <c r="GP203" s="104"/>
      <c r="GQ203" s="104"/>
      <c r="GR203" s="104"/>
      <c r="GS203" s="104"/>
      <c r="GT203" s="104"/>
      <c r="GU203" s="104"/>
      <c r="GV203" s="104"/>
      <c r="GW203" s="104"/>
      <c r="GX203" s="104"/>
      <c r="GY203" s="104"/>
      <c r="GZ203" s="104"/>
      <c r="HA203" s="104"/>
      <c r="HB203" s="104"/>
      <c r="HC203" s="104"/>
      <c r="HD203" s="104"/>
      <c r="HE203" s="104"/>
      <c r="HF203" s="104"/>
      <c r="HG203" s="104"/>
      <c r="HH203" s="104"/>
      <c r="HI203" s="104"/>
      <c r="HJ203" s="104"/>
      <c r="HK203" s="104"/>
      <c r="HL203" s="104"/>
      <c r="HM203" s="104"/>
      <c r="HN203" s="104"/>
      <c r="HO203" s="104"/>
      <c r="HP203" s="104"/>
      <c r="HQ203" s="104"/>
      <c r="HR203" s="104"/>
      <c r="HS203" s="104"/>
      <c r="HT203" s="104"/>
      <c r="HU203" s="104"/>
      <c r="HV203" s="104"/>
      <c r="HW203" s="104"/>
      <c r="HX203" s="104"/>
      <c r="HY203" s="104"/>
      <c r="HZ203" s="104"/>
      <c r="IA203" s="104"/>
      <c r="IB203" s="104"/>
      <c r="IC203" s="104"/>
      <c r="ID203" s="104"/>
      <c r="IE203" s="104"/>
      <c r="IF203" s="104"/>
      <c r="IG203" s="104"/>
      <c r="IH203" s="104"/>
      <c r="II203" s="104"/>
      <c r="IJ203" s="104"/>
      <c r="IK203" s="104"/>
      <c r="IL203" s="104"/>
      <c r="IM203" s="104"/>
      <c r="IN203" s="104"/>
      <c r="IO203" s="104"/>
      <c r="IP203" s="104"/>
      <c r="IQ203" s="104"/>
      <c r="IR203" s="104"/>
      <c r="IS203" s="104"/>
      <c r="IT203" s="104"/>
      <c r="IU203" s="104"/>
      <c r="IV203" s="104"/>
      <c r="IW203" s="104"/>
      <c r="IX203" s="104"/>
      <c r="IY203" s="104"/>
      <c r="IZ203" s="104"/>
      <c r="JA203" s="104"/>
      <c r="JB203" s="104"/>
      <c r="JC203" s="104"/>
      <c r="JD203" s="104"/>
      <c r="JE203" s="104"/>
      <c r="JF203" s="104"/>
      <c r="JG203" s="104"/>
      <c r="JH203" s="104"/>
      <c r="JI203" s="104"/>
      <c r="JJ203" s="104"/>
      <c r="JK203" s="104"/>
      <c r="JL203" s="104"/>
      <c r="JM203" s="104"/>
      <c r="JN203" s="104"/>
      <c r="JO203" s="104"/>
      <c r="JP203" s="104"/>
      <c r="JQ203" s="104"/>
      <c r="JR203" s="104"/>
      <c r="JS203" s="104"/>
      <c r="JT203" s="104"/>
      <c r="JU203" s="104"/>
      <c r="JV203" s="104"/>
      <c r="JW203" s="104"/>
    </row>
    <row r="204" spans="2:283" ht="15" customHeight="1">
      <c r="B204" s="47"/>
      <c r="C204" s="48"/>
      <c r="D204" s="215"/>
      <c r="E204" s="289" t="s">
        <v>24</v>
      </c>
      <c r="F204" s="290"/>
      <c r="G204" s="49">
        <f>271200-SUM(G201:G203)+81905</f>
        <v>8.25</v>
      </c>
      <c r="H204" s="49"/>
      <c r="I204" s="49"/>
      <c r="J204" s="49"/>
      <c r="K204" s="49"/>
      <c r="L204" s="49"/>
      <c r="M204" s="51"/>
      <c r="N204" s="49"/>
      <c r="O204" s="49"/>
      <c r="P204" s="49"/>
      <c r="Q204" s="49"/>
      <c r="R204" s="49"/>
      <c r="S204" s="49"/>
      <c r="BV204" s="104"/>
      <c r="BW204" s="104"/>
      <c r="BX204" s="104"/>
      <c r="BY204" s="104"/>
      <c r="BZ204" s="104"/>
      <c r="CA204" s="104"/>
      <c r="CB204" s="104"/>
      <c r="CC204" s="104"/>
      <c r="CD204" s="104"/>
      <c r="CE204" s="104"/>
      <c r="CF204" s="104"/>
      <c r="CG204" s="104"/>
      <c r="CH204" s="104"/>
      <c r="CI204" s="104"/>
      <c r="CJ204" s="104"/>
      <c r="CK204" s="104"/>
      <c r="CL204" s="104"/>
      <c r="CM204" s="104"/>
      <c r="CN204" s="104"/>
      <c r="CO204" s="104"/>
      <c r="CP204" s="104"/>
      <c r="CQ204" s="104"/>
      <c r="CR204" s="104"/>
      <c r="CS204" s="104"/>
      <c r="CT204" s="104"/>
      <c r="CU204" s="104"/>
      <c r="CV204" s="104"/>
      <c r="CW204" s="104"/>
      <c r="CX204" s="104"/>
      <c r="CY204" s="104"/>
      <c r="CZ204" s="104"/>
      <c r="DA204" s="104"/>
      <c r="DB204" s="104"/>
      <c r="DC204" s="104"/>
      <c r="DD204" s="104"/>
      <c r="DE204" s="104"/>
      <c r="DF204" s="104"/>
      <c r="DG204" s="104"/>
      <c r="DH204" s="104"/>
      <c r="DI204" s="104"/>
      <c r="DJ204" s="104"/>
      <c r="DK204" s="104"/>
      <c r="DL204" s="104"/>
      <c r="DM204" s="104"/>
      <c r="DN204" s="104"/>
      <c r="DO204" s="104"/>
      <c r="DP204" s="104"/>
      <c r="DQ204" s="104"/>
      <c r="DR204" s="104"/>
      <c r="DS204" s="104"/>
      <c r="DT204" s="104"/>
      <c r="DU204" s="104"/>
      <c r="DV204" s="104"/>
      <c r="DW204" s="104"/>
      <c r="DX204" s="104"/>
      <c r="DY204" s="104"/>
      <c r="DZ204" s="104"/>
      <c r="EA204" s="104"/>
      <c r="EB204" s="104"/>
      <c r="EC204" s="104"/>
      <c r="ED204" s="104"/>
      <c r="EE204" s="104"/>
      <c r="EF204" s="104"/>
      <c r="EG204" s="104"/>
      <c r="EH204" s="104"/>
      <c r="EI204" s="104"/>
      <c r="EJ204" s="104"/>
      <c r="EK204" s="104"/>
      <c r="EL204" s="104"/>
      <c r="EM204" s="104"/>
      <c r="EN204" s="104"/>
      <c r="EO204" s="104"/>
      <c r="EP204" s="104"/>
      <c r="EQ204" s="104"/>
      <c r="ER204" s="104"/>
      <c r="ES204" s="104"/>
      <c r="ET204" s="104"/>
      <c r="EU204" s="104"/>
      <c r="EV204" s="104"/>
      <c r="EW204" s="104"/>
      <c r="EX204" s="104"/>
      <c r="EY204" s="104"/>
      <c r="EZ204" s="104"/>
      <c r="FA204" s="104"/>
      <c r="FB204" s="104"/>
      <c r="FC204" s="104"/>
      <c r="FD204" s="104"/>
      <c r="FE204" s="104"/>
      <c r="FF204" s="104"/>
      <c r="FG204" s="104"/>
      <c r="FH204" s="104"/>
      <c r="FI204" s="104"/>
      <c r="FJ204" s="104"/>
      <c r="FK204" s="104"/>
      <c r="FL204" s="104"/>
      <c r="FM204" s="104"/>
      <c r="FN204" s="104"/>
      <c r="FO204" s="104"/>
      <c r="FP204" s="104"/>
      <c r="FQ204" s="104"/>
      <c r="FR204" s="104"/>
      <c r="FS204" s="104"/>
      <c r="FT204" s="104"/>
      <c r="FU204" s="104"/>
      <c r="FV204" s="104"/>
      <c r="FW204" s="104"/>
      <c r="FX204" s="104"/>
      <c r="FY204" s="104"/>
      <c r="FZ204" s="104"/>
      <c r="GA204" s="104"/>
      <c r="GB204" s="104"/>
      <c r="GC204" s="104"/>
      <c r="GD204" s="104"/>
      <c r="GE204" s="104"/>
      <c r="GF204" s="104"/>
      <c r="GG204" s="104"/>
      <c r="GH204" s="104"/>
      <c r="GI204" s="104"/>
      <c r="GJ204" s="104"/>
      <c r="GK204" s="104"/>
      <c r="GL204" s="104"/>
      <c r="GM204" s="104"/>
      <c r="GN204" s="104"/>
      <c r="GO204" s="104"/>
      <c r="GP204" s="104"/>
      <c r="GQ204" s="104"/>
      <c r="GR204" s="104"/>
      <c r="GS204" s="104"/>
      <c r="GT204" s="104"/>
      <c r="GU204" s="104"/>
      <c r="GV204" s="104"/>
      <c r="GW204" s="104"/>
      <c r="GX204" s="104"/>
      <c r="GY204" s="104"/>
      <c r="GZ204" s="104"/>
      <c r="HA204" s="104"/>
      <c r="HB204" s="104"/>
      <c r="HC204" s="104"/>
      <c r="HD204" s="104"/>
      <c r="HE204" s="104"/>
      <c r="HF204" s="104"/>
      <c r="HG204" s="104"/>
      <c r="HH204" s="104"/>
      <c r="HI204" s="104"/>
      <c r="HJ204" s="104"/>
      <c r="HK204" s="104"/>
      <c r="HL204" s="104"/>
      <c r="HM204" s="104"/>
      <c r="HN204" s="104"/>
      <c r="HO204" s="104"/>
      <c r="HP204" s="104"/>
      <c r="HQ204" s="104"/>
      <c r="HR204" s="104"/>
      <c r="HS204" s="104"/>
      <c r="HT204" s="104"/>
      <c r="HU204" s="104"/>
      <c r="HV204" s="104"/>
      <c r="HW204" s="104"/>
      <c r="HX204" s="104"/>
      <c r="HY204" s="104"/>
      <c r="HZ204" s="104"/>
      <c r="IA204" s="104"/>
      <c r="IB204" s="104"/>
      <c r="IC204" s="104"/>
      <c r="ID204" s="104"/>
      <c r="IE204" s="104"/>
      <c r="IF204" s="104"/>
      <c r="IG204" s="104"/>
      <c r="IH204" s="104"/>
      <c r="II204" s="104"/>
      <c r="IJ204" s="104"/>
      <c r="IK204" s="104"/>
      <c r="IL204" s="104"/>
      <c r="IM204" s="104"/>
      <c r="IN204" s="104"/>
      <c r="IO204" s="104"/>
      <c r="IP204" s="104"/>
      <c r="IQ204" s="104"/>
      <c r="IR204" s="104"/>
      <c r="IS204" s="104"/>
      <c r="IT204" s="104"/>
      <c r="IU204" s="104"/>
      <c r="IV204" s="104"/>
      <c r="IW204" s="104"/>
      <c r="IX204" s="104"/>
      <c r="IY204" s="104"/>
      <c r="IZ204" s="104"/>
      <c r="JA204" s="104"/>
      <c r="JB204" s="104"/>
      <c r="JC204" s="104"/>
      <c r="JD204" s="104"/>
      <c r="JE204" s="104"/>
      <c r="JF204" s="104"/>
      <c r="JG204" s="104"/>
      <c r="JH204" s="104"/>
      <c r="JI204" s="104"/>
      <c r="JJ204" s="104"/>
      <c r="JK204" s="104"/>
      <c r="JL204" s="104"/>
      <c r="JM204" s="104"/>
      <c r="JN204" s="104"/>
      <c r="JO204" s="104"/>
      <c r="JP204" s="104"/>
      <c r="JQ204" s="104"/>
      <c r="JR204" s="104"/>
      <c r="JS204" s="104"/>
      <c r="JT204" s="104"/>
      <c r="JU204" s="104"/>
      <c r="JV204" s="104"/>
      <c r="JW204" s="104"/>
    </row>
    <row r="205" spans="2:283" s="86" customFormat="1" ht="29.25">
      <c r="B205" s="91" t="s">
        <v>44</v>
      </c>
      <c r="C205" s="92">
        <f>SUM(C207:C209)</f>
        <v>1</v>
      </c>
      <c r="D205" s="214"/>
      <c r="E205" s="93"/>
      <c r="F205" s="61"/>
      <c r="G205" s="61"/>
      <c r="H205" s="61"/>
      <c r="I205" s="61"/>
      <c r="J205" s="61"/>
      <c r="K205" s="61"/>
      <c r="L205" s="61"/>
      <c r="M205" s="94"/>
      <c r="N205" s="61"/>
      <c r="O205" s="61"/>
      <c r="P205" s="61"/>
      <c r="Q205" s="61"/>
      <c r="R205" s="61"/>
      <c r="S205" s="61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  <c r="IP205" s="104"/>
      <c r="IQ205" s="104"/>
      <c r="IR205" s="104"/>
      <c r="IS205" s="104"/>
      <c r="IT205" s="104"/>
      <c r="IU205" s="104"/>
      <c r="IV205" s="104"/>
      <c r="IW205" s="104"/>
      <c r="IX205" s="104"/>
      <c r="IY205" s="104"/>
      <c r="IZ205" s="104"/>
      <c r="JA205" s="104"/>
      <c r="JB205" s="104"/>
      <c r="JC205" s="104"/>
      <c r="JD205" s="104"/>
      <c r="JE205" s="104"/>
      <c r="JF205" s="104"/>
      <c r="JG205" s="104"/>
      <c r="JH205" s="104"/>
      <c r="JI205" s="104"/>
      <c r="JJ205" s="104"/>
      <c r="JK205" s="104"/>
      <c r="JL205" s="104"/>
      <c r="JM205" s="104"/>
      <c r="JN205" s="104"/>
      <c r="JO205" s="104"/>
      <c r="JP205" s="104"/>
      <c r="JQ205" s="104"/>
      <c r="JR205" s="104"/>
      <c r="JS205" s="104"/>
      <c r="JT205" s="104"/>
      <c r="JU205" s="104"/>
      <c r="JV205" s="104"/>
      <c r="JW205" s="104"/>
    </row>
    <row r="206" spans="2:283">
      <c r="B206" s="41"/>
      <c r="C206" s="27"/>
      <c r="D206" s="211"/>
      <c r="E206" s="33"/>
      <c r="F206" s="10"/>
      <c r="G206" s="43">
        <f>SUM(G207:G209)</f>
        <v>58849.46</v>
      </c>
      <c r="H206" s="80">
        <f>SUM(H209:H209)</f>
        <v>0</v>
      </c>
      <c r="I206" s="80">
        <f>SUM(I209:I209)</f>
        <v>9516.1299999999992</v>
      </c>
      <c r="J206" s="80">
        <f>SUM(J209:J209)</f>
        <v>5000</v>
      </c>
      <c r="K206" s="80">
        <f t="shared" ref="K206:R206" si="25">SUM(K207:K209)</f>
        <v>4333.33</v>
      </c>
      <c r="L206" s="80">
        <f t="shared" si="25"/>
        <v>5000</v>
      </c>
      <c r="M206" s="80">
        <f t="shared" si="25"/>
        <v>5000</v>
      </c>
      <c r="N206" s="80">
        <f t="shared" si="25"/>
        <v>5000</v>
      </c>
      <c r="O206" s="80">
        <f t="shared" si="25"/>
        <v>5000</v>
      </c>
      <c r="P206" s="80">
        <f t="shared" si="25"/>
        <v>5000</v>
      </c>
      <c r="Q206" s="80">
        <f t="shared" si="25"/>
        <v>5000</v>
      </c>
      <c r="R206" s="80">
        <f t="shared" si="25"/>
        <v>5000</v>
      </c>
      <c r="S206" s="80">
        <f>SUM(S207:S210)</f>
        <v>5000</v>
      </c>
      <c r="T206" s="78"/>
      <c r="BV206" s="104"/>
      <c r="BW206" s="104"/>
      <c r="BX206" s="104"/>
      <c r="BY206" s="104"/>
      <c r="BZ206" s="104"/>
      <c r="CA206" s="104"/>
      <c r="CB206" s="104"/>
      <c r="CC206" s="104"/>
      <c r="CD206" s="104"/>
      <c r="CE206" s="104"/>
      <c r="CF206" s="104"/>
      <c r="CG206" s="104"/>
      <c r="CH206" s="104"/>
      <c r="CI206" s="104"/>
      <c r="CJ206" s="104"/>
      <c r="CK206" s="104"/>
      <c r="CL206" s="104"/>
      <c r="CM206" s="104"/>
      <c r="CN206" s="104"/>
      <c r="CO206" s="104"/>
      <c r="CP206" s="104"/>
      <c r="CQ206" s="104"/>
      <c r="CR206" s="104"/>
      <c r="CS206" s="104"/>
      <c r="CT206" s="104"/>
      <c r="CU206" s="104"/>
      <c r="CV206" s="104"/>
      <c r="CW206" s="104"/>
      <c r="CX206" s="104"/>
      <c r="CY206" s="104"/>
      <c r="CZ206" s="104"/>
      <c r="DA206" s="104"/>
      <c r="DB206" s="104"/>
      <c r="DC206" s="104"/>
      <c r="DD206" s="104"/>
      <c r="DE206" s="104"/>
      <c r="DF206" s="104"/>
      <c r="DG206" s="104"/>
      <c r="DH206" s="104"/>
      <c r="DI206" s="104"/>
      <c r="DJ206" s="104"/>
      <c r="DK206" s="104"/>
      <c r="DL206" s="104"/>
      <c r="DM206" s="104"/>
      <c r="DN206" s="104"/>
      <c r="DO206" s="104"/>
      <c r="DP206" s="104"/>
      <c r="DQ206" s="104"/>
      <c r="DR206" s="104"/>
      <c r="DS206" s="104"/>
      <c r="DT206" s="104"/>
      <c r="DU206" s="104"/>
      <c r="DV206" s="104"/>
      <c r="DW206" s="104"/>
      <c r="DX206" s="104"/>
      <c r="DY206" s="104"/>
      <c r="DZ206" s="104"/>
      <c r="EA206" s="104"/>
      <c r="EB206" s="104"/>
      <c r="EC206" s="104"/>
      <c r="ED206" s="104"/>
      <c r="EE206" s="104"/>
      <c r="EF206" s="104"/>
      <c r="EG206" s="104"/>
      <c r="EH206" s="104"/>
      <c r="EI206" s="104"/>
      <c r="EJ206" s="104"/>
      <c r="EK206" s="104"/>
      <c r="EL206" s="104"/>
      <c r="EM206" s="104"/>
      <c r="EN206" s="104"/>
      <c r="EO206" s="104"/>
      <c r="EP206" s="104"/>
      <c r="EQ206" s="104"/>
      <c r="ER206" s="104"/>
      <c r="ES206" s="104"/>
      <c r="ET206" s="104"/>
      <c r="EU206" s="104"/>
      <c r="EV206" s="104"/>
      <c r="EW206" s="104"/>
      <c r="EX206" s="104"/>
      <c r="EY206" s="104"/>
      <c r="EZ206" s="104"/>
      <c r="FA206" s="104"/>
      <c r="FB206" s="104"/>
      <c r="FC206" s="104"/>
      <c r="FD206" s="104"/>
      <c r="FE206" s="104"/>
      <c r="FF206" s="104"/>
      <c r="FG206" s="104"/>
      <c r="FH206" s="104"/>
      <c r="FI206" s="104"/>
      <c r="FJ206" s="104"/>
      <c r="FK206" s="104"/>
      <c r="FL206" s="104"/>
      <c r="FM206" s="104"/>
      <c r="FN206" s="104"/>
      <c r="FO206" s="104"/>
      <c r="FP206" s="104"/>
      <c r="FQ206" s="104"/>
      <c r="FR206" s="104"/>
      <c r="FS206" s="104"/>
      <c r="FT206" s="104"/>
      <c r="FU206" s="104"/>
      <c r="FV206" s="104"/>
      <c r="FW206" s="104"/>
      <c r="FX206" s="104"/>
      <c r="FY206" s="104"/>
      <c r="FZ206" s="104"/>
      <c r="GA206" s="104"/>
      <c r="GB206" s="104"/>
      <c r="GC206" s="104"/>
      <c r="GD206" s="104"/>
      <c r="GE206" s="104"/>
      <c r="GF206" s="104"/>
      <c r="GG206" s="104"/>
      <c r="GH206" s="104"/>
      <c r="GI206" s="104"/>
      <c r="GJ206" s="104"/>
      <c r="GK206" s="104"/>
      <c r="GL206" s="104"/>
      <c r="GM206" s="104"/>
      <c r="GN206" s="104"/>
      <c r="GO206" s="104"/>
      <c r="GP206" s="104"/>
      <c r="GQ206" s="104"/>
      <c r="GR206" s="104"/>
      <c r="GS206" s="104"/>
      <c r="GT206" s="104"/>
      <c r="GU206" s="104"/>
      <c r="GV206" s="104"/>
      <c r="GW206" s="104"/>
      <c r="GX206" s="104"/>
      <c r="GY206" s="104"/>
      <c r="GZ206" s="104"/>
      <c r="HA206" s="104"/>
      <c r="HB206" s="104"/>
      <c r="HC206" s="104"/>
      <c r="HD206" s="104"/>
      <c r="HE206" s="104"/>
      <c r="HF206" s="104"/>
      <c r="HG206" s="104"/>
      <c r="HH206" s="104"/>
      <c r="HI206" s="104"/>
      <c r="HJ206" s="104"/>
      <c r="HK206" s="104"/>
      <c r="HL206" s="104"/>
      <c r="HM206" s="104"/>
      <c r="HN206" s="104"/>
      <c r="HO206" s="104"/>
      <c r="HP206" s="104"/>
      <c r="HQ206" s="104"/>
      <c r="HR206" s="104"/>
      <c r="HS206" s="104"/>
      <c r="HT206" s="104"/>
      <c r="HU206" s="104"/>
      <c r="HV206" s="104"/>
      <c r="HW206" s="104"/>
      <c r="HX206" s="104"/>
      <c r="HY206" s="104"/>
      <c r="HZ206" s="104"/>
      <c r="IA206" s="104"/>
      <c r="IB206" s="104"/>
      <c r="IC206" s="104"/>
      <c r="ID206" s="104"/>
      <c r="IE206" s="104"/>
      <c r="IF206" s="104"/>
      <c r="IG206" s="104"/>
      <c r="IH206" s="104"/>
      <c r="II206" s="104"/>
      <c r="IJ206" s="104"/>
      <c r="IK206" s="104"/>
      <c r="IL206" s="104"/>
      <c r="IM206" s="104"/>
      <c r="IN206" s="104"/>
      <c r="IO206" s="104"/>
      <c r="IP206" s="104"/>
      <c r="IQ206" s="104"/>
      <c r="IR206" s="104"/>
      <c r="IS206" s="104"/>
      <c r="IT206" s="104"/>
      <c r="IU206" s="104"/>
      <c r="IV206" s="104"/>
      <c r="IW206" s="104"/>
      <c r="IX206" s="104"/>
      <c r="IY206" s="104"/>
      <c r="IZ206" s="104"/>
      <c r="JA206" s="104"/>
      <c r="JB206" s="104"/>
      <c r="JC206" s="104"/>
      <c r="JD206" s="104"/>
      <c r="JE206" s="104"/>
      <c r="JF206" s="104"/>
      <c r="JG206" s="104"/>
      <c r="JH206" s="104"/>
      <c r="JI206" s="104"/>
      <c r="JJ206" s="104"/>
      <c r="JK206" s="104"/>
      <c r="JL206" s="104"/>
      <c r="JM206" s="104"/>
      <c r="JN206" s="104"/>
      <c r="JO206" s="104"/>
      <c r="JP206" s="104"/>
      <c r="JQ206" s="104"/>
      <c r="JR206" s="104"/>
      <c r="JS206" s="104"/>
      <c r="JT206" s="104"/>
      <c r="JU206" s="104"/>
      <c r="JV206" s="104"/>
      <c r="JW206" s="104"/>
    </row>
    <row r="207" spans="2:283" s="104" customFormat="1" ht="14.25" customHeight="1">
      <c r="B207" s="66"/>
      <c r="C207" s="23">
        <v>0</v>
      </c>
      <c r="D207" s="178" t="s">
        <v>86</v>
      </c>
      <c r="E207" s="44" t="s">
        <v>30</v>
      </c>
      <c r="F207" s="25">
        <v>5000</v>
      </c>
      <c r="G207" s="26">
        <f>SUM(H207:S207)</f>
        <v>14333.33</v>
      </c>
      <c r="H207" s="45">
        <v>0</v>
      </c>
      <c r="I207" s="45">
        <v>0</v>
      </c>
      <c r="J207" s="45">
        <v>0</v>
      </c>
      <c r="K207" s="26">
        <v>4333.33</v>
      </c>
      <c r="L207" s="26">
        <v>5000</v>
      </c>
      <c r="M207" s="26">
        <v>5000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</row>
    <row r="208" spans="2:283" s="104" customFormat="1" ht="14.25" customHeight="1">
      <c r="B208" s="66"/>
      <c r="C208" s="23">
        <v>1</v>
      </c>
      <c r="D208" s="178" t="s">
        <v>108</v>
      </c>
      <c r="E208" s="44" t="s">
        <v>30</v>
      </c>
      <c r="F208" s="25">
        <v>5000</v>
      </c>
      <c r="G208" s="26">
        <f>SUM(H208:S208)</f>
        <v>30000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45">
        <v>5000</v>
      </c>
      <c r="O208" s="45">
        <v>5000</v>
      </c>
      <c r="P208" s="45">
        <v>5000</v>
      </c>
      <c r="Q208" s="45">
        <v>5000</v>
      </c>
      <c r="R208" s="45">
        <v>5000</v>
      </c>
      <c r="S208" s="45">
        <v>5000</v>
      </c>
    </row>
    <row r="209" spans="2:341" ht="14.25" customHeight="1">
      <c r="B209" s="17"/>
      <c r="C209" s="23">
        <v>0</v>
      </c>
      <c r="D209" s="178" t="s">
        <v>28</v>
      </c>
      <c r="E209" s="44" t="s">
        <v>30</v>
      </c>
      <c r="F209" s="25">
        <v>5000</v>
      </c>
      <c r="G209" s="26">
        <f>SUM(H209:S209)</f>
        <v>14516.13</v>
      </c>
      <c r="H209" s="21">
        <v>0</v>
      </c>
      <c r="I209" s="45">
        <f>F209*1+4516.13</f>
        <v>9516.1299999999992</v>
      </c>
      <c r="J209" s="21">
        <v>5000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  <c r="IP209" s="104"/>
      <c r="IQ209" s="104"/>
      <c r="IR209" s="104"/>
      <c r="IS209" s="104"/>
      <c r="IT209" s="104"/>
      <c r="IU209" s="104"/>
      <c r="IV209" s="104"/>
      <c r="IW209" s="104"/>
      <c r="IX209" s="104"/>
      <c r="IY209" s="104"/>
      <c r="IZ209" s="104"/>
      <c r="JA209" s="104"/>
      <c r="JB209" s="104"/>
      <c r="JC209" s="104"/>
      <c r="JD209" s="104"/>
      <c r="JE209" s="104"/>
      <c r="JF209" s="104"/>
      <c r="JG209" s="104"/>
      <c r="JH209" s="104"/>
      <c r="JI209" s="104"/>
      <c r="JJ209" s="104"/>
      <c r="JK209" s="104"/>
      <c r="JL209" s="104"/>
      <c r="JM209" s="104"/>
      <c r="JN209" s="104"/>
      <c r="JO209" s="104"/>
      <c r="JP209" s="104"/>
      <c r="JQ209" s="104"/>
      <c r="JR209" s="104"/>
      <c r="JS209" s="104"/>
      <c r="JT209" s="104"/>
      <c r="JU209" s="104"/>
      <c r="JV209" s="104"/>
      <c r="JW209" s="104"/>
    </row>
    <row r="210" spans="2:341">
      <c r="B210" s="47"/>
      <c r="C210" s="48"/>
      <c r="D210" s="215"/>
      <c r="E210" s="289" t="s">
        <v>24</v>
      </c>
      <c r="F210" s="290"/>
      <c r="G210" s="49">
        <f>29520-SUM(G207:G209)-500+29835</f>
        <v>5.54</v>
      </c>
      <c r="H210" s="49"/>
      <c r="I210" s="49"/>
      <c r="J210" s="49"/>
      <c r="K210" s="49"/>
      <c r="L210" s="49"/>
      <c r="M210" s="51"/>
      <c r="N210" s="49"/>
      <c r="O210" s="49"/>
      <c r="P210" s="49"/>
      <c r="Q210" s="49"/>
      <c r="R210" s="49"/>
      <c r="S210" s="49"/>
      <c r="BV210" s="104"/>
      <c r="BW210" s="104"/>
      <c r="BX210" s="104"/>
      <c r="BY210" s="104"/>
      <c r="BZ210" s="104"/>
      <c r="CA210" s="104"/>
      <c r="CB210" s="104"/>
      <c r="CC210" s="104"/>
      <c r="CD210" s="104"/>
      <c r="CE210" s="104"/>
      <c r="CF210" s="104"/>
      <c r="CG210" s="104"/>
      <c r="CH210" s="104"/>
      <c r="CI210" s="104"/>
      <c r="CJ210" s="104"/>
      <c r="CK210" s="104"/>
      <c r="CL210" s="104"/>
      <c r="CM210" s="104"/>
      <c r="CN210" s="104"/>
      <c r="CO210" s="104"/>
      <c r="CP210" s="104"/>
      <c r="CQ210" s="104"/>
      <c r="CR210" s="104"/>
      <c r="CS210" s="104"/>
      <c r="CT210" s="104"/>
      <c r="CU210" s="104"/>
      <c r="CV210" s="104"/>
      <c r="CW210" s="104"/>
      <c r="CX210" s="104"/>
      <c r="CY210" s="104"/>
      <c r="CZ210" s="104"/>
      <c r="DA210" s="104"/>
      <c r="DB210" s="104"/>
      <c r="DC210" s="104"/>
      <c r="DD210" s="104"/>
      <c r="DE210" s="104"/>
      <c r="DF210" s="104"/>
      <c r="DG210" s="104"/>
      <c r="DH210" s="104"/>
      <c r="DI210" s="104"/>
      <c r="DJ210" s="104"/>
      <c r="DK210" s="104"/>
      <c r="DL210" s="104"/>
      <c r="DM210" s="104"/>
      <c r="DN210" s="104"/>
      <c r="DO210" s="104"/>
      <c r="DP210" s="104"/>
      <c r="DQ210" s="104"/>
      <c r="DR210" s="104"/>
      <c r="DS210" s="104"/>
      <c r="DT210" s="104"/>
      <c r="DU210" s="104"/>
      <c r="DV210" s="104"/>
      <c r="DW210" s="104"/>
      <c r="DX210" s="104"/>
      <c r="DY210" s="104"/>
      <c r="DZ210" s="104"/>
      <c r="EA210" s="104"/>
      <c r="EB210" s="104"/>
      <c r="EC210" s="104"/>
      <c r="ED210" s="104"/>
      <c r="EE210" s="104"/>
      <c r="EF210" s="104"/>
      <c r="EG210" s="104"/>
      <c r="EH210" s="104"/>
      <c r="EI210" s="104"/>
      <c r="EJ210" s="104"/>
      <c r="EK210" s="104"/>
      <c r="EL210" s="104"/>
      <c r="EM210" s="104"/>
      <c r="EN210" s="104"/>
      <c r="EO210" s="104"/>
      <c r="EP210" s="104"/>
      <c r="EQ210" s="104"/>
      <c r="ER210" s="104"/>
      <c r="ES210" s="104"/>
      <c r="ET210" s="104"/>
      <c r="EU210" s="104"/>
      <c r="EV210" s="104"/>
      <c r="EW210" s="104"/>
      <c r="EX210" s="104"/>
      <c r="EY210" s="104"/>
      <c r="EZ210" s="104"/>
      <c r="FA210" s="104"/>
      <c r="FB210" s="104"/>
      <c r="FC210" s="104"/>
      <c r="FD210" s="104"/>
      <c r="FE210" s="104"/>
      <c r="FF210" s="104"/>
      <c r="FG210" s="104"/>
      <c r="FH210" s="104"/>
      <c r="FI210" s="104"/>
      <c r="FJ210" s="104"/>
      <c r="FK210" s="104"/>
      <c r="FL210" s="104"/>
      <c r="FM210" s="104"/>
      <c r="FN210" s="104"/>
      <c r="FO210" s="104"/>
      <c r="FP210" s="104"/>
      <c r="FQ210" s="104"/>
      <c r="FR210" s="104"/>
      <c r="FS210" s="104"/>
      <c r="FT210" s="104"/>
      <c r="FU210" s="104"/>
      <c r="FV210" s="104"/>
      <c r="FW210" s="104"/>
      <c r="FX210" s="104"/>
      <c r="FY210" s="104"/>
      <c r="FZ210" s="104"/>
      <c r="GA210" s="104"/>
      <c r="GB210" s="104"/>
      <c r="GC210" s="104"/>
      <c r="GD210" s="104"/>
      <c r="GE210" s="104"/>
      <c r="GF210" s="104"/>
      <c r="GG210" s="104"/>
      <c r="GH210" s="104"/>
      <c r="GI210" s="104"/>
      <c r="GJ210" s="104"/>
      <c r="GK210" s="104"/>
      <c r="GL210" s="104"/>
      <c r="GM210" s="104"/>
      <c r="GN210" s="104"/>
      <c r="GO210" s="104"/>
      <c r="GP210" s="104"/>
      <c r="GQ210" s="104"/>
      <c r="GR210" s="104"/>
      <c r="GS210" s="104"/>
      <c r="GT210" s="104"/>
      <c r="GU210" s="104"/>
      <c r="GV210" s="104"/>
      <c r="GW210" s="104"/>
      <c r="GX210" s="104"/>
      <c r="GY210" s="104"/>
      <c r="GZ210" s="104"/>
      <c r="HA210" s="104"/>
      <c r="HB210" s="104"/>
      <c r="HC210" s="104"/>
      <c r="HD210" s="104"/>
      <c r="HE210" s="104"/>
      <c r="HF210" s="104"/>
      <c r="HG210" s="104"/>
      <c r="HH210" s="104"/>
      <c r="HI210" s="104"/>
      <c r="HJ210" s="104"/>
      <c r="HK210" s="104"/>
      <c r="HL210" s="104"/>
      <c r="HM210" s="104"/>
      <c r="HN210" s="104"/>
      <c r="HO210" s="104"/>
      <c r="HP210" s="104"/>
      <c r="HQ210" s="104"/>
      <c r="HR210" s="104"/>
      <c r="HS210" s="104"/>
      <c r="HT210" s="104"/>
      <c r="HU210" s="104"/>
      <c r="HV210" s="104"/>
      <c r="HW210" s="104"/>
      <c r="HX210" s="104"/>
      <c r="HY210" s="104"/>
      <c r="HZ210" s="104"/>
      <c r="IA210" s="104"/>
      <c r="IB210" s="104"/>
      <c r="IC210" s="104"/>
      <c r="ID210" s="104"/>
      <c r="IE210" s="104"/>
      <c r="IF210" s="104"/>
      <c r="IG210" s="104"/>
      <c r="IH210" s="104"/>
      <c r="II210" s="104"/>
      <c r="IJ210" s="104"/>
      <c r="IK210" s="104"/>
      <c r="IL210" s="104"/>
      <c r="IM210" s="104"/>
      <c r="IN210" s="104"/>
      <c r="IO210" s="104"/>
      <c r="IP210" s="104"/>
      <c r="IQ210" s="104"/>
      <c r="IR210" s="104"/>
      <c r="IS210" s="104"/>
      <c r="IT210" s="104"/>
      <c r="IU210" s="104"/>
      <c r="IV210" s="104"/>
      <c r="IW210" s="104"/>
      <c r="IX210" s="104"/>
      <c r="IY210" s="104"/>
      <c r="IZ210" s="104"/>
      <c r="JA210" s="104"/>
      <c r="JB210" s="104"/>
      <c r="JC210" s="104"/>
      <c r="JD210" s="104"/>
      <c r="JE210" s="104"/>
      <c r="JF210" s="104"/>
      <c r="JG210" s="104"/>
      <c r="JH210" s="104"/>
      <c r="JI210" s="104"/>
      <c r="JJ210" s="104"/>
      <c r="JK210" s="104"/>
      <c r="JL210" s="104"/>
      <c r="JM210" s="104"/>
      <c r="JN210" s="104"/>
      <c r="JO210" s="104"/>
      <c r="JP210" s="104"/>
      <c r="JQ210" s="104"/>
      <c r="JR210" s="104"/>
      <c r="JS210" s="104"/>
      <c r="JT210" s="104"/>
      <c r="JU210" s="104"/>
      <c r="JV210" s="104"/>
      <c r="JW210" s="104"/>
    </row>
    <row r="211" spans="2:341" s="86" customFormat="1" ht="29.25">
      <c r="B211" s="91" t="s">
        <v>45</v>
      </c>
      <c r="C211" s="92">
        <f>SUM(C213:C218)</f>
        <v>2</v>
      </c>
      <c r="D211" s="214"/>
      <c r="E211" s="93"/>
      <c r="F211" s="61"/>
      <c r="G211" s="61"/>
      <c r="H211" s="61"/>
      <c r="I211" s="61"/>
      <c r="J211" s="61"/>
      <c r="K211" s="61"/>
      <c r="L211" s="61"/>
      <c r="M211" s="94"/>
      <c r="N211" s="61"/>
      <c r="O211" s="61"/>
      <c r="P211" s="61"/>
      <c r="Q211" s="61"/>
      <c r="R211" s="61"/>
      <c r="S211" s="61"/>
      <c r="BV211" s="104"/>
      <c r="BW211" s="104"/>
      <c r="BX211" s="104"/>
      <c r="BY211" s="104"/>
      <c r="BZ211" s="104"/>
      <c r="CA211" s="104"/>
      <c r="CB211" s="104"/>
      <c r="CC211" s="104"/>
      <c r="CD211" s="104"/>
      <c r="CE211" s="104"/>
      <c r="CF211" s="104"/>
      <c r="CG211" s="104"/>
      <c r="CH211" s="104"/>
      <c r="CI211" s="104"/>
      <c r="CJ211" s="104"/>
      <c r="CK211" s="104"/>
      <c r="CL211" s="104"/>
      <c r="CM211" s="104"/>
      <c r="CN211" s="104"/>
      <c r="CO211" s="104"/>
      <c r="CP211" s="104"/>
      <c r="CQ211" s="104"/>
      <c r="CR211" s="104"/>
      <c r="CS211" s="104"/>
      <c r="CT211" s="104"/>
      <c r="CU211" s="104"/>
      <c r="CV211" s="104"/>
      <c r="CW211" s="104"/>
      <c r="CX211" s="104"/>
      <c r="CY211" s="104"/>
      <c r="CZ211" s="104"/>
      <c r="DA211" s="104"/>
      <c r="DB211" s="104"/>
      <c r="DC211" s="104"/>
      <c r="DD211" s="104"/>
      <c r="DE211" s="104"/>
      <c r="DF211" s="104"/>
      <c r="DG211" s="104"/>
      <c r="DH211" s="104"/>
      <c r="DI211" s="104"/>
      <c r="DJ211" s="104"/>
      <c r="DK211" s="104"/>
      <c r="DL211" s="104"/>
      <c r="DM211" s="104"/>
      <c r="DN211" s="104"/>
      <c r="DO211" s="104"/>
      <c r="DP211" s="104"/>
      <c r="DQ211" s="104"/>
      <c r="DR211" s="104"/>
      <c r="DS211" s="104"/>
      <c r="DT211" s="104"/>
      <c r="DU211" s="104"/>
      <c r="DV211" s="104"/>
      <c r="DW211" s="104"/>
      <c r="DX211" s="104"/>
      <c r="DY211" s="104"/>
      <c r="DZ211" s="104"/>
      <c r="EA211" s="104"/>
      <c r="EB211" s="104"/>
      <c r="EC211" s="104"/>
      <c r="ED211" s="104"/>
      <c r="EE211" s="104"/>
      <c r="EF211" s="104"/>
      <c r="EG211" s="104"/>
      <c r="EH211" s="104"/>
      <c r="EI211" s="104"/>
      <c r="EJ211" s="104"/>
      <c r="EK211" s="104"/>
      <c r="EL211" s="104"/>
      <c r="EM211" s="104"/>
      <c r="EN211" s="104"/>
      <c r="EO211" s="104"/>
      <c r="EP211" s="104"/>
      <c r="EQ211" s="104"/>
      <c r="ER211" s="104"/>
      <c r="ES211" s="104"/>
      <c r="ET211" s="104"/>
      <c r="EU211" s="104"/>
      <c r="EV211" s="104"/>
      <c r="EW211" s="104"/>
      <c r="EX211" s="104"/>
      <c r="EY211" s="104"/>
      <c r="EZ211" s="104"/>
      <c r="FA211" s="104"/>
      <c r="FB211" s="104"/>
      <c r="FC211" s="104"/>
      <c r="FD211" s="104"/>
      <c r="FE211" s="104"/>
      <c r="FF211" s="104"/>
      <c r="FG211" s="104"/>
      <c r="FH211" s="104"/>
      <c r="FI211" s="104"/>
      <c r="FJ211" s="104"/>
      <c r="FK211" s="104"/>
      <c r="FL211" s="104"/>
      <c r="FM211" s="104"/>
      <c r="FN211" s="104"/>
      <c r="FO211" s="104"/>
      <c r="FP211" s="104"/>
      <c r="FQ211" s="104"/>
      <c r="FR211" s="104"/>
      <c r="FS211" s="104"/>
      <c r="FT211" s="104"/>
      <c r="FU211" s="104"/>
      <c r="FV211" s="104"/>
      <c r="FW211" s="104"/>
      <c r="FX211" s="104"/>
      <c r="FY211" s="104"/>
      <c r="FZ211" s="104"/>
      <c r="GA211" s="104"/>
      <c r="GB211" s="104"/>
      <c r="GC211" s="104"/>
      <c r="GD211" s="104"/>
      <c r="GE211" s="104"/>
      <c r="GF211" s="104"/>
      <c r="GG211" s="104"/>
      <c r="GH211" s="104"/>
      <c r="GI211" s="104"/>
      <c r="GJ211" s="104"/>
      <c r="GK211" s="104"/>
      <c r="GL211" s="104"/>
      <c r="GM211" s="104"/>
      <c r="GN211" s="104"/>
      <c r="GO211" s="104"/>
      <c r="GP211" s="104"/>
      <c r="GQ211" s="104"/>
      <c r="GR211" s="104"/>
      <c r="GS211" s="104"/>
      <c r="GT211" s="104"/>
      <c r="GU211" s="104"/>
      <c r="GV211" s="104"/>
      <c r="GW211" s="104"/>
      <c r="GX211" s="104"/>
      <c r="GY211" s="104"/>
      <c r="GZ211" s="104"/>
      <c r="HA211" s="104"/>
      <c r="HB211" s="104"/>
      <c r="HC211" s="104"/>
      <c r="HD211" s="104"/>
      <c r="HE211" s="104"/>
      <c r="HF211" s="104"/>
      <c r="HG211" s="104"/>
      <c r="HH211" s="104"/>
      <c r="HI211" s="104"/>
      <c r="HJ211" s="104"/>
      <c r="HK211" s="104"/>
      <c r="HL211" s="104"/>
      <c r="HM211" s="104"/>
      <c r="HN211" s="104"/>
      <c r="HO211" s="104"/>
      <c r="HP211" s="104"/>
      <c r="HQ211" s="104"/>
      <c r="HR211" s="104"/>
      <c r="HS211" s="104"/>
      <c r="HT211" s="104"/>
      <c r="HU211" s="104"/>
      <c r="HV211" s="104"/>
      <c r="HW211" s="104"/>
      <c r="HX211" s="104"/>
      <c r="HY211" s="104"/>
      <c r="HZ211" s="104"/>
      <c r="IA211" s="104"/>
      <c r="IB211" s="104"/>
      <c r="IC211" s="104"/>
      <c r="ID211" s="104"/>
      <c r="IE211" s="104"/>
      <c r="IF211" s="104"/>
      <c r="IG211" s="104"/>
      <c r="IH211" s="104"/>
      <c r="II211" s="104"/>
      <c r="IJ211" s="104"/>
      <c r="IK211" s="104"/>
      <c r="IL211" s="104"/>
      <c r="IM211" s="104"/>
      <c r="IN211" s="104"/>
      <c r="IO211" s="104"/>
      <c r="IP211" s="104"/>
      <c r="IQ211" s="104"/>
      <c r="IR211" s="104"/>
      <c r="IS211" s="104"/>
      <c r="IT211" s="104"/>
      <c r="IU211" s="104"/>
      <c r="IV211" s="104"/>
      <c r="IW211" s="104"/>
      <c r="IX211" s="104"/>
      <c r="IY211" s="104"/>
      <c r="IZ211" s="104"/>
      <c r="JA211" s="104"/>
      <c r="JB211" s="104"/>
      <c r="JC211" s="104"/>
      <c r="JD211" s="104"/>
      <c r="JE211" s="104"/>
      <c r="JF211" s="104"/>
      <c r="JG211" s="104"/>
      <c r="JH211" s="104"/>
      <c r="JI211" s="104"/>
      <c r="JJ211" s="104"/>
      <c r="JK211" s="104"/>
      <c r="JL211" s="104"/>
      <c r="JM211" s="104"/>
      <c r="JN211" s="104"/>
      <c r="JO211" s="104"/>
      <c r="JP211" s="104"/>
      <c r="JQ211" s="104"/>
      <c r="JR211" s="104"/>
      <c r="JS211" s="104"/>
      <c r="JT211" s="104"/>
      <c r="JU211" s="104"/>
      <c r="JV211" s="104"/>
      <c r="JW211" s="104"/>
    </row>
    <row r="212" spans="2:341">
      <c r="B212" s="41"/>
      <c r="C212" s="27"/>
      <c r="D212" s="211"/>
      <c r="E212" s="33"/>
      <c r="F212" s="10"/>
      <c r="G212" s="43">
        <f>SUM(G213:G218)</f>
        <v>129468.81</v>
      </c>
      <c r="H212" s="80">
        <f>SUM(H213:H213)</f>
        <v>0</v>
      </c>
      <c r="I212" s="80">
        <f>SUM(I213:I219)</f>
        <v>20935.48</v>
      </c>
      <c r="J212" s="80">
        <f t="shared" ref="J212:S212" si="26">SUM(J213:J219)</f>
        <v>11000</v>
      </c>
      <c r="K212" s="80">
        <f>SUM(K214:K217)</f>
        <v>9533.33</v>
      </c>
      <c r="L212" s="80">
        <f t="shared" si="26"/>
        <v>11000</v>
      </c>
      <c r="M212" s="80">
        <f t="shared" si="26"/>
        <v>11000</v>
      </c>
      <c r="N212" s="80">
        <f t="shared" si="26"/>
        <v>11000</v>
      </c>
      <c r="O212" s="80">
        <f t="shared" si="26"/>
        <v>11000</v>
      </c>
      <c r="P212" s="80">
        <f t="shared" si="26"/>
        <v>11000</v>
      </c>
      <c r="Q212" s="80">
        <f t="shared" si="26"/>
        <v>11000</v>
      </c>
      <c r="R212" s="80">
        <f t="shared" si="26"/>
        <v>11000</v>
      </c>
      <c r="S212" s="80">
        <f t="shared" si="26"/>
        <v>11000</v>
      </c>
      <c r="T212" s="78"/>
      <c r="BV212" s="104"/>
      <c r="BW212" s="104"/>
      <c r="BX212" s="104"/>
      <c r="BY212" s="104"/>
      <c r="BZ212" s="104"/>
      <c r="CA212" s="104"/>
      <c r="CB212" s="104"/>
      <c r="CC212" s="104"/>
      <c r="CD212" s="104"/>
      <c r="CE212" s="104"/>
      <c r="CF212" s="104"/>
      <c r="CG212" s="104"/>
      <c r="CH212" s="104"/>
      <c r="CI212" s="104"/>
      <c r="CJ212" s="104"/>
      <c r="CK212" s="104"/>
      <c r="CL212" s="104"/>
      <c r="CM212" s="104"/>
      <c r="CN212" s="104"/>
      <c r="CO212" s="104"/>
      <c r="CP212" s="104"/>
      <c r="CQ212" s="104"/>
      <c r="CR212" s="104"/>
      <c r="CS212" s="104"/>
      <c r="CT212" s="104"/>
      <c r="CU212" s="104"/>
      <c r="CV212" s="104"/>
      <c r="CW212" s="104"/>
      <c r="CX212" s="104"/>
      <c r="CY212" s="104"/>
      <c r="CZ212" s="104"/>
      <c r="DA212" s="104"/>
      <c r="DB212" s="104"/>
      <c r="DC212" s="104"/>
      <c r="DD212" s="104"/>
      <c r="DE212" s="104"/>
      <c r="DF212" s="104"/>
      <c r="DG212" s="104"/>
      <c r="DH212" s="104"/>
      <c r="DI212" s="104"/>
      <c r="DJ212" s="104"/>
      <c r="DK212" s="104"/>
      <c r="DL212" s="104"/>
      <c r="DM212" s="104"/>
      <c r="DN212" s="104"/>
      <c r="DO212" s="104"/>
      <c r="DP212" s="104"/>
      <c r="DQ212" s="104"/>
      <c r="DR212" s="104"/>
      <c r="DS212" s="104"/>
      <c r="DT212" s="104"/>
      <c r="DU212" s="104"/>
      <c r="DV212" s="104"/>
      <c r="DW212" s="104"/>
      <c r="DX212" s="104"/>
      <c r="DY212" s="104"/>
      <c r="DZ212" s="104"/>
      <c r="EA212" s="104"/>
      <c r="EB212" s="104"/>
      <c r="EC212" s="104"/>
      <c r="ED212" s="104"/>
      <c r="EE212" s="104"/>
      <c r="EF212" s="104"/>
      <c r="EG212" s="104"/>
      <c r="EH212" s="104"/>
      <c r="EI212" s="104"/>
      <c r="EJ212" s="104"/>
      <c r="EK212" s="104"/>
      <c r="EL212" s="104"/>
      <c r="EM212" s="104"/>
      <c r="EN212" s="104"/>
      <c r="EO212" s="104"/>
      <c r="EP212" s="104"/>
      <c r="EQ212" s="104"/>
      <c r="ER212" s="104"/>
      <c r="ES212" s="104"/>
      <c r="ET212" s="104"/>
      <c r="EU212" s="104"/>
      <c r="EV212" s="104"/>
      <c r="EW212" s="104"/>
      <c r="EX212" s="104"/>
      <c r="EY212" s="104"/>
      <c r="EZ212" s="104"/>
      <c r="FA212" s="104"/>
      <c r="FB212" s="104"/>
      <c r="FC212" s="104"/>
      <c r="FD212" s="104"/>
      <c r="FE212" s="104"/>
      <c r="FF212" s="104"/>
      <c r="FG212" s="104"/>
      <c r="FH212" s="104"/>
      <c r="FI212" s="104"/>
      <c r="FJ212" s="104"/>
      <c r="FK212" s="104"/>
      <c r="FL212" s="104"/>
      <c r="FM212" s="104"/>
      <c r="FN212" s="104"/>
      <c r="FO212" s="104"/>
      <c r="FP212" s="104"/>
      <c r="FQ212" s="104"/>
      <c r="FR212" s="104"/>
      <c r="FS212" s="104"/>
      <c r="FT212" s="104"/>
      <c r="FU212" s="104"/>
      <c r="FV212" s="104"/>
      <c r="FW212" s="104"/>
      <c r="FX212" s="104"/>
      <c r="FY212" s="104"/>
      <c r="FZ212" s="104"/>
      <c r="GA212" s="104"/>
      <c r="GB212" s="104"/>
      <c r="GC212" s="104"/>
      <c r="GD212" s="104"/>
      <c r="GE212" s="104"/>
      <c r="GF212" s="104"/>
      <c r="GG212" s="104"/>
      <c r="GH212" s="104"/>
      <c r="GI212" s="104"/>
      <c r="GJ212" s="104"/>
      <c r="GK212" s="104"/>
      <c r="GL212" s="104"/>
      <c r="GM212" s="104"/>
      <c r="GN212" s="104"/>
      <c r="GO212" s="104"/>
      <c r="GP212" s="104"/>
      <c r="GQ212" s="104"/>
      <c r="GR212" s="104"/>
      <c r="GS212" s="104"/>
      <c r="GT212" s="104"/>
      <c r="GU212" s="104"/>
      <c r="GV212" s="104"/>
      <c r="GW212" s="104"/>
      <c r="GX212" s="104"/>
      <c r="GY212" s="104"/>
      <c r="GZ212" s="104"/>
      <c r="HA212" s="104"/>
      <c r="HB212" s="104"/>
      <c r="HC212" s="104"/>
      <c r="HD212" s="104"/>
      <c r="HE212" s="104"/>
      <c r="HF212" s="104"/>
      <c r="HG212" s="104"/>
      <c r="HH212" s="104"/>
      <c r="HI212" s="104"/>
      <c r="HJ212" s="104"/>
      <c r="HK212" s="104"/>
      <c r="HL212" s="104"/>
      <c r="HM212" s="104"/>
      <c r="HN212" s="104"/>
      <c r="HO212" s="104"/>
      <c r="HP212" s="104"/>
      <c r="HQ212" s="104"/>
      <c r="HR212" s="104"/>
      <c r="HS212" s="104"/>
      <c r="HT212" s="104"/>
      <c r="HU212" s="104"/>
      <c r="HV212" s="104"/>
      <c r="HW212" s="104"/>
      <c r="HX212" s="104"/>
      <c r="HY212" s="104"/>
      <c r="HZ212" s="104"/>
      <c r="IA212" s="104"/>
      <c r="IB212" s="104"/>
      <c r="IC212" s="104"/>
      <c r="ID212" s="104"/>
      <c r="IE212" s="104"/>
      <c r="IF212" s="104"/>
      <c r="IG212" s="104"/>
      <c r="IH212" s="104"/>
      <c r="II212" s="104"/>
      <c r="IJ212" s="104"/>
      <c r="IK212" s="104"/>
      <c r="IL212" s="104"/>
      <c r="IM212" s="104"/>
      <c r="IN212" s="104"/>
      <c r="IO212" s="104"/>
      <c r="IP212" s="104"/>
      <c r="IQ212" s="104"/>
      <c r="IR212" s="104"/>
      <c r="IS212" s="104"/>
      <c r="IT212" s="104"/>
      <c r="IU212" s="104"/>
      <c r="IV212" s="104"/>
      <c r="IW212" s="104"/>
      <c r="IX212" s="104"/>
      <c r="IY212" s="104"/>
      <c r="IZ212" s="104"/>
      <c r="JA212" s="104"/>
      <c r="JB212" s="104"/>
      <c r="JC212" s="104"/>
      <c r="JD212" s="104"/>
      <c r="JE212" s="104"/>
      <c r="JF212" s="104"/>
      <c r="JG212" s="104"/>
      <c r="JH212" s="104"/>
      <c r="JI212" s="104"/>
      <c r="JJ212" s="104"/>
      <c r="JK212" s="104"/>
      <c r="JL212" s="104"/>
      <c r="JM212" s="104"/>
      <c r="JN212" s="104"/>
      <c r="JO212" s="104"/>
      <c r="JP212" s="104"/>
      <c r="JQ212" s="104"/>
      <c r="JR212" s="104"/>
      <c r="JS212" s="104"/>
      <c r="JT212" s="104"/>
      <c r="JU212" s="104"/>
      <c r="JV212" s="104"/>
      <c r="JW212" s="104"/>
    </row>
    <row r="213" spans="2:341" ht="15" customHeight="1">
      <c r="B213" s="17"/>
      <c r="C213" s="23">
        <v>0</v>
      </c>
      <c r="D213" s="178" t="s">
        <v>28</v>
      </c>
      <c r="E213" s="44" t="s">
        <v>39</v>
      </c>
      <c r="F213" s="25">
        <v>5000</v>
      </c>
      <c r="G213" s="26">
        <f t="shared" ref="G213:G218" si="27">SUM(H213:S213)</f>
        <v>14516.13</v>
      </c>
      <c r="H213" s="21">
        <v>0</v>
      </c>
      <c r="I213" s="45">
        <f>F213*1+4516.13</f>
        <v>9516.1299999999992</v>
      </c>
      <c r="J213" s="21">
        <v>5000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BV213" s="104"/>
      <c r="BW213" s="104"/>
      <c r="BX213" s="104"/>
      <c r="BY213" s="104"/>
      <c r="BZ213" s="104"/>
      <c r="CA213" s="104"/>
      <c r="CB213" s="104"/>
      <c r="CC213" s="104"/>
      <c r="CD213" s="104"/>
      <c r="CE213" s="104"/>
      <c r="CF213" s="104"/>
      <c r="CG213" s="104"/>
      <c r="CH213" s="104"/>
      <c r="CI213" s="104"/>
      <c r="CJ213" s="104"/>
      <c r="CK213" s="104"/>
      <c r="CL213" s="104"/>
      <c r="CM213" s="104"/>
      <c r="CN213" s="104"/>
      <c r="CO213" s="104"/>
      <c r="CP213" s="104"/>
      <c r="CQ213" s="104"/>
      <c r="CR213" s="104"/>
      <c r="CS213" s="104"/>
      <c r="CT213" s="104"/>
      <c r="CU213" s="104"/>
      <c r="CV213" s="104"/>
      <c r="CW213" s="104"/>
      <c r="CX213" s="104"/>
      <c r="CY213" s="104"/>
      <c r="CZ213" s="104"/>
      <c r="DA213" s="104"/>
      <c r="DB213" s="104"/>
      <c r="DC213" s="104"/>
      <c r="DD213" s="104"/>
      <c r="DE213" s="104"/>
      <c r="DF213" s="104"/>
      <c r="DG213" s="104"/>
      <c r="DH213" s="104"/>
      <c r="DI213" s="104"/>
      <c r="DJ213" s="104"/>
      <c r="DK213" s="104"/>
      <c r="DL213" s="104"/>
      <c r="DM213" s="104"/>
      <c r="DN213" s="104"/>
      <c r="DO213" s="104"/>
      <c r="DP213" s="104"/>
      <c r="DQ213" s="104"/>
      <c r="DR213" s="104"/>
      <c r="DS213" s="104"/>
      <c r="DT213" s="104"/>
      <c r="DU213" s="104"/>
      <c r="DV213" s="104"/>
      <c r="DW213" s="104"/>
      <c r="DX213" s="104"/>
      <c r="DY213" s="104"/>
      <c r="DZ213" s="104"/>
      <c r="EA213" s="104"/>
      <c r="EB213" s="104"/>
      <c r="EC213" s="104"/>
      <c r="ED213" s="104"/>
      <c r="EE213" s="104"/>
      <c r="EF213" s="104"/>
      <c r="EG213" s="104"/>
      <c r="EH213" s="104"/>
      <c r="EI213" s="104"/>
      <c r="EJ213" s="104"/>
      <c r="EK213" s="104"/>
      <c r="EL213" s="104"/>
      <c r="EM213" s="104"/>
      <c r="EN213" s="104"/>
      <c r="EO213" s="104"/>
      <c r="EP213" s="104"/>
      <c r="EQ213" s="104"/>
      <c r="ER213" s="104"/>
      <c r="ES213" s="104"/>
      <c r="ET213" s="104"/>
      <c r="EU213" s="104"/>
      <c r="EV213" s="104"/>
      <c r="EW213" s="104"/>
      <c r="EX213" s="104"/>
      <c r="EY213" s="104"/>
      <c r="EZ213" s="104"/>
      <c r="FA213" s="104"/>
      <c r="FB213" s="104"/>
      <c r="FC213" s="104"/>
      <c r="FD213" s="104"/>
      <c r="FE213" s="104"/>
      <c r="FF213" s="104"/>
      <c r="FG213" s="104"/>
      <c r="FH213" s="104"/>
      <c r="FI213" s="104"/>
      <c r="FJ213" s="104"/>
      <c r="FK213" s="104"/>
      <c r="FL213" s="104"/>
      <c r="FM213" s="104"/>
      <c r="FN213" s="104"/>
      <c r="FO213" s="104"/>
      <c r="FP213" s="104"/>
      <c r="FQ213" s="104"/>
      <c r="FR213" s="104"/>
      <c r="FS213" s="104"/>
      <c r="FT213" s="104"/>
      <c r="FU213" s="104"/>
      <c r="FV213" s="104"/>
      <c r="FW213" s="104"/>
      <c r="FX213" s="104"/>
      <c r="FY213" s="104"/>
      <c r="FZ213" s="104"/>
      <c r="GA213" s="104"/>
      <c r="GB213" s="104"/>
      <c r="GC213" s="104"/>
      <c r="GD213" s="104"/>
      <c r="GE213" s="104"/>
      <c r="GF213" s="104"/>
      <c r="GG213" s="104"/>
      <c r="GH213" s="104"/>
      <c r="GI213" s="104"/>
      <c r="GJ213" s="104"/>
      <c r="GK213" s="104"/>
      <c r="GL213" s="104"/>
      <c r="GM213" s="104"/>
      <c r="GN213" s="104"/>
      <c r="GO213" s="104"/>
      <c r="GP213" s="104"/>
      <c r="GQ213" s="104"/>
      <c r="GR213" s="104"/>
      <c r="GS213" s="104"/>
      <c r="GT213" s="104"/>
      <c r="GU213" s="104"/>
      <c r="GV213" s="104"/>
      <c r="GW213" s="104"/>
      <c r="GX213" s="104"/>
      <c r="GY213" s="104"/>
      <c r="GZ213" s="104"/>
      <c r="HA213" s="104"/>
      <c r="HB213" s="104"/>
      <c r="HC213" s="104"/>
      <c r="HD213" s="104"/>
      <c r="HE213" s="104"/>
      <c r="HF213" s="104"/>
      <c r="HG213" s="104"/>
      <c r="HH213" s="104"/>
      <c r="HI213" s="104"/>
      <c r="HJ213" s="104"/>
      <c r="HK213" s="104"/>
      <c r="HL213" s="104"/>
      <c r="HM213" s="104"/>
      <c r="HN213" s="104"/>
      <c r="HO213" s="104"/>
      <c r="HP213" s="104"/>
      <c r="HQ213" s="104"/>
      <c r="HR213" s="104"/>
      <c r="HS213" s="104"/>
      <c r="HT213" s="104"/>
      <c r="HU213" s="104"/>
      <c r="HV213" s="104"/>
      <c r="HW213" s="104"/>
      <c r="HX213" s="104"/>
      <c r="HY213" s="104"/>
      <c r="HZ213" s="104"/>
      <c r="IA213" s="104"/>
      <c r="IB213" s="104"/>
      <c r="IC213" s="104"/>
      <c r="ID213" s="104"/>
      <c r="IE213" s="104"/>
      <c r="IF213" s="104"/>
      <c r="IG213" s="104"/>
      <c r="IH213" s="104"/>
      <c r="II213" s="104"/>
      <c r="IJ213" s="104"/>
      <c r="IK213" s="104"/>
      <c r="IL213" s="104"/>
      <c r="IM213" s="104"/>
      <c r="IN213" s="104"/>
      <c r="IO213" s="104"/>
      <c r="IP213" s="104"/>
      <c r="IQ213" s="104"/>
      <c r="IR213" s="104"/>
      <c r="IS213" s="104"/>
      <c r="IT213" s="104"/>
      <c r="IU213" s="104"/>
      <c r="IV213" s="104"/>
      <c r="IW213" s="104"/>
      <c r="IX213" s="104"/>
      <c r="IY213" s="104"/>
      <c r="IZ213" s="104"/>
      <c r="JA213" s="104"/>
      <c r="JB213" s="104"/>
      <c r="JC213" s="104"/>
      <c r="JD213" s="104"/>
      <c r="JE213" s="104"/>
      <c r="JF213" s="104"/>
      <c r="JG213" s="104"/>
      <c r="JH213" s="104"/>
      <c r="JI213" s="104"/>
      <c r="JJ213" s="104"/>
      <c r="JK213" s="104"/>
      <c r="JL213" s="104"/>
      <c r="JM213" s="104"/>
      <c r="JN213" s="104"/>
      <c r="JO213" s="104"/>
      <c r="JP213" s="104"/>
      <c r="JQ213" s="104"/>
      <c r="JR213" s="104"/>
      <c r="JS213" s="104"/>
      <c r="JT213" s="104"/>
      <c r="JU213" s="104"/>
      <c r="JV213" s="104"/>
      <c r="JW213" s="104"/>
    </row>
    <row r="214" spans="2:341" s="104" customFormat="1" ht="15" customHeight="1">
      <c r="B214" s="66"/>
      <c r="C214" s="23">
        <v>0</v>
      </c>
      <c r="D214" s="178" t="s">
        <v>86</v>
      </c>
      <c r="E214" s="184" t="s">
        <v>30</v>
      </c>
      <c r="F214" s="45">
        <v>5000</v>
      </c>
      <c r="G214" s="26">
        <f t="shared" si="27"/>
        <v>14333.33</v>
      </c>
      <c r="H214" s="45">
        <v>0</v>
      </c>
      <c r="I214" s="45">
        <v>0</v>
      </c>
      <c r="J214" s="45">
        <v>0</v>
      </c>
      <c r="K214" s="26">
        <f>F214*26/30</f>
        <v>4333.33</v>
      </c>
      <c r="L214" s="26">
        <f>F214</f>
        <v>5000</v>
      </c>
      <c r="M214" s="26">
        <f>F214</f>
        <v>5000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</row>
    <row r="215" spans="2:341" s="104" customFormat="1" ht="15" customHeight="1">
      <c r="B215" s="66"/>
      <c r="C215" s="23">
        <v>0</v>
      </c>
      <c r="D215" s="178" t="s">
        <v>86</v>
      </c>
      <c r="E215" s="184" t="s">
        <v>30</v>
      </c>
      <c r="F215" s="45">
        <v>6000</v>
      </c>
      <c r="G215" s="26">
        <f t="shared" si="27"/>
        <v>17200</v>
      </c>
      <c r="H215" s="45">
        <v>0</v>
      </c>
      <c r="I215" s="45">
        <v>0</v>
      </c>
      <c r="J215" s="45">
        <v>0</v>
      </c>
      <c r="K215" s="26">
        <f>F215*26/30</f>
        <v>5200</v>
      </c>
      <c r="L215" s="26">
        <f>F215</f>
        <v>6000</v>
      </c>
      <c r="M215" s="26">
        <f>F215</f>
        <v>6000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</row>
    <row r="216" spans="2:341" s="104" customFormat="1" ht="14.25" customHeight="1">
      <c r="B216" s="66"/>
      <c r="C216" s="23">
        <v>1</v>
      </c>
      <c r="D216" s="178" t="s">
        <v>108</v>
      </c>
      <c r="E216" s="184" t="s">
        <v>30</v>
      </c>
      <c r="F216" s="45">
        <v>5000</v>
      </c>
      <c r="G216" s="26">
        <f t="shared" si="27"/>
        <v>30000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45">
        <v>5000</v>
      </c>
      <c r="O216" s="45">
        <v>5000</v>
      </c>
      <c r="P216" s="45">
        <v>5000</v>
      </c>
      <c r="Q216" s="45">
        <v>5000</v>
      </c>
      <c r="R216" s="45">
        <v>5000</v>
      </c>
      <c r="S216" s="45">
        <v>5000</v>
      </c>
    </row>
    <row r="217" spans="2:341" s="104" customFormat="1" ht="14.25" customHeight="1">
      <c r="B217" s="66"/>
      <c r="C217" s="23">
        <v>1</v>
      </c>
      <c r="D217" s="178" t="s">
        <v>108</v>
      </c>
      <c r="E217" s="184" t="s">
        <v>30</v>
      </c>
      <c r="F217" s="45">
        <v>6000</v>
      </c>
      <c r="G217" s="26">
        <f t="shared" si="27"/>
        <v>36000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45">
        <v>6000</v>
      </c>
      <c r="O217" s="45">
        <v>6000</v>
      </c>
      <c r="P217" s="45">
        <v>6000</v>
      </c>
      <c r="Q217" s="45">
        <v>6000</v>
      </c>
      <c r="R217" s="45">
        <v>6000</v>
      </c>
      <c r="S217" s="45">
        <v>6000</v>
      </c>
    </row>
    <row r="218" spans="2:341" ht="14.25" customHeight="1">
      <c r="B218" s="17"/>
      <c r="C218" s="23">
        <v>0</v>
      </c>
      <c r="D218" s="178" t="s">
        <v>28</v>
      </c>
      <c r="E218" s="44" t="s">
        <v>39</v>
      </c>
      <c r="F218" s="25">
        <v>6000</v>
      </c>
      <c r="G218" s="26">
        <f t="shared" si="27"/>
        <v>17419.349999999999</v>
      </c>
      <c r="H218" s="21">
        <v>0</v>
      </c>
      <c r="I218" s="45">
        <f>F218*1+5419.35</f>
        <v>11419.35</v>
      </c>
      <c r="J218" s="21">
        <v>6000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BV218" s="104"/>
      <c r="BW218" s="104"/>
      <c r="BX218" s="104"/>
      <c r="BY218" s="104"/>
      <c r="BZ218" s="104"/>
      <c r="CA218" s="104"/>
      <c r="CB218" s="104"/>
      <c r="CC218" s="104"/>
      <c r="CD218" s="104"/>
      <c r="CE218" s="104"/>
      <c r="CF218" s="104"/>
      <c r="CG218" s="104"/>
      <c r="CH218" s="104"/>
      <c r="CI218" s="104"/>
      <c r="CJ218" s="104"/>
      <c r="CK218" s="104"/>
      <c r="CL218" s="104"/>
      <c r="CM218" s="104"/>
      <c r="CN218" s="104"/>
      <c r="CO218" s="104"/>
      <c r="CP218" s="104"/>
      <c r="CQ218" s="104"/>
    </row>
    <row r="219" spans="2:341">
      <c r="B219" s="47"/>
      <c r="C219" s="48"/>
      <c r="D219" s="215"/>
      <c r="E219" s="289" t="s">
        <v>24</v>
      </c>
      <c r="F219" s="290"/>
      <c r="G219" s="49">
        <f>64950-SUM(G213:G218)+64525</f>
        <v>6.19</v>
      </c>
      <c r="H219" s="49"/>
      <c r="I219" s="50"/>
      <c r="J219" s="49"/>
      <c r="K219" s="49"/>
      <c r="L219" s="49"/>
      <c r="M219" s="51"/>
      <c r="N219" s="49"/>
      <c r="O219" s="49"/>
      <c r="P219" s="49"/>
      <c r="Q219" s="49"/>
      <c r="R219" s="49"/>
      <c r="S219" s="49"/>
      <c r="BV219" s="104"/>
      <c r="BW219" s="104"/>
      <c r="BX219" s="104"/>
      <c r="BY219" s="104"/>
      <c r="BZ219" s="104"/>
      <c r="CA219" s="104"/>
      <c r="CB219" s="104"/>
      <c r="CC219" s="104"/>
      <c r="CD219" s="104"/>
      <c r="CE219" s="104"/>
      <c r="CF219" s="104"/>
      <c r="CG219" s="104"/>
      <c r="CH219" s="104"/>
      <c r="CI219" s="104"/>
      <c r="CJ219" s="104"/>
      <c r="CK219" s="104"/>
      <c r="CL219" s="104"/>
      <c r="CM219" s="104"/>
      <c r="CN219" s="104"/>
      <c r="CO219" s="104"/>
      <c r="CP219" s="104"/>
      <c r="CQ219" s="104"/>
    </row>
    <row r="220" spans="2:341" s="86" customFormat="1" ht="29.25">
      <c r="B220" s="91" t="s">
        <v>46</v>
      </c>
      <c r="C220" s="92">
        <f>SUM(C222:C226)</f>
        <v>2</v>
      </c>
      <c r="D220" s="214"/>
      <c r="E220" s="93"/>
      <c r="F220" s="61"/>
      <c r="G220" s="61"/>
      <c r="H220" s="61"/>
      <c r="I220" s="61"/>
      <c r="J220" s="61"/>
      <c r="K220" s="61"/>
      <c r="L220" s="61"/>
      <c r="M220" s="94"/>
      <c r="N220" s="61"/>
      <c r="O220" s="61"/>
      <c r="P220" s="61"/>
      <c r="Q220" s="61"/>
      <c r="R220" s="61"/>
      <c r="S220" s="61"/>
      <c r="BV220" s="104"/>
      <c r="BW220" s="104"/>
      <c r="BX220" s="104"/>
      <c r="BY220" s="104"/>
      <c r="BZ220" s="104"/>
      <c r="CA220" s="104"/>
      <c r="CB220" s="104"/>
      <c r="CC220" s="104"/>
      <c r="CD220" s="104"/>
      <c r="CE220" s="104"/>
      <c r="CF220" s="104"/>
      <c r="CG220" s="104"/>
      <c r="CH220" s="104"/>
      <c r="CI220" s="104"/>
      <c r="CJ220" s="104"/>
      <c r="CK220" s="104"/>
      <c r="CL220" s="104"/>
      <c r="CM220" s="104"/>
      <c r="CN220" s="104"/>
      <c r="CO220" s="104"/>
      <c r="CP220" s="104"/>
      <c r="CQ220" s="104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</row>
    <row r="221" spans="2:341">
      <c r="B221" s="41"/>
      <c r="C221" s="27"/>
      <c r="D221" s="211"/>
      <c r="E221" s="33"/>
      <c r="F221" s="10"/>
      <c r="G221" s="43">
        <f>SUM(G222:G226)</f>
        <v>147730.10999999999</v>
      </c>
      <c r="H221" s="80">
        <f t="shared" ref="H221:S221" si="28">SUM(H222:H227)</f>
        <v>5870.97</v>
      </c>
      <c r="I221" s="80">
        <f t="shared" si="28"/>
        <v>21725.81</v>
      </c>
      <c r="J221" s="80">
        <f t="shared" si="28"/>
        <v>14500</v>
      </c>
      <c r="K221" s="80">
        <f t="shared" si="28"/>
        <v>5633.33</v>
      </c>
      <c r="L221" s="80">
        <f t="shared" si="28"/>
        <v>6500</v>
      </c>
      <c r="M221" s="80">
        <f t="shared" si="28"/>
        <v>6500</v>
      </c>
      <c r="N221" s="80">
        <f t="shared" si="28"/>
        <v>14500</v>
      </c>
      <c r="O221" s="80">
        <f t="shared" si="28"/>
        <v>14500</v>
      </c>
      <c r="P221" s="80">
        <f t="shared" si="28"/>
        <v>14500</v>
      </c>
      <c r="Q221" s="80">
        <f t="shared" si="28"/>
        <v>14500</v>
      </c>
      <c r="R221" s="80">
        <f t="shared" si="28"/>
        <v>14500</v>
      </c>
      <c r="S221" s="80">
        <f t="shared" si="28"/>
        <v>14500</v>
      </c>
      <c r="T221" s="78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</row>
    <row r="222" spans="2:341" ht="13.5" customHeight="1">
      <c r="B222" s="17"/>
      <c r="C222" s="18">
        <v>0</v>
      </c>
      <c r="D222" s="208" t="s">
        <v>28</v>
      </c>
      <c r="E222" s="52" t="s">
        <v>39</v>
      </c>
      <c r="F222" s="19">
        <v>6500</v>
      </c>
      <c r="G222" s="20">
        <f>SUM(H222:S222)</f>
        <v>18870.97</v>
      </c>
      <c r="H222" s="21">
        <v>5870.97</v>
      </c>
      <c r="I222" s="21">
        <f>F222*1</f>
        <v>6500</v>
      </c>
      <c r="J222" s="21">
        <v>6500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</row>
    <row r="223" spans="2:341" s="104" customFormat="1" ht="13.5" customHeight="1">
      <c r="B223" s="66"/>
      <c r="C223" s="23">
        <v>0</v>
      </c>
      <c r="D223" s="178" t="s">
        <v>86</v>
      </c>
      <c r="E223" s="44" t="s">
        <v>39</v>
      </c>
      <c r="F223" s="25">
        <v>6500</v>
      </c>
      <c r="G223" s="26">
        <f>SUM(H223:S223)</f>
        <v>18633.330000000002</v>
      </c>
      <c r="H223" s="45">
        <v>0</v>
      </c>
      <c r="I223" s="45">
        <v>0</v>
      </c>
      <c r="J223" s="45">
        <v>0</v>
      </c>
      <c r="K223" s="26">
        <v>5633.33</v>
      </c>
      <c r="L223" s="26">
        <v>6500</v>
      </c>
      <c r="M223" s="26">
        <v>6500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</row>
    <row r="224" spans="2:341" s="104" customFormat="1" ht="13.5" customHeight="1">
      <c r="B224" s="66"/>
      <c r="C224" s="23">
        <v>1</v>
      </c>
      <c r="D224" s="178" t="s">
        <v>108</v>
      </c>
      <c r="E224" s="44" t="s">
        <v>30</v>
      </c>
      <c r="F224" s="25">
        <v>6500</v>
      </c>
      <c r="G224" s="26">
        <f>SUM(H224:S224)</f>
        <v>39000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45">
        <v>6500</v>
      </c>
      <c r="O224" s="45">
        <v>6500</v>
      </c>
      <c r="P224" s="45">
        <v>6500</v>
      </c>
      <c r="Q224" s="45">
        <v>6500</v>
      </c>
      <c r="R224" s="45">
        <v>6500</v>
      </c>
      <c r="S224" s="45">
        <v>6500</v>
      </c>
    </row>
    <row r="225" spans="1:341" s="104" customFormat="1" ht="13.5" customHeight="1">
      <c r="B225" s="66"/>
      <c r="C225" s="23">
        <v>1</v>
      </c>
      <c r="D225" s="178" t="s">
        <v>108</v>
      </c>
      <c r="E225" s="24" t="s">
        <v>35</v>
      </c>
      <c r="F225" s="25">
        <v>8000</v>
      </c>
      <c r="G225" s="26">
        <f>SUM(H225:S225)</f>
        <v>48000</v>
      </c>
      <c r="H225" s="26">
        <v>0</v>
      </c>
      <c r="I225" s="26">
        <v>0</v>
      </c>
      <c r="J225" s="45">
        <v>0</v>
      </c>
      <c r="K225" s="26">
        <v>0</v>
      </c>
      <c r="L225" s="26">
        <v>0</v>
      </c>
      <c r="M225" s="26">
        <v>0</v>
      </c>
      <c r="N225" s="25">
        <v>8000</v>
      </c>
      <c r="O225" s="25">
        <v>8000</v>
      </c>
      <c r="P225" s="25">
        <v>8000</v>
      </c>
      <c r="Q225" s="25">
        <v>8000</v>
      </c>
      <c r="R225" s="25">
        <v>8000</v>
      </c>
      <c r="S225" s="25">
        <v>8000</v>
      </c>
    </row>
    <row r="226" spans="1:341" ht="13.5" customHeight="1">
      <c r="B226" s="17"/>
      <c r="C226" s="23">
        <v>0</v>
      </c>
      <c r="D226" s="178" t="s">
        <v>28</v>
      </c>
      <c r="E226" s="46" t="s">
        <v>47</v>
      </c>
      <c r="F226" s="25">
        <v>8000</v>
      </c>
      <c r="G226" s="26">
        <f>SUM(H226:S226)</f>
        <v>23225.81</v>
      </c>
      <c r="H226" s="21">
        <v>0</v>
      </c>
      <c r="I226" s="45">
        <f>F226*1+7225.81</f>
        <v>15225.81</v>
      </c>
      <c r="J226" s="21">
        <v>8000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</row>
    <row r="227" spans="1:341">
      <c r="B227" s="17"/>
      <c r="C227" s="18"/>
      <c r="D227" s="208"/>
      <c r="E227" s="289" t="s">
        <v>24</v>
      </c>
      <c r="F227" s="290"/>
      <c r="G227" s="26">
        <f>91530-SUM(G222:G226)-30500+86710</f>
        <v>9.89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</row>
    <row r="228" spans="1:341" ht="30" customHeight="1">
      <c r="B228" s="131"/>
      <c r="C228" s="132"/>
      <c r="D228" s="216"/>
      <c r="E228" s="133"/>
      <c r="F228" s="134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3"/>
      <c r="BV228" s="104"/>
      <c r="BW228" s="104"/>
      <c r="BX228" s="104"/>
      <c r="BY228" s="104"/>
      <c r="BZ228" s="104"/>
      <c r="CA228" s="104"/>
      <c r="CB228" s="104"/>
      <c r="CC228" s="104"/>
      <c r="CD228" s="104"/>
      <c r="CE228" s="104"/>
      <c r="CF228" s="104"/>
      <c r="CG228" s="104"/>
      <c r="CH228" s="104"/>
      <c r="CI228" s="104"/>
      <c r="CJ228" s="104"/>
      <c r="CK228" s="104"/>
      <c r="CL228" s="104"/>
      <c r="CM228" s="104"/>
      <c r="CN228" s="104"/>
      <c r="CO228" s="104"/>
      <c r="CP228" s="104"/>
      <c r="CQ228" s="104"/>
    </row>
    <row r="229" spans="1:341" ht="15" customHeight="1">
      <c r="B229" s="298" t="s">
        <v>116</v>
      </c>
      <c r="C229" s="109"/>
      <c r="D229" s="210"/>
      <c r="E229" s="136"/>
      <c r="F229" s="130" t="s">
        <v>23</v>
      </c>
      <c r="G229" s="106">
        <f>G230+G231</f>
        <v>2485324</v>
      </c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BV229" s="104"/>
      <c r="BW229" s="104"/>
      <c r="BX229" s="104"/>
      <c r="BY229" s="104"/>
      <c r="BZ229" s="104"/>
      <c r="CA229" s="104"/>
      <c r="CB229" s="104"/>
      <c r="CC229" s="104"/>
      <c r="CD229" s="104"/>
      <c r="CE229" s="104"/>
      <c r="CF229" s="104"/>
      <c r="CG229" s="104"/>
      <c r="CH229" s="104"/>
      <c r="CI229" s="104"/>
      <c r="CJ229" s="104"/>
      <c r="CK229" s="104"/>
      <c r="CL229" s="104"/>
      <c r="CM229" s="104"/>
      <c r="CN229" s="104"/>
      <c r="CO229" s="104"/>
      <c r="CP229" s="104"/>
      <c r="CQ229" s="104"/>
    </row>
    <row r="230" spans="1:341">
      <c r="B230" s="298"/>
      <c r="C230" s="27"/>
      <c r="D230" s="211"/>
      <c r="F230" s="108" t="s">
        <v>95</v>
      </c>
      <c r="G230" s="106">
        <f>G232</f>
        <v>2485285.83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BV230" s="104"/>
      <c r="BW230" s="104"/>
      <c r="BX230" s="104"/>
      <c r="BY230" s="104"/>
      <c r="BZ230" s="104"/>
      <c r="CA230" s="104"/>
      <c r="CB230" s="104"/>
      <c r="CC230" s="104"/>
      <c r="CD230" s="104"/>
      <c r="CE230" s="104"/>
      <c r="CF230" s="104"/>
      <c r="CG230" s="104"/>
      <c r="CH230" s="104"/>
      <c r="CI230" s="104"/>
      <c r="CJ230" s="104"/>
      <c r="CK230" s="104"/>
      <c r="CL230" s="104"/>
      <c r="CM230" s="104"/>
      <c r="CN230" s="104"/>
      <c r="CO230" s="104"/>
      <c r="CP230" s="104"/>
      <c r="CQ230" s="104"/>
    </row>
    <row r="231" spans="1:341" ht="30">
      <c r="B231" s="298"/>
      <c r="C231" s="8"/>
      <c r="D231" s="203"/>
      <c r="F231" s="108" t="s">
        <v>24</v>
      </c>
      <c r="G231" s="106">
        <f>G288+G298+G304</f>
        <v>38.17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BV231" s="104"/>
      <c r="BW231" s="104"/>
      <c r="BX231" s="104"/>
      <c r="BY231" s="104"/>
      <c r="BZ231" s="104"/>
      <c r="CA231" s="104"/>
      <c r="CB231" s="104"/>
      <c r="CC231" s="104"/>
      <c r="CD231" s="104"/>
      <c r="CE231" s="104"/>
      <c r="CF231" s="104"/>
      <c r="CG231" s="104"/>
      <c r="CH231" s="104"/>
      <c r="CI231" s="104"/>
      <c r="CJ231" s="104"/>
      <c r="CK231" s="104"/>
      <c r="CL231" s="104"/>
      <c r="CM231" s="104"/>
      <c r="CN231" s="104"/>
      <c r="CO231" s="104"/>
      <c r="CP231" s="104"/>
      <c r="CQ231" s="104"/>
    </row>
    <row r="232" spans="1:341" s="90" customFormat="1" ht="30" thickBot="1">
      <c r="A232" s="249"/>
      <c r="B232" s="87" t="s">
        <v>49</v>
      </c>
      <c r="C232" s="171">
        <f>C233+C289+C299</f>
        <v>31</v>
      </c>
      <c r="D232" s="217"/>
      <c r="E232" s="74"/>
      <c r="F232" s="77"/>
      <c r="G232" s="88">
        <f>G233+G289+G299</f>
        <v>2485285.83</v>
      </c>
      <c r="H232" s="89">
        <f>H233+H289+H299</f>
        <v>155806.48000000001</v>
      </c>
      <c r="I232" s="89">
        <f>I233+I289+I299</f>
        <v>256330.65</v>
      </c>
      <c r="J232" s="89">
        <v>228520.74</v>
      </c>
      <c r="K232" s="89">
        <f>K233+K289+K299</f>
        <v>194466.67</v>
      </c>
      <c r="L232" s="89">
        <f>L233+L289+L299</f>
        <v>232322.58</v>
      </c>
      <c r="M232" s="89">
        <f>M233+M289+M299</f>
        <v>217500</v>
      </c>
      <c r="N232" s="89">
        <f>N233+N289+N299</f>
        <v>167500</v>
      </c>
      <c r="O232" s="89">
        <f>O233+O289+O299</f>
        <v>226064.52</v>
      </c>
      <c r="P232" s="89">
        <f>P233+P289+P299</f>
        <v>198870.97</v>
      </c>
      <c r="Q232" s="89">
        <f>Q233+Q289+Q299</f>
        <v>173000</v>
      </c>
      <c r="R232" s="89">
        <f>R233+R289+R299</f>
        <v>229903.22</v>
      </c>
      <c r="S232" s="89">
        <f>S233+S289+S299</f>
        <v>205000</v>
      </c>
      <c r="T232" s="107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</row>
    <row r="233" spans="1:341" s="86" customFormat="1" ht="30.75" thickTop="1">
      <c r="B233" s="96" t="s">
        <v>50</v>
      </c>
      <c r="C233" s="260">
        <f>SUM(C235:C287)</f>
        <v>26</v>
      </c>
      <c r="D233" s="218"/>
      <c r="E233" s="97"/>
      <c r="F233" s="98"/>
      <c r="G233" s="95">
        <f>SUM(G235:G287)</f>
        <v>2045358.94</v>
      </c>
      <c r="H233" s="95">
        <f t="shared" ref="H233:S233" si="29">SUM(H235:H288)</f>
        <v>155806.48000000001</v>
      </c>
      <c r="I233" s="95">
        <f t="shared" si="29"/>
        <v>195427.42</v>
      </c>
      <c r="J233" s="95">
        <f t="shared" si="29"/>
        <v>196520.74</v>
      </c>
      <c r="K233" s="95">
        <f t="shared" si="29"/>
        <v>166733.32999999999</v>
      </c>
      <c r="L233" s="95">
        <f t="shared" si="29"/>
        <v>200322.58</v>
      </c>
      <c r="M233" s="95">
        <f t="shared" si="29"/>
        <v>185500</v>
      </c>
      <c r="N233" s="95">
        <f t="shared" si="29"/>
        <v>155500</v>
      </c>
      <c r="O233" s="95">
        <f t="shared" si="29"/>
        <v>158064.51999999999</v>
      </c>
      <c r="P233" s="95">
        <f t="shared" si="29"/>
        <v>158870.97</v>
      </c>
      <c r="Q233" s="95">
        <f t="shared" si="29"/>
        <v>133000</v>
      </c>
      <c r="R233" s="95">
        <f t="shared" si="29"/>
        <v>180612.9</v>
      </c>
      <c r="S233" s="95">
        <f t="shared" si="29"/>
        <v>159000</v>
      </c>
      <c r="T233" s="107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</row>
    <row r="234" spans="1:341" s="86" customFormat="1">
      <c r="B234" s="96"/>
      <c r="C234" s="260"/>
      <c r="D234" s="218"/>
      <c r="E234" s="97"/>
      <c r="F234" s="189"/>
      <c r="G234" s="190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107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</row>
    <row r="235" spans="1:341" ht="14.25" customHeight="1">
      <c r="B235" s="55"/>
      <c r="C235" s="259">
        <v>0</v>
      </c>
      <c r="D235" s="178" t="s">
        <v>28</v>
      </c>
      <c r="E235" s="44" t="s">
        <v>29</v>
      </c>
      <c r="F235" s="25">
        <v>8000</v>
      </c>
      <c r="G235" s="26">
        <f t="shared" ref="G235:G245" si="30">SUM(H235:S235)</f>
        <v>116129.05</v>
      </c>
      <c r="H235" s="20">
        <f>7225.81*5</f>
        <v>36129.050000000003</v>
      </c>
      <c r="I235" s="26">
        <f>F235*5</f>
        <v>40000</v>
      </c>
      <c r="J235" s="20">
        <f>F235*5</f>
        <v>40000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</row>
    <row r="236" spans="1:341" ht="14.25" customHeight="1">
      <c r="B236" s="55"/>
      <c r="C236" s="259">
        <v>0</v>
      </c>
      <c r="D236" s="178" t="s">
        <v>28</v>
      </c>
      <c r="E236" s="44" t="s">
        <v>39</v>
      </c>
      <c r="F236" s="25">
        <v>3000</v>
      </c>
      <c r="G236" s="26">
        <f t="shared" si="30"/>
        <v>8709.68</v>
      </c>
      <c r="H236" s="20">
        <f>(F236/31*28)*1</f>
        <v>2709.68</v>
      </c>
      <c r="I236" s="26">
        <f>F236*1</f>
        <v>3000</v>
      </c>
      <c r="J236" s="20">
        <f>F236*1</f>
        <v>3000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BV236" s="104"/>
      <c r="BW236" s="104"/>
      <c r="BX236" s="104"/>
      <c r="BY236" s="104"/>
      <c r="BZ236" s="104"/>
      <c r="CA236" s="104"/>
      <c r="CB236" s="104"/>
      <c r="CC236" s="104"/>
      <c r="CD236" s="104"/>
      <c r="CE236" s="104"/>
      <c r="CF236" s="104"/>
      <c r="CG236" s="104"/>
      <c r="CH236" s="104"/>
      <c r="CI236" s="104"/>
      <c r="CJ236" s="104"/>
      <c r="CK236" s="104"/>
      <c r="CL236" s="104"/>
      <c r="CM236" s="104"/>
      <c r="CN236" s="104"/>
      <c r="CO236" s="104"/>
      <c r="CP236" s="104"/>
      <c r="CQ236" s="104"/>
    </row>
    <row r="237" spans="1:341" ht="14.25" customHeight="1">
      <c r="B237" s="55"/>
      <c r="C237" s="259">
        <v>0</v>
      </c>
      <c r="D237" s="178" t="s">
        <v>28</v>
      </c>
      <c r="E237" s="44" t="s">
        <v>39</v>
      </c>
      <c r="F237" s="25">
        <v>3500</v>
      </c>
      <c r="G237" s="26">
        <f t="shared" si="30"/>
        <v>10161.290000000001</v>
      </c>
      <c r="H237" s="20">
        <f>(F237/31*28)*1</f>
        <v>3161.29</v>
      </c>
      <c r="I237" s="26">
        <f>F237*1</f>
        <v>3500</v>
      </c>
      <c r="J237" s="20">
        <f>F237*1</f>
        <v>3500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</row>
    <row r="238" spans="1:341" ht="14.25" customHeight="1">
      <c r="B238" s="55"/>
      <c r="C238" s="259">
        <v>0</v>
      </c>
      <c r="D238" s="178" t="s">
        <v>28</v>
      </c>
      <c r="E238" s="44" t="s">
        <v>39</v>
      </c>
      <c r="F238" s="25">
        <v>4000</v>
      </c>
      <c r="G238" s="26">
        <f t="shared" si="30"/>
        <v>58064.52</v>
      </c>
      <c r="H238" s="20">
        <f>(F238*5)/31*28</f>
        <v>18064.52</v>
      </c>
      <c r="I238" s="26">
        <f>F238*5</f>
        <v>20000</v>
      </c>
      <c r="J238" s="20">
        <f>F238*5</f>
        <v>20000</v>
      </c>
      <c r="K238" s="26">
        <v>0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BV238" s="104"/>
      <c r="BW238" s="104"/>
      <c r="BX238" s="104"/>
      <c r="BY238" s="104"/>
      <c r="BZ238" s="104"/>
      <c r="CA238" s="104"/>
      <c r="CB238" s="104"/>
      <c r="CC238" s="104"/>
      <c r="CD238" s="104"/>
      <c r="CE238" s="104"/>
      <c r="CF238" s="104"/>
      <c r="CG238" s="104"/>
      <c r="CH238" s="104"/>
      <c r="CI238" s="104"/>
      <c r="CJ238" s="104"/>
      <c r="CK238" s="104"/>
      <c r="CL238" s="104"/>
      <c r="CM238" s="104"/>
      <c r="CN238" s="104"/>
      <c r="CO238" s="104"/>
      <c r="CP238" s="104"/>
      <c r="CQ238" s="104"/>
    </row>
    <row r="239" spans="1:341" ht="14.25" customHeight="1">
      <c r="B239" s="55"/>
      <c r="C239" s="259">
        <v>0</v>
      </c>
      <c r="D239" s="178" t="s">
        <v>28</v>
      </c>
      <c r="E239" s="44" t="s">
        <v>39</v>
      </c>
      <c r="F239" s="25">
        <v>4500</v>
      </c>
      <c r="G239" s="26">
        <f t="shared" si="30"/>
        <v>52258.06</v>
      </c>
      <c r="H239" s="20">
        <f>(F239/31*28)*4</f>
        <v>16258.06</v>
      </c>
      <c r="I239" s="26">
        <f>F239*4</f>
        <v>18000</v>
      </c>
      <c r="J239" s="20">
        <f>F239*4</f>
        <v>18000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</row>
    <row r="240" spans="1:341" ht="14.25" customHeight="1">
      <c r="B240" s="55"/>
      <c r="C240" s="259">
        <v>0</v>
      </c>
      <c r="D240" s="178" t="s">
        <v>51</v>
      </c>
      <c r="E240" s="44" t="s">
        <v>39</v>
      </c>
      <c r="F240" s="25">
        <v>5000</v>
      </c>
      <c r="G240" s="26">
        <f t="shared" si="30"/>
        <v>47580.65</v>
      </c>
      <c r="H240" s="20">
        <f>(F240*5)/31*28</f>
        <v>22580.65</v>
      </c>
      <c r="I240" s="26">
        <f>F240*5</f>
        <v>25000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BV240" s="104"/>
      <c r="BW240" s="104"/>
      <c r="BX240" s="104"/>
      <c r="BY240" s="104"/>
      <c r="BZ240" s="104"/>
      <c r="CA240" s="104"/>
      <c r="CB240" s="104"/>
      <c r="CC240" s="104"/>
      <c r="CD240" s="104"/>
      <c r="CE240" s="104"/>
      <c r="CF240" s="104"/>
      <c r="CG240" s="104"/>
      <c r="CH240" s="104"/>
      <c r="CI240" s="104"/>
      <c r="CJ240" s="104"/>
      <c r="CK240" s="104"/>
      <c r="CL240" s="104"/>
      <c r="CM240" s="104"/>
      <c r="CN240" s="104"/>
      <c r="CO240" s="104"/>
      <c r="CP240" s="104"/>
      <c r="CQ240" s="104"/>
    </row>
    <row r="241" spans="2:95" ht="14.25" customHeight="1">
      <c r="B241" s="55"/>
      <c r="C241" s="259">
        <v>0</v>
      </c>
      <c r="D241" s="178" t="s">
        <v>28</v>
      </c>
      <c r="E241" s="44" t="s">
        <v>39</v>
      </c>
      <c r="F241" s="25">
        <v>5000</v>
      </c>
      <c r="G241" s="26">
        <f t="shared" si="30"/>
        <v>14516.13</v>
      </c>
      <c r="H241" s="20">
        <f>(F241/31*28)*1</f>
        <v>4516.13</v>
      </c>
      <c r="I241" s="26">
        <f>F241*1</f>
        <v>5000</v>
      </c>
      <c r="J241" s="20">
        <f>F241*1</f>
        <v>5000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</row>
    <row r="242" spans="2:95" ht="14.25" customHeight="1">
      <c r="B242" s="55"/>
      <c r="C242" s="259">
        <v>0</v>
      </c>
      <c r="D242" s="178" t="s">
        <v>28</v>
      </c>
      <c r="E242" s="44" t="s">
        <v>39</v>
      </c>
      <c r="F242" s="25">
        <v>6000</v>
      </c>
      <c r="G242" s="26">
        <f t="shared" si="30"/>
        <v>34838.71</v>
      </c>
      <c r="H242" s="20">
        <f>(F242/31*28)*2</f>
        <v>10838.71</v>
      </c>
      <c r="I242" s="26">
        <f>F242*2</f>
        <v>12000</v>
      </c>
      <c r="J242" s="20">
        <f>F242*2</f>
        <v>12000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BV242" s="104"/>
      <c r="BW242" s="104"/>
      <c r="BX242" s="104"/>
      <c r="BY242" s="104"/>
      <c r="BZ242" s="104"/>
      <c r="CA242" s="104"/>
      <c r="CB242" s="104"/>
      <c r="CC242" s="104"/>
      <c r="CD242" s="104"/>
      <c r="CE242" s="104"/>
      <c r="CF242" s="104"/>
      <c r="CG242" s="104"/>
      <c r="CH242" s="104"/>
      <c r="CI242" s="104"/>
      <c r="CJ242" s="104"/>
      <c r="CK242" s="104"/>
      <c r="CL242" s="104"/>
      <c r="CM242" s="104"/>
      <c r="CN242" s="104"/>
      <c r="CO242" s="104"/>
      <c r="CP242" s="104"/>
      <c r="CQ242" s="104"/>
    </row>
    <row r="243" spans="2:95" ht="14.25" customHeight="1">
      <c r="B243" s="55"/>
      <c r="C243" s="259">
        <v>0</v>
      </c>
      <c r="D243" s="178" t="s">
        <v>28</v>
      </c>
      <c r="E243" s="44" t="s">
        <v>39</v>
      </c>
      <c r="F243" s="25">
        <v>8000</v>
      </c>
      <c r="G243" s="26">
        <f t="shared" si="30"/>
        <v>92903.24</v>
      </c>
      <c r="H243" s="20">
        <v>28903.24</v>
      </c>
      <c r="I243" s="26">
        <f>F243*4</f>
        <v>32000</v>
      </c>
      <c r="J243" s="20">
        <f>F243*4</f>
        <v>32000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</row>
    <row r="244" spans="2:95" ht="14.25" customHeight="1">
      <c r="B244" s="55"/>
      <c r="C244" s="259">
        <v>0</v>
      </c>
      <c r="D244" s="178" t="s">
        <v>33</v>
      </c>
      <c r="E244" s="44" t="s">
        <v>39</v>
      </c>
      <c r="F244" s="25">
        <v>9000</v>
      </c>
      <c r="G244" s="26">
        <f t="shared" si="30"/>
        <v>15750</v>
      </c>
      <c r="H244" s="26">
        <v>0</v>
      </c>
      <c r="I244" s="26">
        <f>((F244*1)/28*21)</f>
        <v>6750</v>
      </c>
      <c r="J244" s="20">
        <f>F244*1</f>
        <v>9000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BV244" s="104"/>
      <c r="BW244" s="104"/>
      <c r="BX244" s="104"/>
      <c r="BY244" s="104"/>
      <c r="BZ244" s="104"/>
      <c r="CA244" s="104"/>
      <c r="CB244" s="104"/>
      <c r="CC244" s="104"/>
      <c r="CD244" s="104"/>
      <c r="CE244" s="104"/>
      <c r="CF244" s="104"/>
      <c r="CG244" s="104"/>
      <c r="CH244" s="104"/>
      <c r="CI244" s="104"/>
      <c r="CJ244" s="104"/>
      <c r="CK244" s="104"/>
      <c r="CL244" s="104"/>
      <c r="CM244" s="104"/>
      <c r="CN244" s="104"/>
      <c r="CO244" s="104"/>
      <c r="CP244" s="104"/>
      <c r="CQ244" s="104"/>
    </row>
    <row r="245" spans="2:95" ht="14.25" customHeight="1">
      <c r="B245" s="55"/>
      <c r="C245" s="259">
        <v>0</v>
      </c>
      <c r="D245" s="178" t="s">
        <v>28</v>
      </c>
      <c r="E245" s="44" t="s">
        <v>39</v>
      </c>
      <c r="F245" s="25">
        <v>7000</v>
      </c>
      <c r="G245" s="26">
        <f t="shared" si="30"/>
        <v>40645.15</v>
      </c>
      <c r="H245" s="20">
        <v>12645.15</v>
      </c>
      <c r="I245" s="26">
        <f>F245*2</f>
        <v>14000</v>
      </c>
      <c r="J245" s="20">
        <f>F245*2</f>
        <v>14000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BV245" s="104"/>
      <c r="BW245" s="104"/>
      <c r="BX245" s="104"/>
      <c r="BY245" s="104"/>
      <c r="BZ245" s="104"/>
      <c r="CA245" s="104"/>
      <c r="CB245" s="104"/>
      <c r="CC245" s="104"/>
      <c r="CD245" s="104"/>
      <c r="CE245" s="104"/>
      <c r="CF245" s="104"/>
      <c r="CG245" s="104"/>
      <c r="CH245" s="104"/>
      <c r="CI245" s="104"/>
      <c r="CJ245" s="104"/>
      <c r="CK245" s="104"/>
      <c r="CL245" s="104"/>
      <c r="CM245" s="104"/>
      <c r="CN245" s="104"/>
      <c r="CO245" s="104"/>
      <c r="CP245" s="104"/>
      <c r="CQ245" s="104"/>
    </row>
    <row r="246" spans="2:95" ht="15" customHeight="1">
      <c r="B246" s="55"/>
      <c r="C246" s="259">
        <v>0</v>
      </c>
      <c r="D246" s="178" t="s">
        <v>28</v>
      </c>
      <c r="E246" s="44" t="s">
        <v>39</v>
      </c>
      <c r="F246" s="25">
        <v>4000</v>
      </c>
      <c r="G246" s="26">
        <f>SUM(H246:S246)</f>
        <v>11612.9</v>
      </c>
      <c r="H246" s="26">
        <v>0</v>
      </c>
      <c r="I246" s="26">
        <f>F246*1+F246/31*28</f>
        <v>7612.9</v>
      </c>
      <c r="J246" s="26">
        <f>F246*1</f>
        <v>4000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</row>
    <row r="247" spans="2:95" s="104" customFormat="1" ht="15" customHeight="1">
      <c r="B247" s="165"/>
      <c r="C247" s="259">
        <v>0</v>
      </c>
      <c r="D247" s="178" t="s">
        <v>93</v>
      </c>
      <c r="E247" s="26" t="s">
        <v>30</v>
      </c>
      <c r="F247" s="26">
        <v>4000</v>
      </c>
      <c r="G247" s="26">
        <f t="shared" ref="G247:G254" si="31">SUM(H247:S247)</f>
        <v>14933.33</v>
      </c>
      <c r="H247" s="26">
        <v>0</v>
      </c>
      <c r="I247" s="26">
        <v>0</v>
      </c>
      <c r="J247" s="26">
        <v>0</v>
      </c>
      <c r="K247" s="26">
        <v>6933.33</v>
      </c>
      <c r="L247" s="26">
        <v>8000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</row>
    <row r="248" spans="2:95" s="104" customFormat="1" ht="15" customHeight="1">
      <c r="B248" s="165"/>
      <c r="C248" s="259">
        <v>0</v>
      </c>
      <c r="D248" s="178" t="s">
        <v>93</v>
      </c>
      <c r="E248" s="26" t="s">
        <v>30</v>
      </c>
      <c r="F248" s="26">
        <v>8000</v>
      </c>
      <c r="G248" s="26">
        <f t="shared" si="31"/>
        <v>14933.33</v>
      </c>
      <c r="H248" s="26">
        <v>0</v>
      </c>
      <c r="I248" s="26">
        <v>0</v>
      </c>
      <c r="J248" s="26">
        <v>0</v>
      </c>
      <c r="K248" s="26">
        <v>6933.33</v>
      </c>
      <c r="L248" s="26">
        <v>8000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</row>
    <row r="249" spans="2:95" s="104" customFormat="1" ht="15" customHeight="1">
      <c r="B249" s="165"/>
      <c r="C249" s="259">
        <v>0</v>
      </c>
      <c r="D249" s="178" t="s">
        <v>93</v>
      </c>
      <c r="E249" s="26" t="s">
        <v>30</v>
      </c>
      <c r="F249" s="26">
        <v>10000</v>
      </c>
      <c r="G249" s="26">
        <f t="shared" si="31"/>
        <v>18666.669999999998</v>
      </c>
      <c r="H249" s="26">
        <v>0</v>
      </c>
      <c r="I249" s="26">
        <v>0</v>
      </c>
      <c r="J249" s="26">
        <v>0</v>
      </c>
      <c r="K249" s="26">
        <v>8666.67</v>
      </c>
      <c r="L249" s="26">
        <v>10000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</row>
    <row r="250" spans="2:95" s="104" customFormat="1" ht="15" customHeight="1">
      <c r="B250" s="165"/>
      <c r="C250" s="259">
        <v>0</v>
      </c>
      <c r="D250" s="178" t="s">
        <v>93</v>
      </c>
      <c r="E250" s="26" t="s">
        <v>30</v>
      </c>
      <c r="F250" s="26">
        <v>6000</v>
      </c>
      <c r="G250" s="26">
        <f t="shared" si="31"/>
        <v>11200</v>
      </c>
      <c r="H250" s="26">
        <v>0</v>
      </c>
      <c r="I250" s="26">
        <v>0</v>
      </c>
      <c r="J250" s="26">
        <v>0</v>
      </c>
      <c r="K250" s="26">
        <v>5200</v>
      </c>
      <c r="L250" s="26">
        <v>6000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</row>
    <row r="251" spans="2:95" s="104" customFormat="1" ht="15" customHeight="1">
      <c r="B251" s="165"/>
      <c r="C251" s="259">
        <v>0</v>
      </c>
      <c r="D251" s="178" t="s">
        <v>94</v>
      </c>
      <c r="E251" s="26" t="s">
        <v>30</v>
      </c>
      <c r="F251" s="26">
        <v>3000</v>
      </c>
      <c r="G251" s="26">
        <f t="shared" si="31"/>
        <v>5600</v>
      </c>
      <c r="H251" s="26">
        <v>0</v>
      </c>
      <c r="I251" s="26">
        <v>0</v>
      </c>
      <c r="J251" s="26">
        <v>0</v>
      </c>
      <c r="K251" s="26">
        <v>2600</v>
      </c>
      <c r="L251" s="26">
        <v>3000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</row>
    <row r="252" spans="2:95" s="104" customFormat="1" ht="15" customHeight="1">
      <c r="B252" s="165"/>
      <c r="C252" s="259">
        <v>0</v>
      </c>
      <c r="D252" s="178" t="s">
        <v>94</v>
      </c>
      <c r="E252" s="26" t="s">
        <v>35</v>
      </c>
      <c r="F252" s="26">
        <v>8000</v>
      </c>
      <c r="G252" s="26">
        <f t="shared" si="31"/>
        <v>14933.33</v>
      </c>
      <c r="H252" s="26">
        <v>0</v>
      </c>
      <c r="I252" s="26">
        <v>0</v>
      </c>
      <c r="J252" s="26">
        <v>0</v>
      </c>
      <c r="K252" s="26">
        <v>6933.33</v>
      </c>
      <c r="L252" s="26">
        <v>8000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</row>
    <row r="253" spans="2:95" s="104" customFormat="1" ht="15" customHeight="1">
      <c r="B253" s="165"/>
      <c r="C253" s="259">
        <v>0</v>
      </c>
      <c r="D253" s="178" t="s">
        <v>94</v>
      </c>
      <c r="E253" s="26" t="s">
        <v>35</v>
      </c>
      <c r="F253" s="26">
        <v>9000</v>
      </c>
      <c r="G253" s="26">
        <f t="shared" si="31"/>
        <v>16800</v>
      </c>
      <c r="H253" s="26">
        <v>0</v>
      </c>
      <c r="I253" s="26">
        <v>0</v>
      </c>
      <c r="J253" s="26">
        <v>0</v>
      </c>
      <c r="K253" s="26">
        <v>7800</v>
      </c>
      <c r="L253" s="26">
        <v>9000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</row>
    <row r="254" spans="2:95" s="104" customFormat="1" ht="15" customHeight="1">
      <c r="B254" s="165"/>
      <c r="C254" s="259">
        <v>0</v>
      </c>
      <c r="D254" s="178" t="s">
        <v>94</v>
      </c>
      <c r="E254" s="26" t="s">
        <v>30</v>
      </c>
      <c r="F254" s="26">
        <v>7000</v>
      </c>
      <c r="G254" s="26">
        <f t="shared" si="31"/>
        <v>26133.33</v>
      </c>
      <c r="H254" s="26">
        <v>0</v>
      </c>
      <c r="I254" s="26">
        <v>0</v>
      </c>
      <c r="J254" s="26">
        <v>0</v>
      </c>
      <c r="K254" s="26">
        <v>12133.33</v>
      </c>
      <c r="L254" s="26">
        <v>14000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</row>
    <row r="255" spans="2:95" s="104" customFormat="1">
      <c r="B255" s="165"/>
      <c r="C255" s="259">
        <v>0</v>
      </c>
      <c r="D255" s="178" t="s">
        <v>92</v>
      </c>
      <c r="E255" s="26" t="s">
        <v>30</v>
      </c>
      <c r="F255" s="26">
        <v>4500</v>
      </c>
      <c r="G255" s="26">
        <f t="shared" ref="G255:G262" si="32">SUM(H255:S255)</f>
        <v>12900</v>
      </c>
      <c r="H255" s="26">
        <v>0</v>
      </c>
      <c r="I255" s="26">
        <v>0</v>
      </c>
      <c r="J255" s="26">
        <v>0</v>
      </c>
      <c r="K255" s="26">
        <v>3900</v>
      </c>
      <c r="L255" s="26">
        <v>4500</v>
      </c>
      <c r="M255" s="26">
        <v>4500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</row>
    <row r="256" spans="2:95" s="104" customFormat="1">
      <c r="B256" s="165"/>
      <c r="C256" s="259">
        <v>0</v>
      </c>
      <c r="D256" s="178" t="s">
        <v>92</v>
      </c>
      <c r="E256" s="26" t="s">
        <v>30</v>
      </c>
      <c r="F256" s="26">
        <v>5000</v>
      </c>
      <c r="G256" s="26">
        <f t="shared" si="32"/>
        <v>14333.33</v>
      </c>
      <c r="H256" s="26">
        <v>0</v>
      </c>
      <c r="I256" s="26">
        <v>0</v>
      </c>
      <c r="J256" s="26">
        <v>0</v>
      </c>
      <c r="K256" s="26">
        <v>4333.33</v>
      </c>
      <c r="L256" s="26">
        <v>5000</v>
      </c>
      <c r="M256" s="26">
        <v>5000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</row>
    <row r="257" spans="2:19" s="104" customFormat="1">
      <c r="B257" s="165"/>
      <c r="C257" s="178">
        <v>0</v>
      </c>
      <c r="D257" s="178" t="s">
        <v>92</v>
      </c>
      <c r="E257" s="26" t="s">
        <v>35</v>
      </c>
      <c r="F257" s="26">
        <v>8000</v>
      </c>
      <c r="G257" s="26">
        <f t="shared" si="32"/>
        <v>22933.33</v>
      </c>
      <c r="H257" s="26">
        <v>0</v>
      </c>
      <c r="I257" s="26">
        <v>0</v>
      </c>
      <c r="J257" s="26">
        <v>0</v>
      </c>
      <c r="K257" s="26">
        <v>6933.33</v>
      </c>
      <c r="L257" s="26">
        <v>8000</v>
      </c>
      <c r="M257" s="26">
        <v>8000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</row>
    <row r="258" spans="2:19" s="104" customFormat="1">
      <c r="B258" s="165"/>
      <c r="C258" s="259">
        <v>0</v>
      </c>
      <c r="D258" s="178" t="s">
        <v>92</v>
      </c>
      <c r="E258" s="26" t="s">
        <v>30</v>
      </c>
      <c r="F258" s="26">
        <v>4500</v>
      </c>
      <c r="G258" s="26">
        <f t="shared" si="32"/>
        <v>12900</v>
      </c>
      <c r="H258" s="26">
        <v>0</v>
      </c>
      <c r="I258" s="26">
        <v>0</v>
      </c>
      <c r="J258" s="26">
        <v>0</v>
      </c>
      <c r="K258" s="26">
        <v>3900</v>
      </c>
      <c r="L258" s="26">
        <v>4500</v>
      </c>
      <c r="M258" s="26">
        <v>4500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</row>
    <row r="259" spans="2:19" s="104" customFormat="1">
      <c r="B259" s="165"/>
      <c r="C259" s="23">
        <v>0</v>
      </c>
      <c r="D259" s="178" t="s">
        <v>92</v>
      </c>
      <c r="E259" s="26" t="s">
        <v>35</v>
      </c>
      <c r="F259" s="26">
        <v>8000</v>
      </c>
      <c r="G259" s="26">
        <f t="shared" si="32"/>
        <v>45866.68</v>
      </c>
      <c r="H259" s="26">
        <v>0</v>
      </c>
      <c r="I259" s="26">
        <v>0</v>
      </c>
      <c r="J259" s="26">
        <v>0</v>
      </c>
      <c r="K259" s="26">
        <v>13866.68</v>
      </c>
      <c r="L259" s="26">
        <v>16000</v>
      </c>
      <c r="M259" s="26">
        <v>16000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</row>
    <row r="260" spans="2:19" s="104" customFormat="1">
      <c r="B260" s="165"/>
      <c r="C260" s="259">
        <v>0</v>
      </c>
      <c r="D260" s="178" t="s">
        <v>92</v>
      </c>
      <c r="E260" s="26" t="s">
        <v>30</v>
      </c>
      <c r="F260" s="26">
        <v>8000</v>
      </c>
      <c r="G260" s="26">
        <f t="shared" si="32"/>
        <v>68800</v>
      </c>
      <c r="H260" s="26">
        <v>0</v>
      </c>
      <c r="I260" s="26">
        <v>0</v>
      </c>
      <c r="J260" s="26">
        <v>0</v>
      </c>
      <c r="K260" s="26">
        <v>20800</v>
      </c>
      <c r="L260" s="26">
        <v>24000</v>
      </c>
      <c r="M260" s="26">
        <v>24000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</row>
    <row r="261" spans="2:19" s="104" customFormat="1">
      <c r="B261" s="165"/>
      <c r="C261" s="259">
        <v>0</v>
      </c>
      <c r="D261" s="178" t="s">
        <v>92</v>
      </c>
      <c r="E261" s="26" t="s">
        <v>30</v>
      </c>
      <c r="F261" s="26">
        <v>4500</v>
      </c>
      <c r="G261" s="26">
        <f t="shared" si="32"/>
        <v>38700</v>
      </c>
      <c r="H261" s="26">
        <v>0</v>
      </c>
      <c r="I261" s="26">
        <v>0</v>
      </c>
      <c r="J261" s="26">
        <v>0</v>
      </c>
      <c r="K261" s="26">
        <v>11700</v>
      </c>
      <c r="L261" s="26">
        <v>13500</v>
      </c>
      <c r="M261" s="26">
        <v>13500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</row>
    <row r="262" spans="2:19" s="104" customFormat="1">
      <c r="B262" s="165"/>
      <c r="C262" s="259">
        <v>0</v>
      </c>
      <c r="D262" s="178" t="s">
        <v>92</v>
      </c>
      <c r="E262" s="26" t="s">
        <v>30</v>
      </c>
      <c r="F262" s="26">
        <v>4000</v>
      </c>
      <c r="G262" s="26">
        <f t="shared" si="32"/>
        <v>45866.67</v>
      </c>
      <c r="H262" s="26">
        <v>0</v>
      </c>
      <c r="I262" s="26">
        <v>0</v>
      </c>
      <c r="J262" s="26">
        <v>0</v>
      </c>
      <c r="K262" s="26">
        <v>13866.67</v>
      </c>
      <c r="L262" s="26">
        <v>16000</v>
      </c>
      <c r="M262" s="26">
        <v>16000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</row>
    <row r="263" spans="2:19" s="104" customFormat="1">
      <c r="B263" s="165"/>
      <c r="C263" s="259">
        <v>0</v>
      </c>
      <c r="D263" s="178" t="s">
        <v>92</v>
      </c>
      <c r="E263" s="26" t="s">
        <v>30</v>
      </c>
      <c r="F263" s="26">
        <v>6000</v>
      </c>
      <c r="G263" s="26">
        <f t="shared" ref="G263:G272" si="33">SUM(H263:S263)</f>
        <v>17200</v>
      </c>
      <c r="H263" s="26">
        <v>0</v>
      </c>
      <c r="I263" s="26">
        <v>0</v>
      </c>
      <c r="J263" s="26">
        <v>0</v>
      </c>
      <c r="K263" s="26">
        <v>5200</v>
      </c>
      <c r="L263" s="26">
        <v>6000</v>
      </c>
      <c r="M263" s="26">
        <v>6000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</row>
    <row r="264" spans="2:19" s="104" customFormat="1">
      <c r="B264" s="165"/>
      <c r="C264" s="259">
        <v>0</v>
      </c>
      <c r="D264" s="178" t="s">
        <v>92</v>
      </c>
      <c r="E264" s="26" t="s">
        <v>30</v>
      </c>
      <c r="F264" s="26">
        <v>3500</v>
      </c>
      <c r="G264" s="26">
        <f t="shared" si="33"/>
        <v>10033.33</v>
      </c>
      <c r="H264" s="26">
        <v>0</v>
      </c>
      <c r="I264" s="26">
        <v>0</v>
      </c>
      <c r="J264" s="26">
        <v>0</v>
      </c>
      <c r="K264" s="26">
        <v>3033.33</v>
      </c>
      <c r="L264" s="26">
        <v>3500</v>
      </c>
      <c r="M264" s="26">
        <v>3500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</row>
    <row r="265" spans="2:19" s="104" customFormat="1">
      <c r="B265" s="174"/>
      <c r="C265" s="259">
        <v>0</v>
      </c>
      <c r="D265" s="175" t="s">
        <v>104</v>
      </c>
      <c r="E265" s="168" t="s">
        <v>30</v>
      </c>
      <c r="F265" s="25">
        <v>13500</v>
      </c>
      <c r="G265" s="26">
        <f>SUM(H265:S265)</f>
        <v>38322.58</v>
      </c>
      <c r="H265" s="26">
        <v>0</v>
      </c>
      <c r="I265" s="26">
        <v>0</v>
      </c>
      <c r="J265" s="26">
        <v>0</v>
      </c>
      <c r="K265" s="26">
        <v>0</v>
      </c>
      <c r="L265" s="26">
        <v>11322.58</v>
      </c>
      <c r="M265" s="26">
        <v>13500</v>
      </c>
      <c r="N265" s="26">
        <v>13500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</row>
    <row r="266" spans="2:19" s="104" customFormat="1" ht="15" customHeight="1">
      <c r="B266" s="165"/>
      <c r="C266" s="259">
        <v>0</v>
      </c>
      <c r="D266" s="188" t="s">
        <v>123</v>
      </c>
      <c r="E266" s="26" t="s">
        <v>30</v>
      </c>
      <c r="F266" s="26">
        <v>4000</v>
      </c>
      <c r="G266" s="26">
        <f>SUM(H266:S266)</f>
        <v>16000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4000</v>
      </c>
      <c r="N266" s="26">
        <v>4000</v>
      </c>
      <c r="O266" s="26">
        <v>4000</v>
      </c>
      <c r="P266" s="26">
        <v>4000</v>
      </c>
      <c r="Q266" s="26">
        <v>0</v>
      </c>
      <c r="R266" s="26">
        <v>0</v>
      </c>
      <c r="S266" s="26">
        <v>0</v>
      </c>
    </row>
    <row r="267" spans="2:19" s="104" customFormat="1" ht="15" customHeight="1">
      <c r="B267" s="165"/>
      <c r="C267" s="23">
        <v>1</v>
      </c>
      <c r="D267" s="178" t="s">
        <v>108</v>
      </c>
      <c r="E267" s="26" t="s">
        <v>35</v>
      </c>
      <c r="F267" s="26">
        <v>8000</v>
      </c>
      <c r="G267" s="26">
        <f t="shared" si="33"/>
        <v>48000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8000</v>
      </c>
      <c r="O267" s="26">
        <v>8000</v>
      </c>
      <c r="P267" s="26">
        <v>8000</v>
      </c>
      <c r="Q267" s="26">
        <v>8000</v>
      </c>
      <c r="R267" s="26">
        <v>8000</v>
      </c>
      <c r="S267" s="26">
        <v>8000</v>
      </c>
    </row>
    <row r="268" spans="2:19" s="104" customFormat="1" ht="15" customHeight="1">
      <c r="B268" s="165"/>
      <c r="C268" s="259">
        <v>3</v>
      </c>
      <c r="D268" s="178" t="s">
        <v>108</v>
      </c>
      <c r="E268" s="26" t="s">
        <v>30</v>
      </c>
      <c r="F268" s="26">
        <v>8000</v>
      </c>
      <c r="G268" s="26">
        <f t="shared" si="33"/>
        <v>144000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24000</v>
      </c>
      <c r="O268" s="26">
        <v>24000</v>
      </c>
      <c r="P268" s="26">
        <v>24000</v>
      </c>
      <c r="Q268" s="26">
        <v>24000</v>
      </c>
      <c r="R268" s="26">
        <v>24000</v>
      </c>
      <c r="S268" s="26">
        <v>24000</v>
      </c>
    </row>
    <row r="269" spans="2:19" s="104" customFormat="1" ht="15" customHeight="1">
      <c r="B269" s="165"/>
      <c r="C269" s="259">
        <v>3</v>
      </c>
      <c r="D269" s="178" t="s">
        <v>108</v>
      </c>
      <c r="E269" s="26" t="s">
        <v>30</v>
      </c>
      <c r="F269" s="26">
        <v>4500</v>
      </c>
      <c r="G269" s="26">
        <f t="shared" si="33"/>
        <v>81000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13500</v>
      </c>
      <c r="O269" s="26">
        <v>13500</v>
      </c>
      <c r="P269" s="26">
        <v>13500</v>
      </c>
      <c r="Q269" s="26">
        <v>13500</v>
      </c>
      <c r="R269" s="26">
        <v>13500</v>
      </c>
      <c r="S269" s="26">
        <v>13500</v>
      </c>
    </row>
    <row r="270" spans="2:19" s="104" customFormat="1" ht="15" customHeight="1">
      <c r="B270" s="165"/>
      <c r="C270" s="259">
        <v>4</v>
      </c>
      <c r="D270" s="178" t="s">
        <v>108</v>
      </c>
      <c r="E270" s="26" t="s">
        <v>30</v>
      </c>
      <c r="F270" s="26">
        <v>4000</v>
      </c>
      <c r="G270" s="26">
        <f t="shared" si="33"/>
        <v>96000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16000</v>
      </c>
      <c r="O270" s="26">
        <v>16000</v>
      </c>
      <c r="P270" s="26">
        <v>16000</v>
      </c>
      <c r="Q270" s="26">
        <v>16000</v>
      </c>
      <c r="R270" s="26">
        <v>16000</v>
      </c>
      <c r="S270" s="26">
        <v>16000</v>
      </c>
    </row>
    <row r="271" spans="2:19" s="104" customFormat="1" ht="15" customHeight="1">
      <c r="B271" s="165"/>
      <c r="C271" s="259">
        <v>1</v>
      </c>
      <c r="D271" s="178" t="s">
        <v>108</v>
      </c>
      <c r="E271" s="26" t="s">
        <v>30</v>
      </c>
      <c r="F271" s="26">
        <v>6000</v>
      </c>
      <c r="G271" s="26">
        <f t="shared" si="33"/>
        <v>36000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45">
        <v>6000</v>
      </c>
      <c r="O271" s="45">
        <v>6000</v>
      </c>
      <c r="P271" s="45">
        <v>6000</v>
      </c>
      <c r="Q271" s="45">
        <v>6000</v>
      </c>
      <c r="R271" s="45">
        <v>6000</v>
      </c>
      <c r="S271" s="45">
        <v>6000</v>
      </c>
    </row>
    <row r="272" spans="2:19" s="104" customFormat="1" ht="15" customHeight="1">
      <c r="B272" s="165"/>
      <c r="C272" s="259">
        <v>1</v>
      </c>
      <c r="D272" s="178" t="s">
        <v>108</v>
      </c>
      <c r="E272" s="26" t="s">
        <v>30</v>
      </c>
      <c r="F272" s="26">
        <v>3500</v>
      </c>
      <c r="G272" s="26">
        <f t="shared" si="33"/>
        <v>21000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45">
        <v>3500</v>
      </c>
      <c r="O272" s="45">
        <v>3500</v>
      </c>
      <c r="P272" s="45">
        <v>3500</v>
      </c>
      <c r="Q272" s="45">
        <v>3500</v>
      </c>
      <c r="R272" s="45">
        <v>3500</v>
      </c>
      <c r="S272" s="45">
        <v>3500</v>
      </c>
    </row>
    <row r="273" spans="2:19" s="104" customFormat="1" ht="15" customHeight="1">
      <c r="B273" s="165"/>
      <c r="C273" s="259">
        <v>1</v>
      </c>
      <c r="D273" s="178" t="s">
        <v>105</v>
      </c>
      <c r="E273" s="26" t="s">
        <v>30</v>
      </c>
      <c r="F273" s="26">
        <v>4000</v>
      </c>
      <c r="G273" s="26">
        <f t="shared" ref="G273:G280" si="34">SUM(H273:S273)</f>
        <v>28000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4000</v>
      </c>
      <c r="N273" s="26">
        <v>4000</v>
      </c>
      <c r="O273" s="26">
        <v>4000</v>
      </c>
      <c r="P273" s="26">
        <v>4000</v>
      </c>
      <c r="Q273" s="26">
        <v>4000</v>
      </c>
      <c r="R273" s="26">
        <v>4000</v>
      </c>
      <c r="S273" s="26">
        <v>4000</v>
      </c>
    </row>
    <row r="274" spans="2:19" s="104" customFormat="1" ht="15" customHeight="1">
      <c r="B274" s="165"/>
      <c r="C274" s="259">
        <v>1</v>
      </c>
      <c r="D274" s="178" t="s">
        <v>105</v>
      </c>
      <c r="E274" s="26" t="s">
        <v>30</v>
      </c>
      <c r="F274" s="26">
        <v>8000</v>
      </c>
      <c r="G274" s="26">
        <f t="shared" si="34"/>
        <v>56000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8000</v>
      </c>
      <c r="N274" s="45">
        <v>8000</v>
      </c>
      <c r="O274" s="45">
        <v>8000</v>
      </c>
      <c r="P274" s="45">
        <v>8000</v>
      </c>
      <c r="Q274" s="45">
        <v>8000</v>
      </c>
      <c r="R274" s="45">
        <v>8000</v>
      </c>
      <c r="S274" s="45">
        <v>8000</v>
      </c>
    </row>
    <row r="275" spans="2:19" s="104" customFormat="1" ht="15" customHeight="1">
      <c r="B275" s="165"/>
      <c r="C275" s="259">
        <v>1</v>
      </c>
      <c r="D275" s="178" t="s">
        <v>105</v>
      </c>
      <c r="E275" s="26" t="s">
        <v>30</v>
      </c>
      <c r="F275" s="26">
        <v>6000</v>
      </c>
      <c r="G275" s="26">
        <f t="shared" si="34"/>
        <v>42000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6000</v>
      </c>
      <c r="N275" s="45">
        <v>6000</v>
      </c>
      <c r="O275" s="45">
        <v>6000</v>
      </c>
      <c r="P275" s="45">
        <v>6000</v>
      </c>
      <c r="Q275" s="45">
        <v>6000</v>
      </c>
      <c r="R275" s="45">
        <v>6000</v>
      </c>
      <c r="S275" s="45">
        <v>6000</v>
      </c>
    </row>
    <row r="276" spans="2:19" s="104" customFormat="1" ht="15" customHeight="1">
      <c r="B276" s="165"/>
      <c r="C276" s="259">
        <v>1</v>
      </c>
      <c r="D276" s="178" t="s">
        <v>105</v>
      </c>
      <c r="E276" s="26" t="s">
        <v>30</v>
      </c>
      <c r="F276" s="26">
        <v>3000</v>
      </c>
      <c r="G276" s="26">
        <f t="shared" si="34"/>
        <v>21000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3000</v>
      </c>
      <c r="N276" s="45">
        <v>3000</v>
      </c>
      <c r="O276" s="45">
        <v>3000</v>
      </c>
      <c r="P276" s="45">
        <v>3000</v>
      </c>
      <c r="Q276" s="45">
        <v>0</v>
      </c>
      <c r="R276" s="45">
        <v>6000</v>
      </c>
      <c r="S276" s="45">
        <v>3000</v>
      </c>
    </row>
    <row r="277" spans="2:19" s="104" customFormat="1" ht="15" customHeight="1">
      <c r="B277" s="165"/>
      <c r="C277" s="259">
        <v>1</v>
      </c>
      <c r="D277" s="178" t="s">
        <v>105</v>
      </c>
      <c r="E277" s="26" t="s">
        <v>35</v>
      </c>
      <c r="F277" s="26">
        <v>8000</v>
      </c>
      <c r="G277" s="26">
        <f t="shared" si="34"/>
        <v>56000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8000</v>
      </c>
      <c r="N277" s="45">
        <v>8000</v>
      </c>
      <c r="O277" s="45">
        <v>8000</v>
      </c>
      <c r="P277" s="45">
        <v>8000</v>
      </c>
      <c r="Q277" s="45">
        <v>0</v>
      </c>
      <c r="R277" s="45">
        <v>16000</v>
      </c>
      <c r="S277" s="45">
        <v>8000</v>
      </c>
    </row>
    <row r="278" spans="2:19" s="104" customFormat="1" ht="15" customHeight="1">
      <c r="B278" s="165"/>
      <c r="C278" s="259">
        <v>1</v>
      </c>
      <c r="D278" s="178" t="s">
        <v>105</v>
      </c>
      <c r="E278" s="26" t="s">
        <v>35</v>
      </c>
      <c r="F278" s="26">
        <v>9000</v>
      </c>
      <c r="G278" s="26">
        <f t="shared" si="34"/>
        <v>63000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9000</v>
      </c>
      <c r="N278" s="45">
        <v>9000</v>
      </c>
      <c r="O278" s="45">
        <v>9000</v>
      </c>
      <c r="P278" s="45">
        <v>9000</v>
      </c>
      <c r="Q278" s="45">
        <v>9000</v>
      </c>
      <c r="R278" s="45">
        <v>9000</v>
      </c>
      <c r="S278" s="45">
        <v>9000</v>
      </c>
    </row>
    <row r="279" spans="2:19" s="104" customFormat="1" ht="15" customHeight="1">
      <c r="B279" s="165"/>
      <c r="C279" s="259">
        <v>1</v>
      </c>
      <c r="D279" s="188" t="s">
        <v>127</v>
      </c>
      <c r="E279" s="26" t="s">
        <v>30</v>
      </c>
      <c r="F279" s="26">
        <v>8000</v>
      </c>
      <c r="G279" s="26">
        <f t="shared" si="34"/>
        <v>19612.900000000001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45">
        <v>0</v>
      </c>
      <c r="O279" s="45">
        <v>0</v>
      </c>
      <c r="P279" s="45">
        <v>0</v>
      </c>
      <c r="Q279" s="45">
        <v>0</v>
      </c>
      <c r="R279" s="45">
        <f>258.064516129032*14+8000</f>
        <v>11612.9</v>
      </c>
      <c r="S279" s="45">
        <v>8000</v>
      </c>
    </row>
    <row r="280" spans="2:19" s="104" customFormat="1" ht="15" customHeight="1">
      <c r="B280" s="165"/>
      <c r="C280" s="259">
        <v>1</v>
      </c>
      <c r="D280" s="178" t="s">
        <v>105</v>
      </c>
      <c r="E280" s="26" t="s">
        <v>30</v>
      </c>
      <c r="F280" s="26">
        <v>7000</v>
      </c>
      <c r="G280" s="26">
        <f t="shared" si="34"/>
        <v>49000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7000</v>
      </c>
      <c r="N280" s="26">
        <v>7000</v>
      </c>
      <c r="O280" s="26">
        <v>7000</v>
      </c>
      <c r="P280" s="26">
        <v>7000</v>
      </c>
      <c r="Q280" s="26">
        <v>0</v>
      </c>
      <c r="R280" s="26">
        <v>14000</v>
      </c>
      <c r="S280" s="26">
        <v>7000</v>
      </c>
    </row>
    <row r="281" spans="2:19" s="104" customFormat="1" ht="15" customHeight="1">
      <c r="B281" s="66"/>
      <c r="C281" s="23">
        <v>1</v>
      </c>
      <c r="D281" s="178" t="s">
        <v>113</v>
      </c>
      <c r="E281" s="24" t="s">
        <v>30</v>
      </c>
      <c r="F281" s="25">
        <v>4000</v>
      </c>
      <c r="G281" s="26">
        <f>SUM(H281:S281)</f>
        <v>19870.97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5">
        <v>0</v>
      </c>
      <c r="P281" s="25">
        <f>129.032258064516*30+4000</f>
        <v>7870.97</v>
      </c>
      <c r="Q281" s="25">
        <v>4000</v>
      </c>
      <c r="R281" s="25">
        <v>4000</v>
      </c>
      <c r="S281" s="25">
        <v>4000</v>
      </c>
    </row>
    <row r="282" spans="2:19" s="104" customFormat="1" ht="15" customHeight="1">
      <c r="B282" s="165"/>
      <c r="C282" s="259">
        <v>1</v>
      </c>
      <c r="D282" s="178" t="s">
        <v>112</v>
      </c>
      <c r="E282" s="26" t="s">
        <v>30</v>
      </c>
      <c r="F282" s="26">
        <v>4000</v>
      </c>
      <c r="G282" s="26">
        <f>SUM(H282:S282)</f>
        <v>22064.52</v>
      </c>
      <c r="H282" s="26">
        <v>0</v>
      </c>
      <c r="I282" s="26">
        <v>0</v>
      </c>
      <c r="J282" s="26">
        <v>0</v>
      </c>
      <c r="K282" s="26">
        <v>0</v>
      </c>
      <c r="L282" s="26">
        <v>0</v>
      </c>
      <c r="M282" s="26">
        <v>0</v>
      </c>
      <c r="N282" s="26">
        <v>0</v>
      </c>
      <c r="O282" s="45">
        <f>4000+2064.52</f>
        <v>6064.52</v>
      </c>
      <c r="P282" s="45">
        <v>4000</v>
      </c>
      <c r="Q282" s="45">
        <v>4000</v>
      </c>
      <c r="R282" s="45">
        <v>4000</v>
      </c>
      <c r="S282" s="45">
        <v>4000</v>
      </c>
    </row>
    <row r="283" spans="2:19" s="104" customFormat="1" ht="15" customHeight="1">
      <c r="B283" s="165"/>
      <c r="C283" s="259">
        <v>1</v>
      </c>
      <c r="D283" s="178" t="s">
        <v>108</v>
      </c>
      <c r="E283" s="26" t="s">
        <v>30</v>
      </c>
      <c r="F283" s="26">
        <v>5000</v>
      </c>
      <c r="G283" s="26">
        <f t="shared" ref="G283" si="35">SUM(H283:S283)</f>
        <v>30000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10000</v>
      </c>
      <c r="P283" s="26">
        <v>5000</v>
      </c>
      <c r="Q283" s="26">
        <v>5000</v>
      </c>
      <c r="R283" s="26">
        <v>5000</v>
      </c>
      <c r="S283" s="26">
        <v>5000</v>
      </c>
    </row>
    <row r="284" spans="2:19" s="104" customFormat="1" ht="16.5" customHeight="1">
      <c r="B284" s="66"/>
      <c r="C284" s="259">
        <v>0</v>
      </c>
      <c r="D284" s="178" t="s">
        <v>32</v>
      </c>
      <c r="E284" s="26" t="s">
        <v>30</v>
      </c>
      <c r="F284" s="26">
        <v>8000</v>
      </c>
      <c r="G284" s="26">
        <f>SUM(H284:S284)</f>
        <v>11714.29</v>
      </c>
      <c r="H284" s="26">
        <v>0</v>
      </c>
      <c r="I284" s="26">
        <v>0</v>
      </c>
      <c r="J284" s="45">
        <f>(F284/28*13)+F284</f>
        <v>11714.29</v>
      </c>
      <c r="K284" s="26">
        <f>F284*26/30*C284</f>
        <v>0</v>
      </c>
      <c r="L284" s="26">
        <f>F284*C284</f>
        <v>0</v>
      </c>
      <c r="M284" s="26">
        <f>F284*C284</f>
        <v>0</v>
      </c>
      <c r="N284" s="45">
        <f>F284*C284</f>
        <v>0</v>
      </c>
      <c r="O284" s="45">
        <f>F284*C284</f>
        <v>0</v>
      </c>
      <c r="P284" s="45">
        <f>F284*C284</f>
        <v>0</v>
      </c>
      <c r="Q284" s="45">
        <f>F284*C284</f>
        <v>0</v>
      </c>
      <c r="R284" s="45">
        <f>F284*C284</f>
        <v>0</v>
      </c>
      <c r="S284" s="45">
        <f>F284*C284</f>
        <v>0</v>
      </c>
    </row>
    <row r="285" spans="2:19" s="104" customFormat="1" ht="15.75" customHeight="1">
      <c r="B285" s="66"/>
      <c r="C285" s="23">
        <v>1</v>
      </c>
      <c r="D285" s="178" t="s">
        <v>81</v>
      </c>
      <c r="E285" s="24" t="s">
        <v>30</v>
      </c>
      <c r="F285" s="25">
        <v>12000</v>
      </c>
      <c r="G285" s="26">
        <f>SUM(H285:S285)</f>
        <v>118451.61</v>
      </c>
      <c r="H285" s="26">
        <v>0</v>
      </c>
      <c r="I285" s="26">
        <v>0</v>
      </c>
      <c r="J285" s="45">
        <f>(F285/31*27)</f>
        <v>10451.61</v>
      </c>
      <c r="K285" s="26">
        <v>12000</v>
      </c>
      <c r="L285" s="26">
        <v>12000</v>
      </c>
      <c r="M285" s="26">
        <v>12000</v>
      </c>
      <c r="N285" s="26">
        <v>12000</v>
      </c>
      <c r="O285" s="26">
        <v>12000</v>
      </c>
      <c r="P285" s="26">
        <v>12000</v>
      </c>
      <c r="Q285" s="26">
        <v>12000</v>
      </c>
      <c r="R285" s="26">
        <v>12000</v>
      </c>
      <c r="S285" s="26">
        <v>12000</v>
      </c>
    </row>
    <row r="286" spans="2:19" s="104" customFormat="1" ht="15.75" customHeight="1">
      <c r="B286" s="66"/>
      <c r="C286" s="23">
        <v>1</v>
      </c>
      <c r="D286" s="178" t="s">
        <v>82</v>
      </c>
      <c r="E286" s="24" t="s">
        <v>30</v>
      </c>
      <c r="F286" s="25">
        <v>10000</v>
      </c>
      <c r="G286" s="26">
        <f>SUM(H286:S286)</f>
        <v>99354.84</v>
      </c>
      <c r="H286" s="26">
        <v>0</v>
      </c>
      <c r="I286" s="26">
        <v>0</v>
      </c>
      <c r="J286" s="45">
        <f>(F286/31*29)</f>
        <v>9354.84</v>
      </c>
      <c r="K286" s="26">
        <v>10000</v>
      </c>
      <c r="L286" s="26">
        <v>10000</v>
      </c>
      <c r="M286" s="26">
        <v>10000</v>
      </c>
      <c r="N286" s="26">
        <v>10000</v>
      </c>
      <c r="O286" s="26">
        <v>10000</v>
      </c>
      <c r="P286" s="26">
        <v>10000</v>
      </c>
      <c r="Q286" s="26">
        <v>10000</v>
      </c>
      <c r="R286" s="26">
        <v>10000</v>
      </c>
      <c r="S286" s="26">
        <v>10000</v>
      </c>
    </row>
    <row r="287" spans="2:19" s="104" customFormat="1" ht="15.75" customHeight="1">
      <c r="B287" s="165"/>
      <c r="C287" s="259">
        <v>0</v>
      </c>
      <c r="D287" s="178" t="s">
        <v>28</v>
      </c>
      <c r="E287" s="44" t="s">
        <v>29</v>
      </c>
      <c r="F287" s="25">
        <v>4500</v>
      </c>
      <c r="G287" s="26">
        <f>SUM(H287:S287)</f>
        <v>13064.52</v>
      </c>
      <c r="H287" s="26">
        <v>0</v>
      </c>
      <c r="I287" s="26">
        <f>+(F287/31*28)+F287</f>
        <v>8564.52</v>
      </c>
      <c r="J287" s="26">
        <v>4500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</row>
    <row r="288" spans="2:19" s="104" customFormat="1">
      <c r="B288" s="165"/>
      <c r="C288" s="261"/>
      <c r="D288" s="219"/>
      <c r="E288" s="291" t="s">
        <v>24</v>
      </c>
      <c r="F288" s="292"/>
      <c r="G288" s="26">
        <f>1078380-SUM(G235:G287)+91500+26935+1012560-26915-14395-105000-17706</f>
        <v>0.06</v>
      </c>
      <c r="H288" s="102"/>
      <c r="I288" s="102"/>
      <c r="J288" s="102"/>
      <c r="K288" s="102"/>
      <c r="L288" s="102"/>
      <c r="M288" s="103"/>
      <c r="N288" s="102"/>
      <c r="O288" s="102"/>
      <c r="P288" s="102"/>
      <c r="Q288" s="102"/>
      <c r="R288" s="102"/>
      <c r="S288" s="102"/>
    </row>
    <row r="289" spans="2:20" s="104" customFormat="1" ht="30">
      <c r="B289" s="197" t="s">
        <v>52</v>
      </c>
      <c r="C289" s="262">
        <f>SUM(C290:C297)</f>
        <v>4</v>
      </c>
      <c r="D289" s="220"/>
      <c r="E289" s="200"/>
      <c r="F289" s="56"/>
      <c r="G289" s="15">
        <f>SUM(G290:G297)</f>
        <v>322227.96000000002</v>
      </c>
      <c r="H289" s="15">
        <f t="shared" ref="H289:S289" si="36">SUM(H290:H298)</f>
        <v>0</v>
      </c>
      <c r="I289" s="15">
        <f t="shared" si="36"/>
        <v>41870.97</v>
      </c>
      <c r="J289" s="15">
        <f t="shared" si="36"/>
        <v>22000</v>
      </c>
      <c r="K289" s="15">
        <f t="shared" si="36"/>
        <v>19066.669999999998</v>
      </c>
      <c r="L289" s="15">
        <f t="shared" si="36"/>
        <v>22000</v>
      </c>
      <c r="M289" s="15">
        <f t="shared" si="36"/>
        <v>22000</v>
      </c>
      <c r="N289" s="15">
        <f t="shared" si="36"/>
        <v>12000</v>
      </c>
      <c r="O289" s="15">
        <f t="shared" si="36"/>
        <v>48000</v>
      </c>
      <c r="P289" s="15">
        <f t="shared" si="36"/>
        <v>30000</v>
      </c>
      <c r="Q289" s="15">
        <f t="shared" si="36"/>
        <v>30000</v>
      </c>
      <c r="R289" s="15">
        <f t="shared" si="36"/>
        <v>39290.32</v>
      </c>
      <c r="S289" s="15">
        <f t="shared" si="36"/>
        <v>36000</v>
      </c>
      <c r="T289" s="107"/>
    </row>
    <row r="290" spans="2:20" s="104" customFormat="1" ht="15.75" customHeight="1">
      <c r="B290" s="201"/>
      <c r="C290" s="259">
        <v>0</v>
      </c>
      <c r="D290" s="178" t="s">
        <v>28</v>
      </c>
      <c r="E290" s="44" t="s">
        <v>30</v>
      </c>
      <c r="F290" s="25">
        <v>12000</v>
      </c>
      <c r="G290" s="26">
        <f t="shared" ref="G290:G297" si="37">SUM(H290:S290)</f>
        <v>34838.71</v>
      </c>
      <c r="H290" s="26">
        <v>0</v>
      </c>
      <c r="I290" s="26">
        <f>F290+F290/31*28</f>
        <v>22838.71</v>
      </c>
      <c r="J290" s="26">
        <v>12000</v>
      </c>
      <c r="K290" s="26">
        <v>0</v>
      </c>
      <c r="L290" s="26">
        <v>0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</row>
    <row r="291" spans="2:20" s="104" customFormat="1">
      <c r="B291" s="165"/>
      <c r="C291" s="259">
        <v>0</v>
      </c>
      <c r="D291" s="178" t="s">
        <v>92</v>
      </c>
      <c r="E291" s="44" t="s">
        <v>30</v>
      </c>
      <c r="F291" s="25">
        <v>12000</v>
      </c>
      <c r="G291" s="26">
        <f t="shared" si="37"/>
        <v>34400</v>
      </c>
      <c r="H291" s="26">
        <v>0</v>
      </c>
      <c r="I291" s="26">
        <v>0</v>
      </c>
      <c r="J291" s="26">
        <v>0</v>
      </c>
      <c r="K291" s="26">
        <v>10400</v>
      </c>
      <c r="L291" s="26">
        <v>12000</v>
      </c>
      <c r="M291" s="26">
        <v>12000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</row>
    <row r="292" spans="2:20" s="104" customFormat="1">
      <c r="B292" s="165"/>
      <c r="C292" s="259">
        <v>0</v>
      </c>
      <c r="D292" s="178" t="s">
        <v>92</v>
      </c>
      <c r="E292" s="44" t="s">
        <v>30</v>
      </c>
      <c r="F292" s="25">
        <v>10000</v>
      </c>
      <c r="G292" s="26">
        <f t="shared" si="37"/>
        <v>28666.67</v>
      </c>
      <c r="H292" s="26">
        <v>0</v>
      </c>
      <c r="I292" s="26">
        <v>0</v>
      </c>
      <c r="J292" s="26">
        <v>0</v>
      </c>
      <c r="K292" s="26">
        <v>8666.67</v>
      </c>
      <c r="L292" s="26">
        <v>10000</v>
      </c>
      <c r="M292" s="26">
        <v>10000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</row>
    <row r="293" spans="2:20" s="104" customFormat="1" ht="16.5" customHeight="1">
      <c r="B293" s="165"/>
      <c r="C293" s="259">
        <v>1</v>
      </c>
      <c r="D293" s="178" t="s">
        <v>108</v>
      </c>
      <c r="E293" s="44" t="s">
        <v>30</v>
      </c>
      <c r="F293" s="25">
        <v>10000</v>
      </c>
      <c r="G293" s="26">
        <f>SUM(H293:S293)</f>
        <v>60000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45">
        <v>20000</v>
      </c>
      <c r="P293" s="45">
        <v>10000</v>
      </c>
      <c r="Q293" s="45">
        <v>10000</v>
      </c>
      <c r="R293" s="45">
        <v>10000</v>
      </c>
      <c r="S293" s="45">
        <v>10000</v>
      </c>
    </row>
    <row r="294" spans="2:20" s="104" customFormat="1" ht="16.5" customHeight="1">
      <c r="B294" s="165"/>
      <c r="C294" s="259">
        <v>1</v>
      </c>
      <c r="D294" s="178" t="s">
        <v>129</v>
      </c>
      <c r="E294" s="44" t="s">
        <v>30</v>
      </c>
      <c r="F294" s="25">
        <v>6000</v>
      </c>
      <c r="G294" s="26">
        <f>SUM(H294:S294)</f>
        <v>15290.32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45">
        <v>0</v>
      </c>
      <c r="P294" s="45">
        <v>0</v>
      </c>
      <c r="Q294" s="45">
        <v>0</v>
      </c>
      <c r="R294" s="45">
        <f>193.548387096774*17+6000</f>
        <v>9290.32</v>
      </c>
      <c r="S294" s="45">
        <v>6000</v>
      </c>
    </row>
    <row r="295" spans="2:20" s="104" customFormat="1" ht="15" customHeight="1">
      <c r="B295" s="165"/>
      <c r="C295" s="23">
        <v>1</v>
      </c>
      <c r="D295" s="178" t="s">
        <v>108</v>
      </c>
      <c r="E295" s="26" t="s">
        <v>30</v>
      </c>
      <c r="F295" s="26">
        <v>12000</v>
      </c>
      <c r="G295" s="26">
        <f t="shared" si="37"/>
        <v>72000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45">
        <v>12000</v>
      </c>
      <c r="O295" s="45">
        <v>12000</v>
      </c>
      <c r="P295" s="45">
        <v>12000</v>
      </c>
      <c r="Q295" s="45">
        <v>12000</v>
      </c>
      <c r="R295" s="45">
        <v>12000</v>
      </c>
      <c r="S295" s="45">
        <v>12000</v>
      </c>
    </row>
    <row r="296" spans="2:20" s="104" customFormat="1" ht="15" customHeight="1">
      <c r="B296" s="165"/>
      <c r="C296" s="23">
        <v>1</v>
      </c>
      <c r="D296" s="178" t="s">
        <v>108</v>
      </c>
      <c r="E296" s="26" t="s">
        <v>35</v>
      </c>
      <c r="F296" s="26">
        <v>8000</v>
      </c>
      <c r="G296" s="26">
        <f t="shared" si="37"/>
        <v>48000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45">
        <v>0</v>
      </c>
      <c r="O296" s="45">
        <v>16000</v>
      </c>
      <c r="P296" s="45">
        <v>8000</v>
      </c>
      <c r="Q296" s="45">
        <v>8000</v>
      </c>
      <c r="R296" s="45">
        <v>8000</v>
      </c>
      <c r="S296" s="45">
        <v>8000</v>
      </c>
    </row>
    <row r="297" spans="2:20" ht="28.5">
      <c r="B297" s="55"/>
      <c r="C297" s="259">
        <v>0</v>
      </c>
      <c r="D297" s="178" t="s">
        <v>28</v>
      </c>
      <c r="E297" s="44" t="s">
        <v>30</v>
      </c>
      <c r="F297" s="25">
        <v>10000</v>
      </c>
      <c r="G297" s="26">
        <f t="shared" si="37"/>
        <v>29032.26</v>
      </c>
      <c r="H297" s="26">
        <v>0</v>
      </c>
      <c r="I297" s="20">
        <f>F297+F297/31*28</f>
        <v>19032.259999999998</v>
      </c>
      <c r="J297" s="20">
        <v>10000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</row>
    <row r="298" spans="2:20">
      <c r="B298" s="55"/>
      <c r="C298" s="263"/>
      <c r="D298" s="221"/>
      <c r="E298" s="289" t="s">
        <v>24</v>
      </c>
      <c r="F298" s="290"/>
      <c r="G298" s="45">
        <f>234345-SUM(G290:G297)-91500+165025+14395</f>
        <v>37.04</v>
      </c>
      <c r="H298" s="54"/>
      <c r="I298" s="54"/>
      <c r="J298" s="54"/>
      <c r="K298" s="54"/>
      <c r="L298" s="101"/>
      <c r="M298" s="57"/>
      <c r="N298" s="54"/>
      <c r="O298" s="54"/>
      <c r="P298" s="54"/>
      <c r="Q298" s="54"/>
      <c r="R298" s="54"/>
      <c r="S298" s="54"/>
    </row>
    <row r="299" spans="2:20" s="86" customFormat="1" ht="30">
      <c r="B299" s="196" t="s">
        <v>53</v>
      </c>
      <c r="C299" s="262">
        <f>SUM(C301:C303)</f>
        <v>1</v>
      </c>
      <c r="D299" s="218"/>
      <c r="E299" s="97"/>
      <c r="F299" s="98"/>
      <c r="G299" s="95">
        <f>SUM(G301:G303)</f>
        <v>117698.93</v>
      </c>
      <c r="H299" s="95">
        <f t="shared" ref="H299:S299" si="38">SUM(H301:H304)</f>
        <v>0</v>
      </c>
      <c r="I299" s="95">
        <f t="shared" si="38"/>
        <v>19032.259999999998</v>
      </c>
      <c r="J299" s="95">
        <f t="shared" si="38"/>
        <v>10000</v>
      </c>
      <c r="K299" s="95">
        <f t="shared" si="38"/>
        <v>8666.67</v>
      </c>
      <c r="L299" s="95">
        <f t="shared" si="38"/>
        <v>10000</v>
      </c>
      <c r="M299" s="95">
        <f t="shared" si="38"/>
        <v>10000</v>
      </c>
      <c r="N299" s="95">
        <f t="shared" si="38"/>
        <v>0</v>
      </c>
      <c r="O299" s="95">
        <f t="shared" si="38"/>
        <v>20000</v>
      </c>
      <c r="P299" s="95">
        <f t="shared" si="38"/>
        <v>10000</v>
      </c>
      <c r="Q299" s="95">
        <f t="shared" si="38"/>
        <v>10000</v>
      </c>
      <c r="R299" s="95">
        <f t="shared" si="38"/>
        <v>10000</v>
      </c>
      <c r="S299" s="95">
        <f t="shared" si="38"/>
        <v>10000</v>
      </c>
      <c r="T299" s="99"/>
    </row>
    <row r="300" spans="2:20" s="86" customFormat="1">
      <c r="B300" s="196"/>
      <c r="C300" s="262"/>
      <c r="D300" s="218"/>
      <c r="E300" s="97"/>
      <c r="F300"/>
      <c r="G300" s="190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9"/>
    </row>
    <row r="301" spans="2:20" s="104" customFormat="1">
      <c r="B301" s="197"/>
      <c r="C301" s="259">
        <v>0</v>
      </c>
      <c r="D301" s="178" t="s">
        <v>92</v>
      </c>
      <c r="E301" s="44" t="s">
        <v>35</v>
      </c>
      <c r="F301" s="25">
        <v>10000</v>
      </c>
      <c r="G301" s="26">
        <f>SUM(H301:S301)</f>
        <v>28666.67</v>
      </c>
      <c r="H301" s="26">
        <v>0</v>
      </c>
      <c r="I301" s="26">
        <v>0</v>
      </c>
      <c r="J301" s="26">
        <v>0</v>
      </c>
      <c r="K301" s="26">
        <v>8666.67</v>
      </c>
      <c r="L301" s="26">
        <v>10000</v>
      </c>
      <c r="M301" s="26">
        <v>10000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</row>
    <row r="302" spans="2:20" s="104" customFormat="1" ht="15" customHeight="1">
      <c r="B302" s="165"/>
      <c r="C302" s="23">
        <v>1</v>
      </c>
      <c r="D302" s="178" t="s">
        <v>108</v>
      </c>
      <c r="E302" s="26" t="s">
        <v>35</v>
      </c>
      <c r="F302" s="26">
        <v>10000</v>
      </c>
      <c r="G302" s="26">
        <f>SUM(H302:S302)</f>
        <v>60000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45">
        <v>0</v>
      </c>
      <c r="O302" s="45">
        <v>20000</v>
      </c>
      <c r="P302" s="45">
        <v>10000</v>
      </c>
      <c r="Q302" s="45">
        <v>10000</v>
      </c>
      <c r="R302" s="45">
        <v>10000</v>
      </c>
      <c r="S302" s="45">
        <v>10000</v>
      </c>
    </row>
    <row r="303" spans="2:20" ht="28.5">
      <c r="B303" s="55"/>
      <c r="C303" s="259">
        <v>0</v>
      </c>
      <c r="D303" s="178" t="s">
        <v>28</v>
      </c>
      <c r="E303" s="44" t="s">
        <v>30</v>
      </c>
      <c r="F303" s="25">
        <v>10000</v>
      </c>
      <c r="G303" s="26">
        <f>SUM(H303:S303)</f>
        <v>29032.26</v>
      </c>
      <c r="H303" s="26">
        <v>0</v>
      </c>
      <c r="I303" s="21">
        <f>F303+9032.26</f>
        <v>19032.259999999998</v>
      </c>
      <c r="J303" s="20">
        <v>10000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</row>
    <row r="304" spans="2:20">
      <c r="B304" s="55"/>
      <c r="C304" s="264"/>
      <c r="D304" s="222"/>
      <c r="E304" s="289" t="s">
        <v>24</v>
      </c>
      <c r="F304" s="290"/>
      <c r="G304" s="45">
        <f>91750-SUM(G301:G303)-26935+25970+26915</f>
        <v>1.07</v>
      </c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>
        <v>0</v>
      </c>
    </row>
    <row r="305" spans="2:20" ht="26.25" customHeight="1">
      <c r="B305" s="145"/>
      <c r="C305" s="265"/>
      <c r="D305" s="223"/>
      <c r="E305" s="138"/>
      <c r="F305" s="138"/>
      <c r="G305" s="117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17"/>
      <c r="T305" s="100"/>
    </row>
    <row r="306" spans="2:20">
      <c r="B306" s="286" t="s">
        <v>54</v>
      </c>
      <c r="C306" s="266"/>
      <c r="D306" s="224"/>
      <c r="E306" s="142"/>
      <c r="F306" s="130" t="s">
        <v>23</v>
      </c>
      <c r="G306" s="106">
        <f>G307+G308</f>
        <v>373071</v>
      </c>
      <c r="H306" s="140"/>
      <c r="I306" s="140"/>
      <c r="J306" s="140"/>
      <c r="K306" s="140"/>
      <c r="L306" s="140"/>
      <c r="M306" s="141"/>
      <c r="N306" s="140"/>
      <c r="O306" s="140"/>
      <c r="P306" s="140"/>
      <c r="Q306" s="140"/>
      <c r="R306" s="140"/>
      <c r="S306" s="111"/>
    </row>
    <row r="307" spans="2:20">
      <c r="B307" s="286"/>
      <c r="C307" s="267"/>
      <c r="D307" s="221"/>
      <c r="E307" s="143"/>
      <c r="F307" s="108" t="s">
        <v>95</v>
      </c>
      <c r="G307" s="106">
        <f>G309</f>
        <v>373070.35</v>
      </c>
      <c r="H307" s="54"/>
      <c r="I307" s="54"/>
      <c r="J307" s="54"/>
      <c r="K307" s="54"/>
      <c r="L307" s="54"/>
      <c r="M307" s="57"/>
      <c r="N307" s="54"/>
      <c r="O307" s="54"/>
      <c r="P307" s="54"/>
      <c r="Q307" s="54"/>
      <c r="R307" s="54"/>
      <c r="S307" s="10"/>
    </row>
    <row r="308" spans="2:20" ht="30">
      <c r="B308" s="286"/>
      <c r="C308" s="105"/>
      <c r="D308" s="203"/>
      <c r="E308" s="33"/>
      <c r="F308" s="108" t="s">
        <v>24</v>
      </c>
      <c r="G308" s="106">
        <f>G321</f>
        <v>0.65</v>
      </c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2:20" ht="43.5" thickBot="1">
      <c r="B309" s="144" t="s">
        <v>55</v>
      </c>
      <c r="C309" s="8">
        <f>SUM(C310:C320)</f>
        <v>4</v>
      </c>
      <c r="D309" s="203"/>
      <c r="E309" s="40"/>
      <c r="F309" s="10"/>
      <c r="G309" s="16">
        <f>SUM(G310:G320)</f>
        <v>373070.35</v>
      </c>
      <c r="H309" s="14">
        <f t="shared" ref="H309:S309" si="39">SUM(H310:H321)</f>
        <v>6322.58</v>
      </c>
      <c r="I309" s="14">
        <f t="shared" si="39"/>
        <v>7000</v>
      </c>
      <c r="J309" s="14">
        <f t="shared" si="39"/>
        <v>32571.42</v>
      </c>
      <c r="K309" s="14">
        <f t="shared" si="39"/>
        <v>24466.67</v>
      </c>
      <c r="L309" s="14">
        <f t="shared" si="39"/>
        <v>27000</v>
      </c>
      <c r="M309" s="14">
        <f t="shared" si="39"/>
        <v>65709.679999999993</v>
      </c>
      <c r="N309" s="14">
        <f t="shared" si="39"/>
        <v>35000</v>
      </c>
      <c r="O309" s="14">
        <f t="shared" si="39"/>
        <v>35000</v>
      </c>
      <c r="P309" s="14">
        <f t="shared" si="39"/>
        <v>35000</v>
      </c>
      <c r="Q309" s="14">
        <f t="shared" si="39"/>
        <v>35000</v>
      </c>
      <c r="R309" s="14">
        <f t="shared" si="39"/>
        <v>35000</v>
      </c>
      <c r="S309" s="14">
        <f t="shared" si="39"/>
        <v>35000</v>
      </c>
      <c r="T309" s="78"/>
    </row>
    <row r="310" spans="2:20" ht="29.25" thickTop="1">
      <c r="B310" s="17"/>
      <c r="C310" s="23">
        <v>0</v>
      </c>
      <c r="D310" s="178" t="s">
        <v>32</v>
      </c>
      <c r="E310" s="44" t="s">
        <v>30</v>
      </c>
      <c r="F310" s="25">
        <v>6000</v>
      </c>
      <c r="G310" s="26">
        <f t="shared" ref="G310:G320" si="40">SUM(H310:S310)</f>
        <v>17571.419999999998</v>
      </c>
      <c r="H310" s="26">
        <v>0</v>
      </c>
      <c r="I310" s="26">
        <v>0</v>
      </c>
      <c r="J310" s="45">
        <v>17571.419999999998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</row>
    <row r="311" spans="2:20" s="104" customFormat="1">
      <c r="B311" s="66"/>
      <c r="C311" s="23">
        <v>0</v>
      </c>
      <c r="D311" s="178" t="s">
        <v>92</v>
      </c>
      <c r="E311" s="44" t="s">
        <v>30</v>
      </c>
      <c r="F311" s="25">
        <v>7000</v>
      </c>
      <c r="G311" s="26">
        <f t="shared" si="40"/>
        <v>20066.669999999998</v>
      </c>
      <c r="H311" s="26">
        <v>0</v>
      </c>
      <c r="I311" s="26">
        <v>0</v>
      </c>
      <c r="J311" s="26">
        <v>0</v>
      </c>
      <c r="K311" s="26">
        <v>6066.67</v>
      </c>
      <c r="L311" s="26">
        <v>7000</v>
      </c>
      <c r="M311" s="26">
        <v>7000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</row>
    <row r="312" spans="2:20" s="104" customFormat="1">
      <c r="B312" s="66"/>
      <c r="C312" s="23">
        <v>0</v>
      </c>
      <c r="D312" s="178" t="s">
        <v>92</v>
      </c>
      <c r="E312" s="44" t="s">
        <v>30</v>
      </c>
      <c r="F312" s="25">
        <v>6000</v>
      </c>
      <c r="G312" s="26">
        <f t="shared" si="40"/>
        <v>34400</v>
      </c>
      <c r="H312" s="26">
        <v>0</v>
      </c>
      <c r="I312" s="26">
        <v>0</v>
      </c>
      <c r="J312" s="26">
        <v>0</v>
      </c>
      <c r="K312" s="26">
        <v>10400</v>
      </c>
      <c r="L312" s="26">
        <v>12000</v>
      </c>
      <c r="M312" s="26">
        <v>12000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</row>
    <row r="313" spans="2:20" s="104" customFormat="1" ht="16.5" customHeight="1">
      <c r="B313" s="185"/>
      <c r="C313" s="23">
        <v>0</v>
      </c>
      <c r="D313" s="178" t="s">
        <v>102</v>
      </c>
      <c r="E313" s="44" t="s">
        <v>30</v>
      </c>
      <c r="F313" s="25">
        <v>10000</v>
      </c>
      <c r="G313" s="26">
        <f t="shared" si="40"/>
        <v>19354.84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19354.84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</row>
    <row r="314" spans="2:20" s="104" customFormat="1" ht="16.5" customHeight="1">
      <c r="B314" s="185"/>
      <c r="C314" s="23">
        <v>0</v>
      </c>
      <c r="D314" s="178" t="s">
        <v>102</v>
      </c>
      <c r="E314" s="44" t="s">
        <v>35</v>
      </c>
      <c r="F314" s="25">
        <v>10000</v>
      </c>
      <c r="G314" s="26">
        <f t="shared" si="40"/>
        <v>19354.84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19354.84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</row>
    <row r="315" spans="2:20" s="104" customFormat="1" ht="15" customHeight="1">
      <c r="B315" s="66"/>
      <c r="C315" s="23">
        <v>1</v>
      </c>
      <c r="D315" s="178" t="s">
        <v>108</v>
      </c>
      <c r="E315" s="44" t="s">
        <v>30</v>
      </c>
      <c r="F315" s="25">
        <v>7000</v>
      </c>
      <c r="G315" s="26">
        <f t="shared" si="40"/>
        <v>42000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45">
        <v>7000</v>
      </c>
      <c r="O315" s="45">
        <v>7000</v>
      </c>
      <c r="P315" s="45">
        <v>7000</v>
      </c>
      <c r="Q315" s="45">
        <v>7000</v>
      </c>
      <c r="R315" s="45">
        <v>7000</v>
      </c>
      <c r="S315" s="45">
        <v>7000</v>
      </c>
    </row>
    <row r="316" spans="2:20" s="104" customFormat="1" ht="15" customHeight="1">
      <c r="B316" s="185"/>
      <c r="C316" s="23">
        <v>1</v>
      </c>
      <c r="D316" s="178" t="s">
        <v>108</v>
      </c>
      <c r="E316" s="24" t="s">
        <v>30</v>
      </c>
      <c r="F316" s="25">
        <v>10000</v>
      </c>
      <c r="G316" s="26">
        <f t="shared" si="40"/>
        <v>60000</v>
      </c>
      <c r="H316" s="26">
        <v>0</v>
      </c>
      <c r="I316" s="26">
        <v>0</v>
      </c>
      <c r="J316" s="45">
        <v>0</v>
      </c>
      <c r="K316" s="26">
        <v>0</v>
      </c>
      <c r="L316" s="26">
        <v>0</v>
      </c>
      <c r="M316" s="26">
        <v>0</v>
      </c>
      <c r="N316" s="45">
        <v>10000</v>
      </c>
      <c r="O316" s="45">
        <v>10000</v>
      </c>
      <c r="P316" s="45">
        <v>10000</v>
      </c>
      <c r="Q316" s="45">
        <v>10000</v>
      </c>
      <c r="R316" s="45">
        <v>10000</v>
      </c>
      <c r="S316" s="45">
        <v>10000</v>
      </c>
    </row>
    <row r="317" spans="2:20" s="104" customFormat="1" ht="15" customHeight="1">
      <c r="B317" s="185"/>
      <c r="C317" s="23">
        <v>1</v>
      </c>
      <c r="D317" s="178" t="s">
        <v>108</v>
      </c>
      <c r="E317" s="44" t="s">
        <v>35</v>
      </c>
      <c r="F317" s="25">
        <v>10000</v>
      </c>
      <c r="G317" s="26">
        <f t="shared" si="40"/>
        <v>60000</v>
      </c>
      <c r="H317" s="26">
        <v>0</v>
      </c>
      <c r="I317" s="26">
        <v>0</v>
      </c>
      <c r="J317" s="45">
        <v>0</v>
      </c>
      <c r="K317" s="26">
        <v>0</v>
      </c>
      <c r="L317" s="26">
        <v>0</v>
      </c>
      <c r="M317" s="26">
        <v>0</v>
      </c>
      <c r="N317" s="45">
        <v>10000</v>
      </c>
      <c r="O317" s="45">
        <v>10000</v>
      </c>
      <c r="P317" s="45">
        <v>10000</v>
      </c>
      <c r="Q317" s="45">
        <v>10000</v>
      </c>
      <c r="R317" s="45">
        <v>10000</v>
      </c>
      <c r="S317" s="45">
        <v>10000</v>
      </c>
    </row>
    <row r="318" spans="2:20" ht="15.75" customHeight="1">
      <c r="B318" s="66"/>
      <c r="C318" s="23">
        <v>0</v>
      </c>
      <c r="D318" s="178" t="s">
        <v>28</v>
      </c>
      <c r="E318" s="44" t="s">
        <v>35</v>
      </c>
      <c r="F318" s="25">
        <v>7000</v>
      </c>
      <c r="G318" s="26">
        <f t="shared" si="40"/>
        <v>20322.580000000002</v>
      </c>
      <c r="H318" s="26">
        <f>(F318/31*28)*1</f>
        <v>6322.58</v>
      </c>
      <c r="I318" s="26">
        <f>F318*1</f>
        <v>7000</v>
      </c>
      <c r="J318" s="26">
        <v>7000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</row>
    <row r="319" spans="2:20" s="104" customFormat="1" ht="15.75" customHeight="1">
      <c r="B319" s="66"/>
      <c r="C319" s="23">
        <v>0</v>
      </c>
      <c r="D319" s="178" t="s">
        <v>79</v>
      </c>
      <c r="E319" s="44" t="s">
        <v>35</v>
      </c>
      <c r="F319" s="25">
        <v>8000</v>
      </c>
      <c r="G319" s="26">
        <f t="shared" si="40"/>
        <v>24000</v>
      </c>
      <c r="H319" s="26">
        <v>0</v>
      </c>
      <c r="I319" s="26">
        <v>0</v>
      </c>
      <c r="J319" s="26">
        <v>8000</v>
      </c>
      <c r="K319" s="26">
        <v>8000</v>
      </c>
      <c r="L319" s="26">
        <v>8000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</row>
    <row r="320" spans="2:20" s="104" customFormat="1" ht="15" customHeight="1">
      <c r="B320" s="66"/>
      <c r="C320" s="23">
        <v>1</v>
      </c>
      <c r="D320" s="178" t="s">
        <v>105</v>
      </c>
      <c r="E320" s="44" t="s">
        <v>35</v>
      </c>
      <c r="F320" s="25">
        <v>8000</v>
      </c>
      <c r="G320" s="26">
        <f t="shared" si="40"/>
        <v>56000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8000</v>
      </c>
      <c r="N320" s="26">
        <v>8000</v>
      </c>
      <c r="O320" s="26">
        <v>8000</v>
      </c>
      <c r="P320" s="26">
        <v>8000</v>
      </c>
      <c r="Q320" s="26">
        <v>8000</v>
      </c>
      <c r="R320" s="26">
        <v>8000</v>
      </c>
      <c r="S320" s="26">
        <v>8000</v>
      </c>
    </row>
    <row r="321" spans="2:20">
      <c r="B321" s="17"/>
      <c r="C321" s="23"/>
      <c r="D321" s="178"/>
      <c r="E321" s="291" t="s">
        <v>24</v>
      </c>
      <c r="F321" s="292"/>
      <c r="G321" s="26">
        <f>313910-SUM(G310:G320)+62000-2839</f>
        <v>0.65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</row>
    <row r="322" spans="2:20" s="100" customFormat="1">
      <c r="B322" s="113"/>
      <c r="C322" s="132"/>
      <c r="D322" s="209"/>
      <c r="E322" s="138"/>
      <c r="F322" s="13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</row>
    <row r="323" spans="2:20" s="100" customFormat="1">
      <c r="B323" s="113"/>
      <c r="C323" s="132"/>
      <c r="D323" s="209"/>
      <c r="E323" s="138"/>
      <c r="F323" s="13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</row>
    <row r="324" spans="2:20" s="100" customFormat="1">
      <c r="B324" s="287" t="s">
        <v>111</v>
      </c>
      <c r="C324" s="268"/>
      <c r="D324" s="224"/>
      <c r="E324" s="142"/>
      <c r="F324" s="130" t="s">
        <v>23</v>
      </c>
      <c r="G324" s="106">
        <f>G325+G326</f>
        <v>2229650</v>
      </c>
      <c r="H324" s="140"/>
      <c r="I324" s="140"/>
      <c r="J324" s="140"/>
      <c r="K324" s="140"/>
      <c r="L324" s="140"/>
      <c r="M324" s="141"/>
      <c r="N324" s="140"/>
      <c r="O324" s="140"/>
      <c r="P324" s="140"/>
      <c r="Q324" s="140"/>
      <c r="R324" s="140"/>
      <c r="S324" s="111"/>
    </row>
    <row r="325" spans="2:20" s="100" customFormat="1">
      <c r="B325" s="288"/>
      <c r="C325" s="269"/>
      <c r="D325" s="221"/>
      <c r="E325" s="143"/>
      <c r="F325" s="108" t="s">
        <v>95</v>
      </c>
      <c r="G325" s="106">
        <f>G327</f>
        <v>2229432.15</v>
      </c>
      <c r="H325" s="54"/>
      <c r="I325" s="54"/>
      <c r="J325" s="54"/>
      <c r="K325" s="54"/>
      <c r="L325" s="54"/>
      <c r="M325" s="57"/>
      <c r="N325" s="54"/>
      <c r="O325" s="54"/>
      <c r="P325" s="54"/>
      <c r="Q325" s="54"/>
      <c r="R325" s="54"/>
      <c r="S325" s="10"/>
    </row>
    <row r="326" spans="2:20" ht="30">
      <c r="B326" s="288"/>
      <c r="C326" s="182"/>
      <c r="D326" s="203"/>
      <c r="E326" s="33"/>
      <c r="F326" s="108" t="s">
        <v>24</v>
      </c>
      <c r="G326" s="106">
        <f>G361</f>
        <v>217.85</v>
      </c>
      <c r="H326" s="10"/>
      <c r="I326" s="10"/>
      <c r="J326" s="10"/>
      <c r="K326" s="10"/>
      <c r="L326" s="10"/>
      <c r="M326" s="10"/>
      <c r="N326" s="10"/>
      <c r="O326" s="10"/>
      <c r="P326" s="10"/>
      <c r="R326" s="10"/>
      <c r="S326" s="10"/>
    </row>
    <row r="327" spans="2:20" ht="43.5">
      <c r="B327" s="198" t="s">
        <v>56</v>
      </c>
      <c r="C327" s="182">
        <f>SUM(C328:C360)</f>
        <v>26</v>
      </c>
      <c r="D327" s="203"/>
      <c r="E327" s="40"/>
      <c r="F327" s="10"/>
      <c r="G327" s="37">
        <f>SUM(G328:G360)</f>
        <v>2229432.15</v>
      </c>
      <c r="H327" s="37">
        <f t="shared" ref="H327:S327" si="41">SUM(H328:H361)</f>
        <v>115612.87</v>
      </c>
      <c r="I327" s="37">
        <f t="shared" si="41"/>
        <v>224903.21</v>
      </c>
      <c r="J327" s="37">
        <f t="shared" si="41"/>
        <v>184821.43</v>
      </c>
      <c r="K327" s="37">
        <f t="shared" si="41"/>
        <v>183739.8</v>
      </c>
      <c r="L327" s="37">
        <f t="shared" si="41"/>
        <v>187000</v>
      </c>
      <c r="M327" s="37">
        <f t="shared" si="41"/>
        <v>182500</v>
      </c>
      <c r="N327" s="37">
        <f t="shared" si="41"/>
        <v>193000</v>
      </c>
      <c r="O327" s="37">
        <f t="shared" si="41"/>
        <v>197080.65</v>
      </c>
      <c r="P327" s="37">
        <f t="shared" si="41"/>
        <v>194500</v>
      </c>
      <c r="Q327" s="37">
        <f t="shared" si="41"/>
        <v>188500</v>
      </c>
      <c r="R327" s="37">
        <f t="shared" si="41"/>
        <v>189274.19</v>
      </c>
      <c r="S327" s="37">
        <f t="shared" si="41"/>
        <v>188500</v>
      </c>
      <c r="T327" s="78"/>
    </row>
    <row r="328" spans="2:20" ht="14.25" customHeight="1">
      <c r="B328" s="17"/>
      <c r="C328" s="259">
        <v>0</v>
      </c>
      <c r="D328" s="208" t="s">
        <v>28</v>
      </c>
      <c r="E328" s="44" t="s">
        <v>57</v>
      </c>
      <c r="F328" s="25">
        <v>23000</v>
      </c>
      <c r="G328" s="26">
        <f t="shared" ref="G328:G360" si="42">SUM(H328:S328)</f>
        <v>33095.620000000003</v>
      </c>
      <c r="H328" s="26">
        <v>20774.189999999999</v>
      </c>
      <c r="I328" s="26"/>
      <c r="J328" s="26">
        <f>F328/28*15</f>
        <v>12321.43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</row>
    <row r="329" spans="2:20" ht="14.25" customHeight="1">
      <c r="B329" s="17"/>
      <c r="C329" s="259">
        <v>0</v>
      </c>
      <c r="D329" s="208" t="s">
        <v>28</v>
      </c>
      <c r="E329" s="44" t="s">
        <v>58</v>
      </c>
      <c r="F329" s="25">
        <v>6000</v>
      </c>
      <c r="G329" s="26">
        <f t="shared" si="42"/>
        <v>17419.349999999999</v>
      </c>
      <c r="H329" s="26">
        <v>5419.35</v>
      </c>
      <c r="I329" s="26">
        <v>6000</v>
      </c>
      <c r="J329" s="26">
        <v>6000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</row>
    <row r="330" spans="2:20" ht="14.25" customHeight="1">
      <c r="B330" s="17"/>
      <c r="C330" s="259">
        <v>0</v>
      </c>
      <c r="D330" s="208" t="s">
        <v>28</v>
      </c>
      <c r="E330" s="44" t="s">
        <v>58</v>
      </c>
      <c r="F330" s="25">
        <v>12000</v>
      </c>
      <c r="G330" s="26">
        <f t="shared" si="42"/>
        <v>34838.71</v>
      </c>
      <c r="H330" s="26">
        <v>10838.71</v>
      </c>
      <c r="I330" s="26">
        <f>F330*1</f>
        <v>12000</v>
      </c>
      <c r="J330" s="26">
        <v>12000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</row>
    <row r="331" spans="2:20" ht="14.25" customHeight="1">
      <c r="B331" s="17"/>
      <c r="C331" s="259">
        <v>0</v>
      </c>
      <c r="D331" s="178" t="s">
        <v>28</v>
      </c>
      <c r="E331" s="44" t="s">
        <v>30</v>
      </c>
      <c r="F331" s="25">
        <v>6000</v>
      </c>
      <c r="G331" s="26">
        <f t="shared" si="42"/>
        <v>104516.11</v>
      </c>
      <c r="H331" s="26">
        <v>32516.11</v>
      </c>
      <c r="I331" s="26">
        <f>F331*6</f>
        <v>36000</v>
      </c>
      <c r="J331" s="26">
        <v>36000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</row>
    <row r="332" spans="2:20" ht="14.25" customHeight="1">
      <c r="B332" s="17"/>
      <c r="C332" s="259">
        <v>0</v>
      </c>
      <c r="D332" s="178" t="s">
        <v>28</v>
      </c>
      <c r="E332" s="44" t="s">
        <v>30</v>
      </c>
      <c r="F332" s="25">
        <v>7000</v>
      </c>
      <c r="G332" s="26">
        <f t="shared" si="42"/>
        <v>101612.9</v>
      </c>
      <c r="H332" s="26">
        <v>31612.9</v>
      </c>
      <c r="I332" s="26">
        <f>F332*5</f>
        <v>35000</v>
      </c>
      <c r="J332" s="26">
        <v>35000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</row>
    <row r="333" spans="2:20" s="104" customFormat="1" ht="14.25" customHeight="1">
      <c r="B333" s="66"/>
      <c r="C333" s="259">
        <v>0</v>
      </c>
      <c r="D333" s="178" t="s">
        <v>86</v>
      </c>
      <c r="E333" s="44" t="s">
        <v>58</v>
      </c>
      <c r="F333" s="25">
        <v>6000</v>
      </c>
      <c r="G333" s="26">
        <f t="shared" ref="G333:G339" si="43">SUM(H333:S333)</f>
        <v>17200</v>
      </c>
      <c r="H333" s="26">
        <v>0</v>
      </c>
      <c r="I333" s="26">
        <v>0</v>
      </c>
      <c r="J333" s="26">
        <v>0</v>
      </c>
      <c r="K333" s="26">
        <v>5200</v>
      </c>
      <c r="L333" s="26">
        <v>6000</v>
      </c>
      <c r="M333" s="26">
        <v>6000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</row>
    <row r="334" spans="2:20" s="104" customFormat="1" ht="14.25" customHeight="1">
      <c r="B334" s="66"/>
      <c r="C334" s="259">
        <v>0</v>
      </c>
      <c r="D334" s="178" t="s">
        <v>86</v>
      </c>
      <c r="E334" s="44" t="s">
        <v>30</v>
      </c>
      <c r="F334" s="25">
        <v>6000</v>
      </c>
      <c r="G334" s="26">
        <f t="shared" si="43"/>
        <v>172000</v>
      </c>
      <c r="H334" s="26">
        <v>0</v>
      </c>
      <c r="I334" s="26">
        <v>0</v>
      </c>
      <c r="J334" s="26">
        <v>0</v>
      </c>
      <c r="K334" s="26">
        <v>52000</v>
      </c>
      <c r="L334" s="26">
        <v>60000</v>
      </c>
      <c r="M334" s="26">
        <v>60000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</row>
    <row r="335" spans="2:20" s="104" customFormat="1" ht="14.25" customHeight="1">
      <c r="B335" s="66"/>
      <c r="C335" s="259">
        <v>0</v>
      </c>
      <c r="D335" s="178" t="s">
        <v>86</v>
      </c>
      <c r="E335" s="44" t="s">
        <v>30</v>
      </c>
      <c r="F335" s="25">
        <v>7000</v>
      </c>
      <c r="G335" s="26">
        <f t="shared" si="43"/>
        <v>140466.67000000001</v>
      </c>
      <c r="H335" s="26">
        <v>0</v>
      </c>
      <c r="I335" s="26">
        <v>0</v>
      </c>
      <c r="J335" s="26">
        <v>0</v>
      </c>
      <c r="K335" s="26">
        <v>42466.67</v>
      </c>
      <c r="L335" s="26">
        <v>49000</v>
      </c>
      <c r="M335" s="26">
        <v>49000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</row>
    <row r="336" spans="2:20" s="104" customFormat="1" ht="14.25" customHeight="1">
      <c r="B336" s="66"/>
      <c r="C336" s="259">
        <v>0</v>
      </c>
      <c r="D336" s="178" t="s">
        <v>86</v>
      </c>
      <c r="E336" s="44" t="s">
        <v>30</v>
      </c>
      <c r="F336" s="25">
        <v>8000</v>
      </c>
      <c r="G336" s="26">
        <f t="shared" si="43"/>
        <v>45866.67</v>
      </c>
      <c r="H336" s="26">
        <v>0</v>
      </c>
      <c r="I336" s="26">
        <v>0</v>
      </c>
      <c r="J336" s="26">
        <v>0</v>
      </c>
      <c r="K336" s="26">
        <v>13866.67</v>
      </c>
      <c r="L336" s="26">
        <v>16000</v>
      </c>
      <c r="M336" s="26">
        <v>16000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</row>
    <row r="337" spans="2:19" s="104" customFormat="1" ht="14.25" customHeight="1">
      <c r="B337" s="66"/>
      <c r="C337" s="259">
        <v>0</v>
      </c>
      <c r="D337" s="178" t="s">
        <v>86</v>
      </c>
      <c r="E337" s="44" t="s">
        <v>58</v>
      </c>
      <c r="F337" s="25">
        <v>8000</v>
      </c>
      <c r="G337" s="26">
        <f t="shared" si="43"/>
        <v>22933.33</v>
      </c>
      <c r="H337" s="26">
        <v>0</v>
      </c>
      <c r="I337" s="26">
        <v>0</v>
      </c>
      <c r="J337" s="26">
        <v>0</v>
      </c>
      <c r="K337" s="26">
        <v>6933.33</v>
      </c>
      <c r="L337" s="26">
        <v>8000</v>
      </c>
      <c r="M337" s="26">
        <v>8000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</row>
    <row r="338" spans="2:19" s="104" customFormat="1" ht="14.25" customHeight="1">
      <c r="B338" s="66"/>
      <c r="C338" s="259">
        <v>0</v>
      </c>
      <c r="D338" s="178" t="s">
        <v>86</v>
      </c>
      <c r="E338" s="44" t="s">
        <v>30</v>
      </c>
      <c r="F338" s="25">
        <v>10000</v>
      </c>
      <c r="G338" s="26">
        <f t="shared" si="43"/>
        <v>28666.67</v>
      </c>
      <c r="H338" s="26">
        <v>0</v>
      </c>
      <c r="I338" s="26">
        <v>0</v>
      </c>
      <c r="J338" s="26">
        <v>0</v>
      </c>
      <c r="K338" s="26">
        <v>8666.67</v>
      </c>
      <c r="L338" s="26">
        <v>10000</v>
      </c>
      <c r="M338" s="26">
        <v>10000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</row>
    <row r="339" spans="2:19" s="104" customFormat="1" ht="14.25" customHeight="1">
      <c r="B339" s="66"/>
      <c r="C339" s="259">
        <v>0</v>
      </c>
      <c r="D339" s="178" t="s">
        <v>86</v>
      </c>
      <c r="E339" s="44" t="s">
        <v>30</v>
      </c>
      <c r="F339" s="25">
        <v>9000</v>
      </c>
      <c r="G339" s="26">
        <f t="shared" si="43"/>
        <v>25800</v>
      </c>
      <c r="H339" s="26">
        <v>0</v>
      </c>
      <c r="I339" s="26">
        <v>0</v>
      </c>
      <c r="J339" s="26">
        <v>0</v>
      </c>
      <c r="K339" s="26">
        <v>7800</v>
      </c>
      <c r="L339" s="26">
        <v>9000</v>
      </c>
      <c r="M339" s="26">
        <v>9000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</row>
    <row r="340" spans="2:19" s="104" customFormat="1" ht="14.25" customHeight="1">
      <c r="B340" s="66"/>
      <c r="C340" s="259">
        <v>0</v>
      </c>
      <c r="D340" s="188" t="s">
        <v>125</v>
      </c>
      <c r="E340" s="44" t="s">
        <v>30</v>
      </c>
      <c r="F340" s="25">
        <v>6000</v>
      </c>
      <c r="G340" s="26">
        <f>SUM(H340:S340)</f>
        <v>18774.189999999999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5">
        <v>6000</v>
      </c>
      <c r="O340" s="25">
        <v>6000</v>
      </c>
      <c r="P340" s="25">
        <v>6000</v>
      </c>
      <c r="Q340" s="26">
        <v>0</v>
      </c>
      <c r="R340" s="25">
        <v>774.19</v>
      </c>
      <c r="S340" s="25">
        <v>0</v>
      </c>
    </row>
    <row r="341" spans="2:19" s="104" customFormat="1" ht="14.25" customHeight="1">
      <c r="B341" s="66"/>
      <c r="C341" s="259">
        <v>1</v>
      </c>
      <c r="D341" s="178" t="s">
        <v>108</v>
      </c>
      <c r="E341" s="44" t="s">
        <v>58</v>
      </c>
      <c r="F341" s="25">
        <v>6000</v>
      </c>
      <c r="G341" s="26">
        <f t="shared" si="42"/>
        <v>36000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6000</v>
      </c>
      <c r="O341" s="26">
        <v>6000</v>
      </c>
      <c r="P341" s="26">
        <v>6000</v>
      </c>
      <c r="Q341" s="26">
        <v>6000</v>
      </c>
      <c r="R341" s="26">
        <v>6000</v>
      </c>
      <c r="S341" s="26">
        <v>6000</v>
      </c>
    </row>
    <row r="342" spans="2:19" s="104" customFormat="1" ht="14.25" customHeight="1">
      <c r="B342" s="66"/>
      <c r="C342" s="259">
        <v>9</v>
      </c>
      <c r="D342" s="178" t="s">
        <v>108</v>
      </c>
      <c r="E342" s="44" t="s">
        <v>30</v>
      </c>
      <c r="F342" s="25">
        <v>6000</v>
      </c>
      <c r="G342" s="26">
        <f t="shared" si="42"/>
        <v>324000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0</v>
      </c>
      <c r="N342" s="25">
        <v>54000</v>
      </c>
      <c r="O342" s="25">
        <v>54000</v>
      </c>
      <c r="P342" s="25">
        <v>54000</v>
      </c>
      <c r="Q342" s="25">
        <v>54000</v>
      </c>
      <c r="R342" s="25">
        <v>54000</v>
      </c>
      <c r="S342" s="25">
        <v>54000</v>
      </c>
    </row>
    <row r="343" spans="2:19" s="104" customFormat="1" ht="14.25" customHeight="1">
      <c r="B343" s="66"/>
      <c r="C343" s="259">
        <v>7</v>
      </c>
      <c r="D343" s="178" t="s">
        <v>108</v>
      </c>
      <c r="E343" s="44" t="s">
        <v>30</v>
      </c>
      <c r="F343" s="25">
        <v>7000</v>
      </c>
      <c r="G343" s="26">
        <f t="shared" si="42"/>
        <v>294000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5">
        <v>49000</v>
      </c>
      <c r="O343" s="25">
        <v>49000</v>
      </c>
      <c r="P343" s="25">
        <v>49000</v>
      </c>
      <c r="Q343" s="25">
        <v>49000</v>
      </c>
      <c r="R343" s="25">
        <v>49000</v>
      </c>
      <c r="S343" s="25">
        <v>49000</v>
      </c>
    </row>
    <row r="344" spans="2:19" s="104" customFormat="1" ht="14.25" customHeight="1">
      <c r="B344" s="66"/>
      <c r="C344" s="259">
        <v>2</v>
      </c>
      <c r="D344" s="178" t="s">
        <v>108</v>
      </c>
      <c r="E344" s="44" t="s">
        <v>30</v>
      </c>
      <c r="F344" s="25">
        <v>8000</v>
      </c>
      <c r="G344" s="26">
        <f t="shared" si="42"/>
        <v>96000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5">
        <v>16000</v>
      </c>
      <c r="O344" s="25">
        <v>16000</v>
      </c>
      <c r="P344" s="25">
        <v>16000</v>
      </c>
      <c r="Q344" s="25">
        <v>16000</v>
      </c>
      <c r="R344" s="25">
        <v>16000</v>
      </c>
      <c r="S344" s="25">
        <v>16000</v>
      </c>
    </row>
    <row r="345" spans="2:19" s="104" customFormat="1" ht="14.25" customHeight="1">
      <c r="B345" s="66"/>
      <c r="C345" s="259">
        <v>1</v>
      </c>
      <c r="D345" s="178" t="s">
        <v>108</v>
      </c>
      <c r="E345" s="44" t="s">
        <v>58</v>
      </c>
      <c r="F345" s="25">
        <v>8000</v>
      </c>
      <c r="G345" s="26">
        <f t="shared" si="42"/>
        <v>48000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8000</v>
      </c>
      <c r="O345" s="26">
        <v>8000</v>
      </c>
      <c r="P345" s="26">
        <v>8000</v>
      </c>
      <c r="Q345" s="26">
        <v>8000</v>
      </c>
      <c r="R345" s="26">
        <v>8000</v>
      </c>
      <c r="S345" s="26">
        <v>8000</v>
      </c>
    </row>
    <row r="346" spans="2:19" s="104" customFormat="1" ht="14.25" customHeight="1">
      <c r="B346" s="66"/>
      <c r="C346" s="259">
        <v>1</v>
      </c>
      <c r="D346" s="178" t="s">
        <v>108</v>
      </c>
      <c r="E346" s="44" t="s">
        <v>30</v>
      </c>
      <c r="F346" s="25">
        <v>10000</v>
      </c>
      <c r="G346" s="26">
        <f t="shared" si="42"/>
        <v>60000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0</v>
      </c>
      <c r="N346" s="26">
        <v>10000</v>
      </c>
      <c r="O346" s="26">
        <v>10000</v>
      </c>
      <c r="P346" s="26">
        <v>10000</v>
      </c>
      <c r="Q346" s="26">
        <v>10000</v>
      </c>
      <c r="R346" s="26">
        <v>10000</v>
      </c>
      <c r="S346" s="26">
        <v>10000</v>
      </c>
    </row>
    <row r="347" spans="2:19" s="104" customFormat="1" ht="14.25" customHeight="1">
      <c r="B347" s="66"/>
      <c r="C347" s="259">
        <v>1</v>
      </c>
      <c r="D347" s="178" t="s">
        <v>108</v>
      </c>
      <c r="E347" s="44" t="s">
        <v>30</v>
      </c>
      <c r="F347" s="25">
        <v>9000</v>
      </c>
      <c r="G347" s="26">
        <f t="shared" si="42"/>
        <v>54000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9000</v>
      </c>
      <c r="O347" s="26">
        <v>9000</v>
      </c>
      <c r="P347" s="26">
        <v>9000</v>
      </c>
      <c r="Q347" s="26">
        <v>9000</v>
      </c>
      <c r="R347" s="26">
        <v>9000</v>
      </c>
      <c r="S347" s="26">
        <v>9000</v>
      </c>
    </row>
    <row r="348" spans="2:19" s="104" customFormat="1" ht="14.25" customHeight="1">
      <c r="B348" s="66"/>
      <c r="C348" s="259">
        <v>1</v>
      </c>
      <c r="D348" s="178" t="s">
        <v>112</v>
      </c>
      <c r="E348" s="44" t="s">
        <v>30</v>
      </c>
      <c r="F348" s="25">
        <v>5000</v>
      </c>
      <c r="G348" s="26">
        <f t="shared" si="42"/>
        <v>27580.65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f>5000*0.516129032258065+5000</f>
        <v>7580.65</v>
      </c>
      <c r="P348" s="26">
        <v>5000</v>
      </c>
      <c r="Q348" s="26">
        <v>5000</v>
      </c>
      <c r="R348" s="26">
        <v>5000</v>
      </c>
      <c r="S348" s="26">
        <v>5000</v>
      </c>
    </row>
    <row r="349" spans="2:19" s="104" customFormat="1" ht="14.25" customHeight="1">
      <c r="B349" s="66"/>
      <c r="C349" s="259">
        <v>1</v>
      </c>
      <c r="D349" s="178" t="s">
        <v>109</v>
      </c>
      <c r="E349" s="44" t="s">
        <v>30</v>
      </c>
      <c r="F349" s="25">
        <v>7000</v>
      </c>
      <c r="G349" s="26">
        <f t="shared" si="42"/>
        <v>45500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f>+F349*C349/30*15+F349*C349</f>
        <v>10500</v>
      </c>
      <c r="O349" s="25">
        <v>7000</v>
      </c>
      <c r="P349" s="25">
        <v>7000</v>
      </c>
      <c r="Q349" s="25">
        <v>7000</v>
      </c>
      <c r="R349" s="25">
        <v>7000</v>
      </c>
      <c r="S349" s="25">
        <v>7000</v>
      </c>
    </row>
    <row r="350" spans="2:19" ht="14.25" customHeight="1">
      <c r="B350" s="17"/>
      <c r="C350" s="259">
        <v>1</v>
      </c>
      <c r="D350" s="178" t="s">
        <v>87</v>
      </c>
      <c r="E350" s="44" t="s">
        <v>57</v>
      </c>
      <c r="F350" s="25">
        <v>20000</v>
      </c>
      <c r="G350" s="26">
        <f t="shared" si="42"/>
        <v>195483.88</v>
      </c>
      <c r="H350" s="26">
        <v>0</v>
      </c>
      <c r="I350" s="26">
        <v>0</v>
      </c>
      <c r="J350" s="26">
        <v>0</v>
      </c>
      <c r="K350" s="26">
        <v>35483.879999999997</v>
      </c>
      <c r="L350" s="26">
        <f>F350</f>
        <v>20000</v>
      </c>
      <c r="M350" s="26">
        <f>F350</f>
        <v>20000</v>
      </c>
      <c r="N350" s="26">
        <v>20000</v>
      </c>
      <c r="O350" s="26">
        <v>20000</v>
      </c>
      <c r="P350" s="26">
        <f>F350*C350</f>
        <v>20000</v>
      </c>
      <c r="Q350" s="26">
        <v>20000</v>
      </c>
      <c r="R350" s="26">
        <v>20000</v>
      </c>
      <c r="S350" s="26">
        <v>20000</v>
      </c>
    </row>
    <row r="351" spans="2:19" s="104" customFormat="1" ht="14.25" customHeight="1">
      <c r="B351" s="165"/>
      <c r="C351" s="259">
        <v>1</v>
      </c>
      <c r="D351" s="178" t="s">
        <v>105</v>
      </c>
      <c r="E351" s="44" t="s">
        <v>30</v>
      </c>
      <c r="F351" s="25">
        <v>4500</v>
      </c>
      <c r="G351" s="26">
        <f>SUM(H351:S351)</f>
        <v>31500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5">
        <v>4500</v>
      </c>
      <c r="N351" s="25">
        <v>4500</v>
      </c>
      <c r="O351" s="25">
        <v>4500</v>
      </c>
      <c r="P351" s="25">
        <v>4500</v>
      </c>
      <c r="Q351" s="25">
        <v>4500</v>
      </c>
      <c r="R351" s="25">
        <v>4500</v>
      </c>
      <c r="S351" s="25">
        <v>4500</v>
      </c>
    </row>
    <row r="352" spans="2:19" s="104" customFormat="1" ht="14.25" customHeight="1">
      <c r="B352" s="66"/>
      <c r="C352" s="259">
        <v>0</v>
      </c>
      <c r="D352" s="178" t="s">
        <v>91</v>
      </c>
      <c r="E352" s="44" t="s">
        <v>30</v>
      </c>
      <c r="F352" s="25">
        <v>4500</v>
      </c>
      <c r="G352" s="26">
        <f>SUM(H352:S352)</f>
        <v>11322.58</v>
      </c>
      <c r="H352" s="26">
        <v>0</v>
      </c>
      <c r="I352" s="26">
        <v>0</v>
      </c>
      <c r="J352" s="26">
        <v>0</v>
      </c>
      <c r="K352" s="26">
        <v>6822.58</v>
      </c>
      <c r="L352" s="26">
        <v>4500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</row>
    <row r="353" spans="2:20" ht="14.25" customHeight="1">
      <c r="B353" s="55"/>
      <c r="C353" s="259">
        <v>0</v>
      </c>
      <c r="D353" s="178" t="s">
        <v>28</v>
      </c>
      <c r="E353" s="44" t="s">
        <v>30</v>
      </c>
      <c r="F353" s="25">
        <v>8000</v>
      </c>
      <c r="G353" s="26">
        <f t="shared" si="42"/>
        <v>46451.61</v>
      </c>
      <c r="H353" s="26">
        <v>14451.61</v>
      </c>
      <c r="I353" s="26">
        <v>16000</v>
      </c>
      <c r="J353" s="26">
        <v>16000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</row>
    <row r="354" spans="2:20" ht="14.25" customHeight="1">
      <c r="B354" s="17"/>
      <c r="C354" s="259">
        <v>0</v>
      </c>
      <c r="D354" s="178" t="s">
        <v>28</v>
      </c>
      <c r="E354" s="44" t="s">
        <v>58</v>
      </c>
      <c r="F354" s="25">
        <v>8000</v>
      </c>
      <c r="G354" s="26">
        <f t="shared" si="42"/>
        <v>23225.81</v>
      </c>
      <c r="H354" s="26">
        <v>0</v>
      </c>
      <c r="I354" s="26">
        <v>15225.81</v>
      </c>
      <c r="J354" s="26">
        <v>8000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</row>
    <row r="355" spans="2:20" ht="14.25" customHeight="1">
      <c r="B355" s="55"/>
      <c r="C355" s="259">
        <v>0</v>
      </c>
      <c r="D355" s="178" t="s">
        <v>28</v>
      </c>
      <c r="E355" s="44" t="s">
        <v>30</v>
      </c>
      <c r="F355" s="25">
        <v>6000</v>
      </c>
      <c r="G355" s="26">
        <f t="shared" si="42"/>
        <v>69677.399999999994</v>
      </c>
      <c r="H355" s="26">
        <v>0</v>
      </c>
      <c r="I355" s="26">
        <v>45677.4</v>
      </c>
      <c r="J355" s="26">
        <f>F355*4</f>
        <v>24000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</row>
    <row r="356" spans="2:20" ht="14.25" customHeight="1">
      <c r="B356" s="55"/>
      <c r="C356" s="259">
        <v>0</v>
      </c>
      <c r="D356" s="178" t="s">
        <v>28</v>
      </c>
      <c r="E356" s="44" t="s">
        <v>30</v>
      </c>
      <c r="F356" s="25">
        <v>9000</v>
      </c>
      <c r="G356" s="26">
        <f t="shared" si="42"/>
        <v>26129.03</v>
      </c>
      <c r="H356" s="26">
        <v>0</v>
      </c>
      <c r="I356" s="26">
        <v>17129.03</v>
      </c>
      <c r="J356" s="26">
        <v>9000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</row>
    <row r="357" spans="2:20" ht="14.25" customHeight="1">
      <c r="B357" s="55"/>
      <c r="C357" s="259">
        <v>0</v>
      </c>
      <c r="D357" s="178" t="s">
        <v>28</v>
      </c>
      <c r="E357" s="44" t="s">
        <v>30</v>
      </c>
      <c r="F357" s="25">
        <v>8000</v>
      </c>
      <c r="G357" s="26">
        <f t="shared" si="42"/>
        <v>23225.81</v>
      </c>
      <c r="H357" s="26">
        <v>0</v>
      </c>
      <c r="I357" s="26">
        <v>15225.81</v>
      </c>
      <c r="J357" s="26">
        <v>8000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</row>
    <row r="358" spans="2:20" ht="14.25" customHeight="1">
      <c r="B358" s="55"/>
      <c r="C358" s="259">
        <v>0</v>
      </c>
      <c r="D358" s="178" t="s">
        <v>28</v>
      </c>
      <c r="E358" s="44" t="s">
        <v>30</v>
      </c>
      <c r="F358" s="25">
        <v>7000</v>
      </c>
      <c r="G358" s="26">
        <f>SUM(H358:S358)</f>
        <v>20322.580000000002</v>
      </c>
      <c r="H358" s="26">
        <v>0</v>
      </c>
      <c r="I358" s="26">
        <v>13322.58</v>
      </c>
      <c r="J358" s="26">
        <v>7000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</row>
    <row r="359" spans="2:20" s="104" customFormat="1" ht="14.25" customHeight="1">
      <c r="B359" s="165"/>
      <c r="C359" s="259">
        <v>0</v>
      </c>
      <c r="D359" s="178" t="s">
        <v>79</v>
      </c>
      <c r="E359" s="44" t="s">
        <v>30</v>
      </c>
      <c r="F359" s="25">
        <v>4500</v>
      </c>
      <c r="G359" s="26">
        <f>SUM(H359:S359)</f>
        <v>13500</v>
      </c>
      <c r="H359" s="26">
        <v>0</v>
      </c>
      <c r="I359" s="26">
        <v>0</v>
      </c>
      <c r="J359" s="26">
        <v>4500</v>
      </c>
      <c r="K359" s="26">
        <v>4500</v>
      </c>
      <c r="L359" s="26">
        <v>4500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</row>
    <row r="360" spans="2:20" ht="14.25" customHeight="1">
      <c r="B360" s="55"/>
      <c r="C360" s="259">
        <v>0</v>
      </c>
      <c r="D360" s="178" t="s">
        <v>28</v>
      </c>
      <c r="E360" s="44" t="s">
        <v>30</v>
      </c>
      <c r="F360" s="25">
        <v>7000</v>
      </c>
      <c r="G360" s="26">
        <f t="shared" si="42"/>
        <v>20322.580000000002</v>
      </c>
      <c r="H360" s="26">
        <v>0</v>
      </c>
      <c r="I360" s="26">
        <v>13322.58</v>
      </c>
      <c r="J360" s="26">
        <v>7000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</row>
    <row r="361" spans="2:20">
      <c r="B361" s="17"/>
      <c r="C361" s="23"/>
      <c r="D361" s="208"/>
      <c r="E361" s="289" t="s">
        <v>24</v>
      </c>
      <c r="F361" s="290"/>
      <c r="G361" s="45">
        <f>1198650-SUM(G328:G360)+1048400-17400</f>
        <v>217.85</v>
      </c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2:20" s="100" customFormat="1">
      <c r="B362" s="113"/>
      <c r="C362" s="132"/>
      <c r="D362" s="209"/>
      <c r="E362" s="138"/>
      <c r="F362" s="138"/>
      <c r="G362" s="117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</row>
    <row r="363" spans="2:20" s="100" customFormat="1">
      <c r="B363" s="113"/>
      <c r="C363" s="132"/>
      <c r="D363" s="209"/>
      <c r="E363" s="138"/>
      <c r="F363" s="138"/>
      <c r="G363" s="117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</row>
    <row r="364" spans="2:20">
      <c r="B364" s="287" t="s">
        <v>59</v>
      </c>
      <c r="C364" s="268"/>
      <c r="D364" s="224"/>
      <c r="E364" s="142"/>
      <c r="F364" s="130" t="s">
        <v>23</v>
      </c>
      <c r="G364" s="106">
        <f>G365+G366</f>
        <v>1389835</v>
      </c>
      <c r="H364" s="140"/>
      <c r="I364" s="140"/>
      <c r="J364" s="140"/>
      <c r="K364" s="140"/>
      <c r="L364" s="140"/>
      <c r="M364" s="141"/>
      <c r="N364" s="140"/>
      <c r="O364" s="140"/>
      <c r="P364" s="140"/>
      <c r="Q364" s="140"/>
      <c r="R364" s="140"/>
      <c r="S364" s="111"/>
    </row>
    <row r="365" spans="2:20">
      <c r="B365" s="288"/>
      <c r="C365" s="269"/>
      <c r="D365" s="221"/>
      <c r="E365" s="143"/>
      <c r="F365" s="108" t="s">
        <v>95</v>
      </c>
      <c r="G365" s="106">
        <f>G367</f>
        <v>1381643.96</v>
      </c>
      <c r="H365" s="54"/>
      <c r="I365" s="54"/>
      <c r="J365" s="54"/>
      <c r="K365" s="54"/>
      <c r="L365" s="54"/>
      <c r="M365" s="57"/>
      <c r="N365" s="54"/>
      <c r="O365" s="54"/>
      <c r="P365" s="54"/>
      <c r="Q365" s="54"/>
      <c r="R365" s="54"/>
      <c r="S365" s="10"/>
    </row>
    <row r="366" spans="2:20" ht="30">
      <c r="B366" s="297"/>
      <c r="C366" s="182"/>
      <c r="D366" s="203"/>
      <c r="E366" s="33"/>
      <c r="F366" s="108" t="s">
        <v>24</v>
      </c>
      <c r="G366" s="106">
        <f>G388</f>
        <v>8191.04</v>
      </c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2:20" ht="44.25" thickBot="1">
      <c r="B367" s="7" t="s">
        <v>60</v>
      </c>
      <c r="C367" s="171">
        <f>SUM(C368:C387)</f>
        <v>13</v>
      </c>
      <c r="D367" s="203"/>
      <c r="E367" s="40"/>
      <c r="F367" s="54"/>
      <c r="G367" s="16">
        <f>SUBTOTAL(9,G368:G387)</f>
        <v>1381643.96</v>
      </c>
      <c r="H367" s="14">
        <f>SUBTOTAL(9,H368:H388)</f>
        <v>82193.56</v>
      </c>
      <c r="I367" s="14">
        <f t="shared" ref="I367:S367" si="44">SUBTOTAL(9,I368:I391)</f>
        <v>105274.19</v>
      </c>
      <c r="J367" s="14">
        <f t="shared" si="44"/>
        <v>123142.86</v>
      </c>
      <c r="K367" s="14">
        <f t="shared" si="44"/>
        <v>104033.35</v>
      </c>
      <c r="L367" s="14">
        <f t="shared" si="44"/>
        <v>118500</v>
      </c>
      <c r="M367" s="14">
        <f t="shared" si="44"/>
        <v>118500</v>
      </c>
      <c r="N367" s="14">
        <f t="shared" si="44"/>
        <v>123000</v>
      </c>
      <c r="O367" s="14">
        <f t="shared" si="44"/>
        <v>123000</v>
      </c>
      <c r="P367" s="14">
        <f t="shared" si="44"/>
        <v>123000</v>
      </c>
      <c r="Q367" s="14">
        <f t="shared" si="44"/>
        <v>123000</v>
      </c>
      <c r="R367" s="14">
        <f t="shared" si="44"/>
        <v>123000</v>
      </c>
      <c r="S367" s="14">
        <f t="shared" si="44"/>
        <v>115000</v>
      </c>
      <c r="T367" s="78"/>
    </row>
    <row r="368" spans="2:20" ht="14.25" customHeight="1" thickTop="1">
      <c r="B368" s="17"/>
      <c r="C368" s="259">
        <v>0</v>
      </c>
      <c r="D368" s="208" t="s">
        <v>28</v>
      </c>
      <c r="E368" s="52" t="s">
        <v>57</v>
      </c>
      <c r="F368" s="19">
        <v>10000</v>
      </c>
      <c r="G368" s="20">
        <f t="shared" ref="G368:G387" si="45">SUM(H368:S368)</f>
        <v>174193.56</v>
      </c>
      <c r="H368" s="20">
        <f>9032.26*6</f>
        <v>54193.56</v>
      </c>
      <c r="I368" s="20">
        <v>60000</v>
      </c>
      <c r="J368" s="20">
        <v>60000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</row>
    <row r="369" spans="2:19" ht="14.25" customHeight="1">
      <c r="B369" s="81"/>
      <c r="C369" s="259">
        <v>0</v>
      </c>
      <c r="D369" s="178" t="s">
        <v>28</v>
      </c>
      <c r="E369" s="52" t="s">
        <v>57</v>
      </c>
      <c r="F369" s="19">
        <v>8000</v>
      </c>
      <c r="G369" s="20">
        <f t="shared" si="45"/>
        <v>46451.62</v>
      </c>
      <c r="H369" s="20">
        <v>14451.62</v>
      </c>
      <c r="I369" s="20">
        <v>16000</v>
      </c>
      <c r="J369" s="20">
        <v>16000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</row>
    <row r="370" spans="2:19" s="104" customFormat="1" ht="14.25" customHeight="1">
      <c r="B370" s="66"/>
      <c r="C370" s="259">
        <v>0</v>
      </c>
      <c r="D370" s="178" t="s">
        <v>88</v>
      </c>
      <c r="E370" s="44" t="s">
        <v>57</v>
      </c>
      <c r="F370" s="25">
        <v>10000</v>
      </c>
      <c r="G370" s="26">
        <f t="shared" si="45"/>
        <v>130666.67</v>
      </c>
      <c r="H370" s="26">
        <v>0</v>
      </c>
      <c r="I370" s="26">
        <v>0</v>
      </c>
      <c r="J370" s="26">
        <v>0</v>
      </c>
      <c r="K370" s="26">
        <v>60666.67</v>
      </c>
      <c r="L370" s="26">
        <v>70000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</row>
    <row r="371" spans="2:19" s="104" customFormat="1" ht="14.25" customHeight="1">
      <c r="B371" s="66"/>
      <c r="C371" s="259">
        <v>0</v>
      </c>
      <c r="D371" s="178" t="s">
        <v>88</v>
      </c>
      <c r="E371" s="44" t="s">
        <v>57</v>
      </c>
      <c r="F371" s="25">
        <v>8000</v>
      </c>
      <c r="G371" s="26">
        <f t="shared" si="45"/>
        <v>14933.34</v>
      </c>
      <c r="H371" s="26">
        <v>0</v>
      </c>
      <c r="I371" s="26">
        <v>0</v>
      </c>
      <c r="J371" s="26">
        <v>0</v>
      </c>
      <c r="K371" s="26">
        <v>6933.34</v>
      </c>
      <c r="L371" s="26">
        <v>8000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</row>
    <row r="372" spans="2:19" s="104" customFormat="1" ht="14.25" customHeight="1">
      <c r="B372" s="66"/>
      <c r="C372" s="259">
        <v>0</v>
      </c>
      <c r="D372" s="178" t="s">
        <v>86</v>
      </c>
      <c r="E372" s="44" t="s">
        <v>57</v>
      </c>
      <c r="F372" s="25">
        <v>8000</v>
      </c>
      <c r="G372" s="26">
        <f t="shared" si="45"/>
        <v>22933.34</v>
      </c>
      <c r="H372" s="26">
        <v>0</v>
      </c>
      <c r="I372" s="26">
        <v>0</v>
      </c>
      <c r="J372" s="26">
        <v>0</v>
      </c>
      <c r="K372" s="26">
        <v>6933.34</v>
      </c>
      <c r="L372" s="26">
        <v>8000</v>
      </c>
      <c r="M372" s="26">
        <v>8000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</row>
    <row r="373" spans="2:19" s="104" customFormat="1" ht="14.25" customHeight="1">
      <c r="B373" s="66"/>
      <c r="C373" s="259">
        <v>0</v>
      </c>
      <c r="D373" s="178" t="s">
        <v>86</v>
      </c>
      <c r="E373" s="44" t="s">
        <v>57</v>
      </c>
      <c r="F373" s="25">
        <v>7500</v>
      </c>
      <c r="G373" s="26">
        <f t="shared" si="45"/>
        <v>43000</v>
      </c>
      <c r="H373" s="26">
        <v>0</v>
      </c>
      <c r="I373" s="26">
        <v>0</v>
      </c>
      <c r="J373" s="26">
        <v>0</v>
      </c>
      <c r="K373" s="26">
        <v>13000</v>
      </c>
      <c r="L373" s="26">
        <v>15000</v>
      </c>
      <c r="M373" s="26">
        <v>15000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</row>
    <row r="374" spans="2:19" ht="14.25" customHeight="1">
      <c r="B374" s="81"/>
      <c r="C374" s="259">
        <v>0</v>
      </c>
      <c r="D374" s="178" t="s">
        <v>28</v>
      </c>
      <c r="E374" s="44" t="s">
        <v>57</v>
      </c>
      <c r="F374" s="25">
        <v>7500</v>
      </c>
      <c r="G374" s="26">
        <f t="shared" si="45"/>
        <v>21774.19</v>
      </c>
      <c r="H374" s="26">
        <f>(F374*1)/31*28</f>
        <v>6774.19</v>
      </c>
      <c r="I374" s="26">
        <v>7500</v>
      </c>
      <c r="J374" s="26">
        <v>7500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</row>
    <row r="375" spans="2:19" ht="14.25" customHeight="1">
      <c r="B375" s="81"/>
      <c r="C375" s="259">
        <v>0</v>
      </c>
      <c r="D375" s="178" t="s">
        <v>28</v>
      </c>
      <c r="E375" s="44" t="s">
        <v>30</v>
      </c>
      <c r="F375" s="25">
        <v>7500</v>
      </c>
      <c r="G375" s="26">
        <f t="shared" si="45"/>
        <v>21774.19</v>
      </c>
      <c r="H375" s="26">
        <f>F375/31*28</f>
        <v>6774.19</v>
      </c>
      <c r="I375" s="26">
        <v>7500</v>
      </c>
      <c r="J375" s="26">
        <v>7500</v>
      </c>
      <c r="K375" s="26">
        <v>0</v>
      </c>
      <c r="L375" s="26">
        <v>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</row>
    <row r="376" spans="2:19" ht="14.25" customHeight="1">
      <c r="B376" s="81"/>
      <c r="C376" s="23">
        <v>0</v>
      </c>
      <c r="D376" s="178" t="s">
        <v>32</v>
      </c>
      <c r="E376" s="169" t="s">
        <v>57</v>
      </c>
      <c r="F376" s="25">
        <v>10000</v>
      </c>
      <c r="G376" s="26">
        <f t="shared" si="45"/>
        <v>14642.86</v>
      </c>
      <c r="H376" s="26">
        <v>0</v>
      </c>
      <c r="I376" s="26">
        <v>0</v>
      </c>
      <c r="J376" s="45">
        <f>(F376/28*13)+F376</f>
        <v>14642.86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</row>
    <row r="377" spans="2:19" s="104" customFormat="1" ht="14.25" customHeight="1">
      <c r="B377" s="66"/>
      <c r="C377" s="23">
        <v>0</v>
      </c>
      <c r="D377" s="178" t="s">
        <v>79</v>
      </c>
      <c r="E377" s="24" t="s">
        <v>30</v>
      </c>
      <c r="F377" s="25">
        <v>10000</v>
      </c>
      <c r="G377" s="26">
        <f t="shared" si="45"/>
        <v>30000</v>
      </c>
      <c r="H377" s="26">
        <v>0</v>
      </c>
      <c r="I377" s="26">
        <v>0</v>
      </c>
      <c r="J377" s="26">
        <v>10000</v>
      </c>
      <c r="K377" s="26">
        <v>10000</v>
      </c>
      <c r="L377" s="26">
        <v>10000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</row>
    <row r="378" spans="2:19" s="104" customFormat="1" ht="14.25" customHeight="1">
      <c r="B378" s="66"/>
      <c r="C378" s="259">
        <v>0</v>
      </c>
      <c r="D378" s="178" t="s">
        <v>28</v>
      </c>
      <c r="E378" s="62" t="s">
        <v>30</v>
      </c>
      <c r="F378" s="25">
        <v>7500</v>
      </c>
      <c r="G378" s="26">
        <f t="shared" si="45"/>
        <v>21774.19</v>
      </c>
      <c r="H378" s="26">
        <v>0</v>
      </c>
      <c r="I378" s="26">
        <v>14274.19</v>
      </c>
      <c r="J378" s="26">
        <v>7500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</row>
    <row r="379" spans="2:19" s="104" customFormat="1" ht="14.25" customHeight="1">
      <c r="B379" s="66"/>
      <c r="C379" s="259">
        <v>0</v>
      </c>
      <c r="D379" s="178" t="s">
        <v>86</v>
      </c>
      <c r="E379" s="44" t="s">
        <v>30</v>
      </c>
      <c r="F379" s="25">
        <v>7500</v>
      </c>
      <c r="G379" s="26">
        <f t="shared" si="45"/>
        <v>21500</v>
      </c>
      <c r="H379" s="26">
        <v>0</v>
      </c>
      <c r="I379" s="26">
        <v>0</v>
      </c>
      <c r="J379" s="26">
        <v>0</v>
      </c>
      <c r="K379" s="26">
        <v>6500</v>
      </c>
      <c r="L379" s="26">
        <v>7500</v>
      </c>
      <c r="M379" s="26">
        <v>7500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</row>
    <row r="380" spans="2:19" s="104" customFormat="1" ht="14.25" customHeight="1">
      <c r="B380" s="66"/>
      <c r="C380" s="259">
        <v>0</v>
      </c>
      <c r="D380" s="178" t="s">
        <v>130</v>
      </c>
      <c r="E380" s="44" t="s">
        <v>57</v>
      </c>
      <c r="F380" s="25">
        <v>8000</v>
      </c>
      <c r="G380" s="26">
        <f>SUM(H380:S380)</f>
        <v>40000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8000</v>
      </c>
      <c r="O380" s="26">
        <v>8000</v>
      </c>
      <c r="P380" s="26">
        <v>8000</v>
      </c>
      <c r="Q380" s="26">
        <v>8000</v>
      </c>
      <c r="R380" s="26">
        <v>8000</v>
      </c>
      <c r="S380" s="26">
        <v>0</v>
      </c>
    </row>
    <row r="381" spans="2:19" s="104" customFormat="1" ht="14.25" customHeight="1">
      <c r="B381" s="66"/>
      <c r="C381" s="23">
        <v>1</v>
      </c>
      <c r="D381" s="181" t="s">
        <v>105</v>
      </c>
      <c r="E381" s="24" t="s">
        <v>30</v>
      </c>
      <c r="F381" s="25">
        <v>10000</v>
      </c>
      <c r="G381" s="26">
        <f t="shared" si="45"/>
        <v>70000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10000</v>
      </c>
      <c r="N381" s="26">
        <f>F381*C381</f>
        <v>10000</v>
      </c>
      <c r="O381" s="26">
        <f>F381*C381</f>
        <v>10000</v>
      </c>
      <c r="P381" s="26">
        <f>F381*C381</f>
        <v>10000</v>
      </c>
      <c r="Q381" s="26">
        <f>F381*C381</f>
        <v>10000</v>
      </c>
      <c r="R381" s="26">
        <f>F381*C381</f>
        <v>10000</v>
      </c>
      <c r="S381" s="26">
        <f>F381*C381</f>
        <v>10000</v>
      </c>
    </row>
    <row r="382" spans="2:19" s="104" customFormat="1" ht="14.25" customHeight="1">
      <c r="B382" s="180"/>
      <c r="C382" s="270">
        <v>6</v>
      </c>
      <c r="D382" s="181" t="s">
        <v>105</v>
      </c>
      <c r="E382" s="44" t="s">
        <v>57</v>
      </c>
      <c r="F382" s="25">
        <v>10000</v>
      </c>
      <c r="G382" s="26">
        <f t="shared" si="45"/>
        <v>420000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5">
        <f>+F382*C382</f>
        <v>60000</v>
      </c>
      <c r="N382" s="25">
        <v>60000</v>
      </c>
      <c r="O382" s="25">
        <v>60000</v>
      </c>
      <c r="P382" s="25">
        <v>60000</v>
      </c>
      <c r="Q382" s="25">
        <v>60000</v>
      </c>
      <c r="R382" s="25">
        <v>60000</v>
      </c>
      <c r="S382" s="25">
        <v>60000</v>
      </c>
    </row>
    <row r="383" spans="2:19" s="104" customFormat="1" ht="14.25" customHeight="1">
      <c r="B383" s="180"/>
      <c r="C383" s="270">
        <v>1</v>
      </c>
      <c r="D383" s="181" t="s">
        <v>105</v>
      </c>
      <c r="E383" s="44" t="s">
        <v>57</v>
      </c>
      <c r="F383" s="25">
        <v>10000</v>
      </c>
      <c r="G383" s="26">
        <f t="shared" si="45"/>
        <v>70000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5">
        <v>10000</v>
      </c>
      <c r="N383" s="25">
        <v>10000</v>
      </c>
      <c r="O383" s="25">
        <v>10000</v>
      </c>
      <c r="P383" s="25">
        <v>10000</v>
      </c>
      <c r="Q383" s="25">
        <v>10000</v>
      </c>
      <c r="R383" s="25">
        <v>10000</v>
      </c>
      <c r="S383" s="25">
        <v>10000</v>
      </c>
    </row>
    <row r="384" spans="2:19" s="104" customFormat="1" ht="14.25" customHeight="1">
      <c r="B384" s="180"/>
      <c r="C384" s="270">
        <v>1</v>
      </c>
      <c r="D384" s="181" t="s">
        <v>105</v>
      </c>
      <c r="E384" s="44" t="s">
        <v>57</v>
      </c>
      <c r="F384" s="25">
        <v>8000</v>
      </c>
      <c r="G384" s="26">
        <f t="shared" si="45"/>
        <v>56000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5">
        <v>8000</v>
      </c>
      <c r="N384" s="25">
        <v>8000</v>
      </c>
      <c r="O384" s="25">
        <v>8000</v>
      </c>
      <c r="P384" s="25">
        <v>8000</v>
      </c>
      <c r="Q384" s="25">
        <v>8000</v>
      </c>
      <c r="R384" s="25">
        <v>8000</v>
      </c>
      <c r="S384" s="25">
        <v>8000</v>
      </c>
    </row>
    <row r="385" spans="2:20" s="104" customFormat="1" ht="14.25" customHeight="1">
      <c r="B385" s="66"/>
      <c r="C385" s="259">
        <v>2</v>
      </c>
      <c r="D385" s="178" t="s">
        <v>108</v>
      </c>
      <c r="E385" s="44" t="s">
        <v>57</v>
      </c>
      <c r="F385" s="25">
        <v>7500</v>
      </c>
      <c r="G385" s="26">
        <f t="shared" si="45"/>
        <v>90000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5">
        <v>15000</v>
      </c>
      <c r="O385" s="25">
        <v>15000</v>
      </c>
      <c r="P385" s="25">
        <v>15000</v>
      </c>
      <c r="Q385" s="25">
        <v>15000</v>
      </c>
      <c r="R385" s="25">
        <v>15000</v>
      </c>
      <c r="S385" s="25">
        <v>15000</v>
      </c>
    </row>
    <row r="386" spans="2:20" s="104" customFormat="1" ht="14.25" customHeight="1">
      <c r="B386" s="66"/>
      <c r="C386" s="259">
        <v>1</v>
      </c>
      <c r="D386" s="178" t="s">
        <v>108</v>
      </c>
      <c r="E386" s="44" t="s">
        <v>30</v>
      </c>
      <c r="F386" s="25">
        <v>7500</v>
      </c>
      <c r="G386" s="26">
        <f t="shared" si="45"/>
        <v>45000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0</v>
      </c>
      <c r="N386" s="26">
        <v>7500</v>
      </c>
      <c r="O386" s="26">
        <v>7500</v>
      </c>
      <c r="P386" s="26">
        <v>7500</v>
      </c>
      <c r="Q386" s="26">
        <v>7500</v>
      </c>
      <c r="R386" s="26">
        <v>7500</v>
      </c>
      <c r="S386" s="26">
        <v>7500</v>
      </c>
    </row>
    <row r="387" spans="2:20" s="104" customFormat="1" ht="14.25" customHeight="1">
      <c r="B387" s="165"/>
      <c r="C387" s="259">
        <v>1</v>
      </c>
      <c r="D387" s="178" t="s">
        <v>108</v>
      </c>
      <c r="E387" s="26" t="s">
        <v>30</v>
      </c>
      <c r="F387" s="26">
        <v>4500</v>
      </c>
      <c r="G387" s="26">
        <f t="shared" si="45"/>
        <v>27000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4500</v>
      </c>
      <c r="O387" s="26">
        <v>4500</v>
      </c>
      <c r="P387" s="26">
        <v>4500</v>
      </c>
      <c r="Q387" s="26">
        <v>4500</v>
      </c>
      <c r="R387" s="26">
        <v>4500</v>
      </c>
      <c r="S387" s="26">
        <v>4500</v>
      </c>
    </row>
    <row r="388" spans="2:20">
      <c r="B388" s="17"/>
      <c r="C388" s="23"/>
      <c r="D388" s="208"/>
      <c r="E388" s="289" t="s">
        <v>24</v>
      </c>
      <c r="F388" s="290"/>
      <c r="G388" s="21">
        <f>570000-SUM(G368:G387)+862000-42165</f>
        <v>8191.04</v>
      </c>
      <c r="H388" s="186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</row>
    <row r="389" spans="2:20" s="100" customFormat="1">
      <c r="B389" s="113"/>
      <c r="C389" s="132"/>
      <c r="D389" s="209"/>
      <c r="E389" s="138"/>
      <c r="F389" s="138"/>
      <c r="G389" s="117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7"/>
    </row>
    <row r="390" spans="2:20" s="100" customFormat="1">
      <c r="B390" s="286" t="s">
        <v>61</v>
      </c>
      <c r="C390" s="271"/>
      <c r="D390" s="224"/>
      <c r="E390" s="142"/>
      <c r="F390" s="130" t="s">
        <v>23</v>
      </c>
      <c r="G390" s="106">
        <f>G391+G392</f>
        <v>482800</v>
      </c>
      <c r="H390" s="140"/>
      <c r="I390" s="140"/>
      <c r="J390" s="140"/>
      <c r="K390" s="140"/>
      <c r="L390" s="140"/>
      <c r="M390" s="141"/>
      <c r="N390" s="140"/>
      <c r="O390" s="140"/>
      <c r="P390" s="140"/>
      <c r="Q390" s="140"/>
      <c r="R390" s="140"/>
      <c r="S390" s="111"/>
    </row>
    <row r="391" spans="2:20">
      <c r="B391" s="286"/>
      <c r="C391" s="272"/>
      <c r="D391" s="221"/>
      <c r="E391" s="143"/>
      <c r="F391" s="108" t="s">
        <v>95</v>
      </c>
      <c r="G391" s="106">
        <f>G393</f>
        <v>482565.6</v>
      </c>
      <c r="H391" s="54"/>
      <c r="I391" s="54"/>
      <c r="J391" s="54"/>
      <c r="K391" s="54"/>
      <c r="L391" s="54"/>
      <c r="M391" s="57"/>
      <c r="N391" s="54"/>
      <c r="O391" s="54"/>
      <c r="P391" s="54"/>
      <c r="Q391" s="54"/>
      <c r="R391" s="54"/>
      <c r="S391" s="10"/>
    </row>
    <row r="392" spans="2:20" ht="30">
      <c r="B392" s="286"/>
      <c r="C392" s="8"/>
      <c r="D392" s="203"/>
      <c r="E392" s="33"/>
      <c r="F392" s="108" t="s">
        <v>24</v>
      </c>
      <c r="G392" s="106">
        <f>G409</f>
        <v>234.4</v>
      </c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2:20" ht="29.25">
      <c r="B393" s="7" t="s">
        <v>62</v>
      </c>
      <c r="C393" s="8">
        <f>SUM(C394:C408)</f>
        <v>5</v>
      </c>
      <c r="D393" s="203"/>
      <c r="E393" s="40"/>
      <c r="F393" s="54"/>
      <c r="G393" s="16">
        <f>SUBTOTAL(9,G394:G408)</f>
        <v>482565.6</v>
      </c>
      <c r="H393" s="16">
        <f t="shared" ref="H393:S393" si="46">SUBTOTAL(9,H394:H409)</f>
        <v>37032.26</v>
      </c>
      <c r="I393" s="16">
        <f t="shared" si="46"/>
        <v>41000</v>
      </c>
      <c r="J393" s="16">
        <f t="shared" si="46"/>
        <v>41000</v>
      </c>
      <c r="K393" s="16">
        <f t="shared" si="46"/>
        <v>35533.339999999997</v>
      </c>
      <c r="L393" s="16">
        <f t="shared" si="46"/>
        <v>41000</v>
      </c>
      <c r="M393" s="16">
        <f t="shared" si="46"/>
        <v>41000</v>
      </c>
      <c r="N393" s="16">
        <f t="shared" si="46"/>
        <v>41000</v>
      </c>
      <c r="O393" s="16">
        <f t="shared" si="46"/>
        <v>41000</v>
      </c>
      <c r="P393" s="16">
        <f t="shared" si="46"/>
        <v>41000</v>
      </c>
      <c r="Q393" s="16">
        <f t="shared" si="46"/>
        <v>41000</v>
      </c>
      <c r="R393" s="16">
        <f t="shared" si="46"/>
        <v>41000</v>
      </c>
      <c r="S393" s="16">
        <f t="shared" si="46"/>
        <v>41000</v>
      </c>
      <c r="T393" s="78"/>
    </row>
    <row r="394" spans="2:20" ht="14.25" customHeight="1">
      <c r="B394" s="17"/>
      <c r="C394" s="264">
        <v>0</v>
      </c>
      <c r="D394" s="208" t="s">
        <v>28</v>
      </c>
      <c r="E394" s="52" t="s">
        <v>57</v>
      </c>
      <c r="F394" s="19">
        <v>10000</v>
      </c>
      <c r="G394" s="20">
        <f t="shared" ref="G394:G408" si="47">SUM(H394:S394)</f>
        <v>29032.26</v>
      </c>
      <c r="H394" s="20">
        <v>9032.26</v>
      </c>
      <c r="I394" s="20">
        <v>10000</v>
      </c>
      <c r="J394" s="20">
        <v>10000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78"/>
    </row>
    <row r="395" spans="2:20" ht="14.25" customHeight="1">
      <c r="B395" s="17"/>
      <c r="C395" s="264">
        <v>0</v>
      </c>
      <c r="D395" s="208" t="s">
        <v>28</v>
      </c>
      <c r="E395" s="52" t="s">
        <v>57</v>
      </c>
      <c r="F395" s="19">
        <v>7000</v>
      </c>
      <c r="G395" s="20">
        <f t="shared" si="47"/>
        <v>20322.580000000002</v>
      </c>
      <c r="H395" s="20">
        <v>6322.58</v>
      </c>
      <c r="I395" s="20">
        <v>7000</v>
      </c>
      <c r="J395" s="20">
        <v>7000</v>
      </c>
      <c r="K395" s="26">
        <v>0</v>
      </c>
      <c r="L395" s="26">
        <v>0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</row>
    <row r="396" spans="2:20" s="104" customFormat="1" ht="14.25" customHeight="1">
      <c r="B396" s="66"/>
      <c r="C396" s="259">
        <v>0</v>
      </c>
      <c r="D396" s="178" t="s">
        <v>86</v>
      </c>
      <c r="E396" s="44" t="s">
        <v>57</v>
      </c>
      <c r="F396" s="25">
        <v>10000</v>
      </c>
      <c r="G396" s="26">
        <f t="shared" si="47"/>
        <v>28666.67</v>
      </c>
      <c r="H396" s="26">
        <v>0</v>
      </c>
      <c r="I396" s="26">
        <v>0</v>
      </c>
      <c r="J396" s="26">
        <v>0</v>
      </c>
      <c r="K396" s="26">
        <v>8666.67</v>
      </c>
      <c r="L396" s="26">
        <v>10000</v>
      </c>
      <c r="M396" s="26">
        <v>10000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</row>
    <row r="397" spans="2:20" s="104" customFormat="1" ht="14.25" customHeight="1">
      <c r="B397" s="66"/>
      <c r="C397" s="259">
        <v>0</v>
      </c>
      <c r="D397" s="178" t="s">
        <v>86</v>
      </c>
      <c r="E397" s="44" t="s">
        <v>57</v>
      </c>
      <c r="F397" s="25">
        <v>7000</v>
      </c>
      <c r="G397" s="26">
        <f t="shared" si="47"/>
        <v>20066.669999999998</v>
      </c>
      <c r="H397" s="26">
        <v>0</v>
      </c>
      <c r="I397" s="26">
        <v>0</v>
      </c>
      <c r="J397" s="26">
        <v>0</v>
      </c>
      <c r="K397" s="26">
        <v>6066.67</v>
      </c>
      <c r="L397" s="26">
        <v>7000</v>
      </c>
      <c r="M397" s="26">
        <v>7000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</row>
    <row r="398" spans="2:20" s="104" customFormat="1" ht="14.25" customHeight="1">
      <c r="B398" s="66"/>
      <c r="C398" s="259">
        <v>0</v>
      </c>
      <c r="D398" s="178" t="s">
        <v>86</v>
      </c>
      <c r="E398" s="44" t="s">
        <v>30</v>
      </c>
      <c r="F398" s="25">
        <v>10000</v>
      </c>
      <c r="G398" s="26">
        <f t="shared" si="47"/>
        <v>28666.67</v>
      </c>
      <c r="H398" s="26">
        <v>0</v>
      </c>
      <c r="I398" s="26">
        <v>0</v>
      </c>
      <c r="J398" s="26">
        <v>0</v>
      </c>
      <c r="K398" s="26">
        <v>8666.67</v>
      </c>
      <c r="L398" s="26">
        <v>10000</v>
      </c>
      <c r="M398" s="26">
        <v>10000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</row>
    <row r="399" spans="2:20" s="104" customFormat="1" ht="14.25" customHeight="1">
      <c r="B399" s="66"/>
      <c r="C399" s="259">
        <v>0</v>
      </c>
      <c r="D399" s="178" t="s">
        <v>86</v>
      </c>
      <c r="E399" s="44" t="s">
        <v>30</v>
      </c>
      <c r="F399" s="25">
        <v>6000</v>
      </c>
      <c r="G399" s="26">
        <f t="shared" si="47"/>
        <v>17200</v>
      </c>
      <c r="H399" s="26">
        <v>0</v>
      </c>
      <c r="I399" s="26">
        <v>0</v>
      </c>
      <c r="J399" s="26">
        <v>0</v>
      </c>
      <c r="K399" s="26">
        <v>5200</v>
      </c>
      <c r="L399" s="26">
        <v>6000</v>
      </c>
      <c r="M399" s="26">
        <v>6000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</row>
    <row r="400" spans="2:20" s="104" customFormat="1" ht="14.25" customHeight="1">
      <c r="B400" s="66"/>
      <c r="C400" s="259">
        <v>0</v>
      </c>
      <c r="D400" s="178" t="s">
        <v>86</v>
      </c>
      <c r="E400" s="44" t="s">
        <v>30</v>
      </c>
      <c r="F400" s="25">
        <v>8000</v>
      </c>
      <c r="G400" s="26">
        <f t="shared" si="47"/>
        <v>22933.33</v>
      </c>
      <c r="H400" s="26">
        <v>0</v>
      </c>
      <c r="I400" s="26">
        <v>0</v>
      </c>
      <c r="J400" s="26">
        <v>0</v>
      </c>
      <c r="K400" s="26">
        <v>6933.33</v>
      </c>
      <c r="L400" s="26">
        <v>8000</v>
      </c>
      <c r="M400" s="26">
        <v>8000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</row>
    <row r="401" spans="2:20" s="104" customFormat="1" ht="14.25" customHeight="1">
      <c r="B401" s="66"/>
      <c r="C401" s="259">
        <v>1</v>
      </c>
      <c r="D401" s="178" t="s">
        <v>108</v>
      </c>
      <c r="E401" s="44" t="s">
        <v>57</v>
      </c>
      <c r="F401" s="25">
        <v>10000</v>
      </c>
      <c r="G401" s="26">
        <f t="shared" si="47"/>
        <v>60000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10000</v>
      </c>
      <c r="O401" s="26">
        <v>10000</v>
      </c>
      <c r="P401" s="26">
        <v>10000</v>
      </c>
      <c r="Q401" s="26">
        <v>10000</v>
      </c>
      <c r="R401" s="26">
        <v>10000</v>
      </c>
      <c r="S401" s="26">
        <v>10000</v>
      </c>
    </row>
    <row r="402" spans="2:20" s="104" customFormat="1" ht="14.25" customHeight="1">
      <c r="B402" s="66"/>
      <c r="C402" s="259">
        <v>1</v>
      </c>
      <c r="D402" s="178" t="s">
        <v>108</v>
      </c>
      <c r="E402" s="44" t="s">
        <v>57</v>
      </c>
      <c r="F402" s="25">
        <v>7000</v>
      </c>
      <c r="G402" s="26">
        <f t="shared" si="47"/>
        <v>42000</v>
      </c>
      <c r="H402" s="26">
        <v>0</v>
      </c>
      <c r="I402" s="26">
        <v>0</v>
      </c>
      <c r="J402" s="26">
        <v>0</v>
      </c>
      <c r="K402" s="26">
        <v>0</v>
      </c>
      <c r="L402" s="26">
        <v>0</v>
      </c>
      <c r="M402" s="26">
        <v>0</v>
      </c>
      <c r="N402" s="26">
        <v>7000</v>
      </c>
      <c r="O402" s="26">
        <v>7000</v>
      </c>
      <c r="P402" s="26">
        <v>7000</v>
      </c>
      <c r="Q402" s="26">
        <v>7000</v>
      </c>
      <c r="R402" s="26">
        <v>7000</v>
      </c>
      <c r="S402" s="26">
        <v>7000</v>
      </c>
    </row>
    <row r="403" spans="2:20" s="104" customFormat="1" ht="14.25" customHeight="1">
      <c r="B403" s="66"/>
      <c r="C403" s="259">
        <v>1</v>
      </c>
      <c r="D403" s="178" t="s">
        <v>108</v>
      </c>
      <c r="E403" s="44" t="s">
        <v>30</v>
      </c>
      <c r="F403" s="25">
        <v>10000</v>
      </c>
      <c r="G403" s="26">
        <f t="shared" si="47"/>
        <v>60000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10000</v>
      </c>
      <c r="O403" s="26">
        <v>10000</v>
      </c>
      <c r="P403" s="26">
        <v>10000</v>
      </c>
      <c r="Q403" s="26">
        <v>10000</v>
      </c>
      <c r="R403" s="26">
        <v>10000</v>
      </c>
      <c r="S403" s="26">
        <v>10000</v>
      </c>
    </row>
    <row r="404" spans="2:20" s="104" customFormat="1" ht="14.25" customHeight="1">
      <c r="B404" s="66"/>
      <c r="C404" s="259">
        <v>1</v>
      </c>
      <c r="D404" s="178" t="s">
        <v>108</v>
      </c>
      <c r="E404" s="44" t="s">
        <v>30</v>
      </c>
      <c r="F404" s="25">
        <v>6000</v>
      </c>
      <c r="G404" s="26">
        <f t="shared" si="47"/>
        <v>36000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6000</v>
      </c>
      <c r="O404" s="26">
        <v>6000</v>
      </c>
      <c r="P404" s="26">
        <v>6000</v>
      </c>
      <c r="Q404" s="26">
        <v>6000</v>
      </c>
      <c r="R404" s="26">
        <v>6000</v>
      </c>
      <c r="S404" s="26">
        <v>6000</v>
      </c>
    </row>
    <row r="405" spans="2:20" s="104" customFormat="1" ht="14.25" customHeight="1">
      <c r="B405" s="66"/>
      <c r="C405" s="259">
        <v>1</v>
      </c>
      <c r="D405" s="178" t="s">
        <v>108</v>
      </c>
      <c r="E405" s="44" t="s">
        <v>30</v>
      </c>
      <c r="F405" s="25">
        <v>8000</v>
      </c>
      <c r="G405" s="26">
        <f t="shared" si="47"/>
        <v>48000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8000</v>
      </c>
      <c r="O405" s="26">
        <v>8000</v>
      </c>
      <c r="P405" s="26">
        <v>8000</v>
      </c>
      <c r="Q405" s="26">
        <v>8000</v>
      </c>
      <c r="R405" s="26">
        <v>8000</v>
      </c>
      <c r="S405" s="26">
        <v>8000</v>
      </c>
    </row>
    <row r="406" spans="2:20" ht="14.25" customHeight="1">
      <c r="B406" s="17"/>
      <c r="C406" s="259">
        <v>0</v>
      </c>
      <c r="D406" s="178" t="s">
        <v>28</v>
      </c>
      <c r="E406" s="44" t="s">
        <v>30</v>
      </c>
      <c r="F406" s="25">
        <v>10000</v>
      </c>
      <c r="G406" s="26">
        <f t="shared" si="47"/>
        <v>29032.26</v>
      </c>
      <c r="H406" s="26">
        <v>9032.26</v>
      </c>
      <c r="I406" s="26">
        <v>10000</v>
      </c>
      <c r="J406" s="26">
        <v>10000</v>
      </c>
      <c r="K406" s="26">
        <v>0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</row>
    <row r="407" spans="2:20" ht="14.25" customHeight="1">
      <c r="B407" s="17"/>
      <c r="C407" s="259">
        <v>0</v>
      </c>
      <c r="D407" s="208" t="s">
        <v>28</v>
      </c>
      <c r="E407" s="52" t="s">
        <v>30</v>
      </c>
      <c r="F407" s="19">
        <v>8000</v>
      </c>
      <c r="G407" s="20">
        <f t="shared" si="47"/>
        <v>23225.81</v>
      </c>
      <c r="H407" s="20">
        <v>7225.81</v>
      </c>
      <c r="I407" s="20">
        <v>8000</v>
      </c>
      <c r="J407" s="20">
        <v>8000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</row>
    <row r="408" spans="2:20" ht="14.25" customHeight="1">
      <c r="B408" s="17"/>
      <c r="C408" s="259">
        <v>0</v>
      </c>
      <c r="D408" s="208" t="s">
        <v>28</v>
      </c>
      <c r="E408" s="52" t="s">
        <v>30</v>
      </c>
      <c r="F408" s="19">
        <v>6000</v>
      </c>
      <c r="G408" s="20">
        <f t="shared" si="47"/>
        <v>17419.349999999999</v>
      </c>
      <c r="H408" s="20">
        <v>5419.35</v>
      </c>
      <c r="I408" s="20">
        <v>6000</v>
      </c>
      <c r="J408" s="20">
        <v>6000</v>
      </c>
      <c r="K408" s="26">
        <v>0</v>
      </c>
      <c r="L408" s="26">
        <v>0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</row>
    <row r="409" spans="2:20">
      <c r="B409" s="17"/>
      <c r="C409" s="18"/>
      <c r="D409" s="208"/>
      <c r="E409" s="289" t="s">
        <v>24</v>
      </c>
      <c r="F409" s="290"/>
      <c r="G409" s="21">
        <f>242800-SUM(G394:G408)+240000</f>
        <v>234.4</v>
      </c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1"/>
    </row>
    <row r="410" spans="2:20" ht="43.5">
      <c r="B410" s="2" t="s">
        <v>63</v>
      </c>
      <c r="C410" s="63">
        <f>C412+C417</f>
        <v>0</v>
      </c>
      <c r="D410" s="194"/>
      <c r="E410" s="3"/>
      <c r="F410" s="64"/>
      <c r="G410" s="65">
        <f>G412+G417</f>
        <v>0</v>
      </c>
      <c r="H410" s="65">
        <f>H412+H417</f>
        <v>0</v>
      </c>
      <c r="I410" s="65">
        <f>I412+I417</f>
        <v>0</v>
      </c>
      <c r="J410" s="65">
        <f>J412+J417</f>
        <v>0</v>
      </c>
      <c r="K410" s="65">
        <f>K412+K417</f>
        <v>0</v>
      </c>
      <c r="L410" s="65">
        <f>L412+L417</f>
        <v>0</v>
      </c>
      <c r="M410" s="65">
        <f>M412+M417</f>
        <v>0</v>
      </c>
      <c r="N410" s="65">
        <f>N412+N417</f>
        <v>0</v>
      </c>
      <c r="O410" s="65">
        <f>O412+O417</f>
        <v>0</v>
      </c>
      <c r="P410" s="65">
        <f>P412+P417</f>
        <v>0</v>
      </c>
      <c r="Q410" s="65">
        <f>Q412+Q417</f>
        <v>0</v>
      </c>
      <c r="R410" s="65">
        <f>R412+R417</f>
        <v>0</v>
      </c>
      <c r="S410" s="65">
        <f>S412+S417</f>
        <v>0</v>
      </c>
    </row>
    <row r="411" spans="2:20" ht="72">
      <c r="B411" s="39" t="s">
        <v>40</v>
      </c>
      <c r="C411" s="8"/>
      <c r="D411" s="203"/>
      <c r="E411" s="33"/>
      <c r="F411" s="54"/>
      <c r="G411" s="10"/>
      <c r="H411" s="10"/>
      <c r="I411" s="10"/>
      <c r="J411" s="10"/>
      <c r="K411" s="10"/>
      <c r="L411" s="10"/>
      <c r="M411" s="34"/>
      <c r="N411" s="10"/>
      <c r="O411" s="10"/>
      <c r="P411" s="10"/>
      <c r="Q411" s="10"/>
      <c r="R411" s="10"/>
      <c r="S411" s="10"/>
    </row>
    <row r="412" spans="2:20" ht="44.25" thickBot="1">
      <c r="B412" s="7" t="s">
        <v>64</v>
      </c>
      <c r="C412" s="8">
        <v>0</v>
      </c>
      <c r="D412" s="203"/>
      <c r="E412" s="40"/>
      <c r="F412" s="56"/>
      <c r="G412" s="14">
        <v>0</v>
      </c>
      <c r="H412" s="14">
        <f t="shared" ref="H412:S412" si="48">SUM(H414:H414)</f>
        <v>0</v>
      </c>
      <c r="I412" s="14">
        <f t="shared" si="48"/>
        <v>0</v>
      </c>
      <c r="J412" s="14">
        <f t="shared" si="48"/>
        <v>0</v>
      </c>
      <c r="K412" s="14">
        <f t="shared" si="48"/>
        <v>0</v>
      </c>
      <c r="L412" s="14">
        <f t="shared" si="48"/>
        <v>0</v>
      </c>
      <c r="M412" s="14">
        <f t="shared" si="48"/>
        <v>0</v>
      </c>
      <c r="N412" s="14">
        <f t="shared" si="48"/>
        <v>0</v>
      </c>
      <c r="O412" s="14">
        <f t="shared" si="48"/>
        <v>0</v>
      </c>
      <c r="P412" s="14">
        <f t="shared" si="48"/>
        <v>0</v>
      </c>
      <c r="Q412" s="14">
        <f t="shared" si="48"/>
        <v>0</v>
      </c>
      <c r="R412" s="14">
        <f t="shared" si="48"/>
        <v>0</v>
      </c>
      <c r="S412" s="14">
        <f t="shared" si="48"/>
        <v>0</v>
      </c>
      <c r="T412" s="78"/>
    </row>
    <row r="413" spans="2:20" ht="15.75" thickTop="1">
      <c r="B413" s="66"/>
      <c r="C413" s="23"/>
      <c r="D413" s="178"/>
      <c r="E413" s="67"/>
      <c r="F413" s="25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</row>
    <row r="414" spans="2:20">
      <c r="B414" s="17"/>
      <c r="C414" s="18"/>
      <c r="D414" s="208"/>
      <c r="E414" s="289" t="s">
        <v>24</v>
      </c>
      <c r="F414" s="290"/>
      <c r="G414" s="21">
        <v>0</v>
      </c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1">
        <f>G414</f>
        <v>0</v>
      </c>
    </row>
    <row r="415" spans="2:20">
      <c r="B415" s="41"/>
      <c r="C415" s="27"/>
      <c r="D415" s="211"/>
      <c r="E415" s="69"/>
      <c r="F415" s="53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</row>
    <row r="416" spans="2:20" ht="29.25">
      <c r="B416" s="248" t="s">
        <v>116</v>
      </c>
      <c r="C416" s="8"/>
      <c r="D416" s="203"/>
      <c r="E416" s="33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2:19" ht="30" thickBot="1">
      <c r="B417" s="7" t="s">
        <v>65</v>
      </c>
      <c r="C417" s="8">
        <v>0</v>
      </c>
      <c r="D417" s="203"/>
      <c r="E417" s="40"/>
      <c r="F417" s="10"/>
      <c r="G417" s="14">
        <f>G418+G421</f>
        <v>0</v>
      </c>
      <c r="H417" s="14">
        <f>H418+H421</f>
        <v>0</v>
      </c>
      <c r="I417" s="14">
        <f>I418+I421</f>
        <v>0</v>
      </c>
      <c r="J417" s="14">
        <f>J418+J421</f>
        <v>0</v>
      </c>
      <c r="K417" s="14">
        <f>K418+K421</f>
        <v>0</v>
      </c>
      <c r="L417" s="14">
        <f>L418+L421</f>
        <v>0</v>
      </c>
      <c r="M417" s="14">
        <f>M418+M421</f>
        <v>0</v>
      </c>
      <c r="N417" s="14">
        <f>N418+N421</f>
        <v>0</v>
      </c>
      <c r="O417" s="14">
        <f>O418+O421</f>
        <v>0</v>
      </c>
      <c r="P417" s="14">
        <f>P418+P421</f>
        <v>0</v>
      </c>
      <c r="Q417" s="14">
        <f>Q418+Q421</f>
        <v>0</v>
      </c>
      <c r="R417" s="14">
        <f>R418+R421</f>
        <v>0</v>
      </c>
      <c r="S417" s="14">
        <f>S418+S421</f>
        <v>0</v>
      </c>
    </row>
    <row r="418" spans="2:19" ht="30" thickTop="1">
      <c r="B418" s="47" t="s">
        <v>66</v>
      </c>
      <c r="C418" s="59">
        <v>0</v>
      </c>
      <c r="D418" s="225"/>
      <c r="E418" s="60"/>
      <c r="F418" s="38"/>
      <c r="G418" s="70">
        <v>0</v>
      </c>
      <c r="H418" s="70">
        <f t="shared" ref="H418:S418" si="49">SUM(H419:H419)</f>
        <v>0</v>
      </c>
      <c r="I418" s="70">
        <f t="shared" si="49"/>
        <v>0</v>
      </c>
      <c r="J418" s="70">
        <f t="shared" si="49"/>
        <v>0</v>
      </c>
      <c r="K418" s="70">
        <f t="shared" si="49"/>
        <v>0</v>
      </c>
      <c r="L418" s="70">
        <f t="shared" si="49"/>
        <v>0</v>
      </c>
      <c r="M418" s="70">
        <f t="shared" si="49"/>
        <v>0</v>
      </c>
      <c r="N418" s="70">
        <f t="shared" si="49"/>
        <v>0</v>
      </c>
      <c r="O418" s="70">
        <f t="shared" si="49"/>
        <v>0</v>
      </c>
      <c r="P418" s="70">
        <f t="shared" si="49"/>
        <v>0</v>
      </c>
      <c r="Q418" s="70">
        <f t="shared" si="49"/>
        <v>0</v>
      </c>
      <c r="R418" s="70">
        <f t="shared" si="49"/>
        <v>0</v>
      </c>
      <c r="S418" s="70">
        <f t="shared" si="49"/>
        <v>0</v>
      </c>
    </row>
    <row r="419" spans="2:19">
      <c r="B419" s="17"/>
      <c r="C419" s="18"/>
      <c r="D419" s="208"/>
      <c r="E419" s="289" t="s">
        <v>24</v>
      </c>
      <c r="F419" s="290"/>
      <c r="G419" s="21">
        <v>0</v>
      </c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1">
        <f>G419</f>
        <v>0</v>
      </c>
    </row>
    <row r="420" spans="2:19">
      <c r="B420" s="17"/>
      <c r="C420" s="18"/>
      <c r="D420" s="208"/>
      <c r="E420" s="46"/>
      <c r="F420" s="19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2:19" ht="29.25">
      <c r="B421" s="17" t="s">
        <v>67</v>
      </c>
      <c r="C421" s="71">
        <v>0</v>
      </c>
      <c r="D421" s="226"/>
      <c r="E421" s="46" t="s">
        <v>68</v>
      </c>
      <c r="F421" s="19"/>
      <c r="G421" s="72">
        <v>0</v>
      </c>
      <c r="H421" s="72">
        <f t="shared" ref="H421:S421" si="50">H422</f>
        <v>0</v>
      </c>
      <c r="I421" s="72">
        <f t="shared" si="50"/>
        <v>0</v>
      </c>
      <c r="J421" s="72">
        <f t="shared" si="50"/>
        <v>0</v>
      </c>
      <c r="K421" s="72">
        <f t="shared" si="50"/>
        <v>0</v>
      </c>
      <c r="L421" s="72">
        <f t="shared" si="50"/>
        <v>0</v>
      </c>
      <c r="M421" s="72">
        <f t="shared" si="50"/>
        <v>0</v>
      </c>
      <c r="N421" s="72">
        <f t="shared" si="50"/>
        <v>0</v>
      </c>
      <c r="O421" s="72">
        <f t="shared" si="50"/>
        <v>0</v>
      </c>
      <c r="P421" s="72">
        <f t="shared" si="50"/>
        <v>0</v>
      </c>
      <c r="Q421" s="72">
        <f t="shared" si="50"/>
        <v>0</v>
      </c>
      <c r="R421" s="72">
        <f t="shared" si="50"/>
        <v>0</v>
      </c>
      <c r="S421" s="72">
        <f t="shared" si="50"/>
        <v>0</v>
      </c>
    </row>
    <row r="422" spans="2:19">
      <c r="B422" s="17"/>
      <c r="C422" s="18"/>
      <c r="D422" s="208"/>
      <c r="E422" s="289" t="s">
        <v>24</v>
      </c>
      <c r="F422" s="290"/>
      <c r="G422" s="20">
        <v>0</v>
      </c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1">
        <f>G422</f>
        <v>0</v>
      </c>
    </row>
    <row r="423" spans="2:19" ht="29.25">
      <c r="B423" s="2" t="s">
        <v>69</v>
      </c>
      <c r="C423" s="63">
        <f>C425+C433+C436</f>
        <v>0</v>
      </c>
      <c r="D423" s="194"/>
      <c r="E423" s="3"/>
      <c r="F423" s="4"/>
      <c r="G423" s="65">
        <f>G425+G433+G436</f>
        <v>0</v>
      </c>
      <c r="H423" s="65">
        <f>H425+H433+H436</f>
        <v>0</v>
      </c>
      <c r="I423" s="65">
        <f>I425+I433+I436</f>
        <v>0</v>
      </c>
      <c r="J423" s="65">
        <f>J425+J433+J436</f>
        <v>0</v>
      </c>
      <c r="K423" s="65">
        <f>K425+K433+K436</f>
        <v>0</v>
      </c>
      <c r="L423" s="65">
        <f>L425+L433+L436</f>
        <v>0</v>
      </c>
      <c r="M423" s="65">
        <f>M425+M433+M436</f>
        <v>0</v>
      </c>
      <c r="N423" s="65">
        <f>N425+N433+N436</f>
        <v>0</v>
      </c>
      <c r="O423" s="65">
        <f>O425+O433+O436</f>
        <v>0</v>
      </c>
      <c r="P423" s="65">
        <f>P425+P433+P436</f>
        <v>0</v>
      </c>
      <c r="Q423" s="65">
        <f>Q425+Q433+Q436</f>
        <v>0</v>
      </c>
      <c r="R423" s="65">
        <f>R425+R433+R436</f>
        <v>0</v>
      </c>
      <c r="S423" s="65">
        <f>S425+S433+S436</f>
        <v>0</v>
      </c>
    </row>
    <row r="424" spans="2:19" ht="72">
      <c r="B424" s="39" t="s">
        <v>40</v>
      </c>
      <c r="C424" s="8"/>
      <c r="D424" s="203"/>
      <c r="E424" s="33"/>
      <c r="F424" s="10"/>
      <c r="G424" s="10"/>
      <c r="H424" s="10"/>
      <c r="I424" s="10"/>
      <c r="J424" s="10"/>
      <c r="K424" s="10"/>
      <c r="L424" s="10"/>
      <c r="M424" s="34"/>
      <c r="N424" s="10"/>
      <c r="O424" s="10"/>
      <c r="P424" s="10"/>
      <c r="Q424" s="10"/>
      <c r="R424" s="10"/>
      <c r="S424" s="10"/>
    </row>
    <row r="425" spans="2:19" ht="30" thickBot="1">
      <c r="B425" s="7" t="s">
        <v>70</v>
      </c>
      <c r="C425" s="8">
        <v>0</v>
      </c>
      <c r="D425" s="203"/>
      <c r="E425" s="40"/>
      <c r="F425" s="10"/>
      <c r="G425" s="14">
        <f>G426+G428+G430</f>
        <v>0</v>
      </c>
      <c r="H425" s="14">
        <f>H426+H428+H430</f>
        <v>0</v>
      </c>
      <c r="I425" s="14">
        <f>I426+I428+I430</f>
        <v>0</v>
      </c>
      <c r="J425" s="14">
        <f>J426+J428+J430</f>
        <v>0</v>
      </c>
      <c r="K425" s="14">
        <f>K426+K428+K430</f>
        <v>0</v>
      </c>
      <c r="L425" s="14">
        <f>L426+L428+L430</f>
        <v>0</v>
      </c>
      <c r="M425" s="14">
        <f>M426+M428+M430</f>
        <v>0</v>
      </c>
      <c r="N425" s="14">
        <f>N426+N428+N430</f>
        <v>0</v>
      </c>
      <c r="O425" s="14">
        <f>O426+O428+O430</f>
        <v>0</v>
      </c>
      <c r="P425" s="14">
        <f>P426+P428+P430</f>
        <v>0</v>
      </c>
      <c r="Q425" s="14">
        <f>Q426+Q428+Q430</f>
        <v>0</v>
      </c>
      <c r="R425" s="14">
        <f>R426+R428+R430</f>
        <v>0</v>
      </c>
      <c r="S425" s="14">
        <f>S426+S428+S430</f>
        <v>0</v>
      </c>
    </row>
    <row r="426" spans="2:19" ht="30" thickTop="1">
      <c r="B426" s="41" t="s">
        <v>71</v>
      </c>
      <c r="C426" s="27"/>
      <c r="D426" s="211"/>
      <c r="E426" s="33"/>
      <c r="F426" s="10"/>
      <c r="G426" s="43">
        <v>0</v>
      </c>
      <c r="H426" s="43">
        <f t="shared" ref="H426:S426" si="51">SUM(H427)</f>
        <v>0</v>
      </c>
      <c r="I426" s="43">
        <f t="shared" si="51"/>
        <v>0</v>
      </c>
      <c r="J426" s="43">
        <f t="shared" si="51"/>
        <v>0</v>
      </c>
      <c r="K426" s="43">
        <f t="shared" si="51"/>
        <v>0</v>
      </c>
      <c r="L426" s="43">
        <f t="shared" si="51"/>
        <v>0</v>
      </c>
      <c r="M426" s="43">
        <f t="shared" si="51"/>
        <v>0</v>
      </c>
      <c r="N426" s="43">
        <f t="shared" si="51"/>
        <v>0</v>
      </c>
      <c r="O426" s="43">
        <f t="shared" si="51"/>
        <v>0</v>
      </c>
      <c r="P426" s="43">
        <f t="shared" si="51"/>
        <v>0</v>
      </c>
      <c r="Q426" s="43">
        <f t="shared" si="51"/>
        <v>0</v>
      </c>
      <c r="R426" s="43">
        <f t="shared" si="51"/>
        <v>0</v>
      </c>
      <c r="S426" s="43">
        <f t="shared" si="51"/>
        <v>0</v>
      </c>
    </row>
    <row r="427" spans="2:19">
      <c r="B427" s="17"/>
      <c r="C427" s="18"/>
      <c r="D427" s="208"/>
      <c r="E427" s="289" t="s">
        <v>24</v>
      </c>
      <c r="F427" s="290"/>
      <c r="G427" s="20">
        <v>0</v>
      </c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1">
        <f>G427</f>
        <v>0</v>
      </c>
    </row>
    <row r="428" spans="2:19" ht="29.25">
      <c r="B428" s="41" t="s">
        <v>72</v>
      </c>
      <c r="C428" s="27"/>
      <c r="D428" s="211"/>
      <c r="E428" s="33"/>
      <c r="F428" s="10"/>
      <c r="G428" s="43">
        <v>0</v>
      </c>
      <c r="H428" s="43">
        <f t="shared" ref="H428:S428" si="52">H429</f>
        <v>0</v>
      </c>
      <c r="I428" s="43">
        <f t="shared" si="52"/>
        <v>0</v>
      </c>
      <c r="J428" s="43">
        <f t="shared" si="52"/>
        <v>0</v>
      </c>
      <c r="K428" s="43">
        <f t="shared" si="52"/>
        <v>0</v>
      </c>
      <c r="L428" s="43">
        <f t="shared" si="52"/>
        <v>0</v>
      </c>
      <c r="M428" s="43">
        <f t="shared" si="52"/>
        <v>0</v>
      </c>
      <c r="N428" s="43">
        <f t="shared" si="52"/>
        <v>0</v>
      </c>
      <c r="O428" s="43">
        <f t="shared" si="52"/>
        <v>0</v>
      </c>
      <c r="P428" s="43">
        <f t="shared" si="52"/>
        <v>0</v>
      </c>
      <c r="Q428" s="43">
        <f t="shared" si="52"/>
        <v>0</v>
      </c>
      <c r="R428" s="43">
        <f t="shared" si="52"/>
        <v>0</v>
      </c>
      <c r="S428" s="43">
        <f t="shared" si="52"/>
        <v>0</v>
      </c>
    </row>
    <row r="429" spans="2:19">
      <c r="B429" s="17"/>
      <c r="C429" s="18"/>
      <c r="D429" s="208"/>
      <c r="E429" s="289" t="s">
        <v>24</v>
      </c>
      <c r="F429" s="290"/>
      <c r="G429" s="20">
        <v>0</v>
      </c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1">
        <f>G429</f>
        <v>0</v>
      </c>
    </row>
    <row r="430" spans="2:19" ht="29.25">
      <c r="B430" s="17" t="s">
        <v>73</v>
      </c>
      <c r="C430" s="18"/>
      <c r="D430" s="208"/>
      <c r="E430" s="75"/>
      <c r="F430" s="21"/>
      <c r="G430" s="76">
        <v>0</v>
      </c>
      <c r="H430" s="76">
        <f t="shared" ref="H430:S430" si="53">SUM(H431)</f>
        <v>0</v>
      </c>
      <c r="I430" s="76">
        <f t="shared" si="53"/>
        <v>0</v>
      </c>
      <c r="J430" s="76">
        <f t="shared" si="53"/>
        <v>0</v>
      </c>
      <c r="K430" s="76">
        <f t="shared" si="53"/>
        <v>0</v>
      </c>
      <c r="L430" s="76">
        <f t="shared" si="53"/>
        <v>0</v>
      </c>
      <c r="M430" s="76">
        <f t="shared" si="53"/>
        <v>0</v>
      </c>
      <c r="N430" s="76">
        <f t="shared" si="53"/>
        <v>0</v>
      </c>
      <c r="O430" s="76">
        <f t="shared" si="53"/>
        <v>0</v>
      </c>
      <c r="P430" s="76">
        <f t="shared" si="53"/>
        <v>0</v>
      </c>
      <c r="Q430" s="76">
        <f t="shared" si="53"/>
        <v>0</v>
      </c>
      <c r="R430" s="76">
        <f t="shared" si="53"/>
        <v>0</v>
      </c>
      <c r="S430" s="76">
        <f t="shared" si="53"/>
        <v>0</v>
      </c>
    </row>
    <row r="431" spans="2:19">
      <c r="B431" s="17"/>
      <c r="C431" s="18"/>
      <c r="D431" s="208"/>
      <c r="E431" s="289" t="s">
        <v>24</v>
      </c>
      <c r="F431" s="290"/>
      <c r="G431" s="20">
        <v>0</v>
      </c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1">
        <f>G431</f>
        <v>0</v>
      </c>
    </row>
    <row r="432" spans="2:19" ht="29.25">
      <c r="B432" s="39" t="s">
        <v>48</v>
      </c>
      <c r="C432" s="8"/>
      <c r="D432" s="203"/>
      <c r="E432" s="33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2:20" ht="44.25" thickBot="1">
      <c r="B433" s="7" t="s">
        <v>74</v>
      </c>
      <c r="C433" s="8">
        <v>0</v>
      </c>
      <c r="D433" s="227"/>
      <c r="E433" s="40"/>
      <c r="F433" s="10"/>
      <c r="G433" s="14">
        <v>0</v>
      </c>
      <c r="H433" s="14">
        <f>SUM(H434:H434)</f>
        <v>0</v>
      </c>
      <c r="I433" s="14">
        <f>SUM(I434:I434)</f>
        <v>0</v>
      </c>
      <c r="J433" s="14">
        <f>SUM(J434:J434)</f>
        <v>0</v>
      </c>
      <c r="K433" s="14">
        <f>SUM(K434:K434)</f>
        <v>0</v>
      </c>
      <c r="L433" s="14">
        <f>SUM(L434:L434)</f>
        <v>0</v>
      </c>
      <c r="M433" s="14">
        <f>SUM(M434:M434)</f>
        <v>0</v>
      </c>
      <c r="N433" s="14">
        <f>SUM(N434:N434)</f>
        <v>0</v>
      </c>
      <c r="O433" s="14">
        <f>SUM(O434:O434)</f>
        <v>0</v>
      </c>
      <c r="P433" s="14">
        <f>SUM(P434:P434)</f>
        <v>0</v>
      </c>
      <c r="Q433" s="14">
        <f>SUM(Q434:Q434)</f>
        <v>0</v>
      </c>
      <c r="R433" s="14">
        <f>SUM(R434:R434)</f>
        <v>0</v>
      </c>
      <c r="S433" s="14">
        <f>SUM(S434:S434)</f>
        <v>0</v>
      </c>
    </row>
    <row r="434" spans="2:20" ht="15.75" thickTop="1">
      <c r="B434" s="17"/>
      <c r="C434" s="18"/>
      <c r="D434" s="208"/>
      <c r="E434" s="289" t="s">
        <v>24</v>
      </c>
      <c r="F434" s="290"/>
      <c r="G434" s="20">
        <v>0</v>
      </c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1">
        <f>G434</f>
        <v>0</v>
      </c>
    </row>
    <row r="435" spans="2:20" ht="29.25">
      <c r="B435" s="199" t="s">
        <v>75</v>
      </c>
      <c r="C435" s="8"/>
      <c r="D435" s="203"/>
      <c r="E435" s="33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2:20" ht="44.25" thickBot="1">
      <c r="B436" s="198" t="s">
        <v>76</v>
      </c>
      <c r="C436" s="8">
        <v>0</v>
      </c>
      <c r="D436" s="227"/>
      <c r="E436" s="40"/>
      <c r="F436" s="10"/>
      <c r="G436" s="14">
        <v>0</v>
      </c>
      <c r="H436" s="14">
        <f t="shared" ref="H436:S436" si="54">SUBTOTAL(9,H437:H437)</f>
        <v>0</v>
      </c>
      <c r="I436" s="14">
        <f t="shared" si="54"/>
        <v>0</v>
      </c>
      <c r="J436" s="14">
        <f t="shared" si="54"/>
        <v>0</v>
      </c>
      <c r="K436" s="14">
        <f t="shared" si="54"/>
        <v>0</v>
      </c>
      <c r="L436" s="14">
        <f t="shared" si="54"/>
        <v>0</v>
      </c>
      <c r="M436" s="14">
        <f t="shared" si="54"/>
        <v>0</v>
      </c>
      <c r="N436" s="14">
        <f t="shared" si="54"/>
        <v>0</v>
      </c>
      <c r="O436" s="14">
        <f t="shared" si="54"/>
        <v>0</v>
      </c>
      <c r="P436" s="14">
        <f t="shared" si="54"/>
        <v>0</v>
      </c>
      <c r="Q436" s="14">
        <f t="shared" si="54"/>
        <v>0</v>
      </c>
      <c r="R436" s="14">
        <f t="shared" si="54"/>
        <v>0</v>
      </c>
      <c r="S436" s="14">
        <f t="shared" si="54"/>
        <v>0</v>
      </c>
    </row>
    <row r="437" spans="2:20" ht="15" customHeight="1" thickTop="1">
      <c r="B437" s="17"/>
      <c r="C437" s="18"/>
      <c r="D437" s="208"/>
      <c r="E437" s="289" t="s">
        <v>24</v>
      </c>
      <c r="F437" s="290"/>
      <c r="G437" s="20">
        <v>0</v>
      </c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1">
        <f>G437</f>
        <v>0</v>
      </c>
    </row>
    <row r="438" spans="2:20" s="100" customFormat="1">
      <c r="B438" s="127"/>
      <c r="C438" s="114"/>
      <c r="D438" s="209"/>
      <c r="E438" s="138"/>
      <c r="F438" s="138"/>
      <c r="G438" s="117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7"/>
    </row>
    <row r="439" spans="2:20" ht="43.5">
      <c r="B439" s="250" t="s">
        <v>77</v>
      </c>
      <c r="C439" s="237">
        <f>C443</f>
        <v>13</v>
      </c>
      <c r="D439" s="238"/>
      <c r="E439" s="239"/>
      <c r="F439" s="240"/>
      <c r="G439" s="241">
        <f>G443</f>
        <v>1332218.3600000001</v>
      </c>
      <c r="H439" s="241">
        <f>H443+H466+H473</f>
        <v>0</v>
      </c>
      <c r="I439" s="241">
        <f>I443+I466+I473</f>
        <v>172241.93</v>
      </c>
      <c r="J439" s="241">
        <f>J443+J466+J473</f>
        <v>133678.57</v>
      </c>
      <c r="K439" s="241">
        <f>K443+K466+K473</f>
        <v>99233.34</v>
      </c>
      <c r="L439" s="241">
        <f>L443+L466+L473</f>
        <v>114500</v>
      </c>
      <c r="M439" s="241">
        <f>M443+M466+M473</f>
        <v>121500</v>
      </c>
      <c r="N439" s="241">
        <f>N443+N466+N473</f>
        <v>121500</v>
      </c>
      <c r="O439" s="241">
        <f>O443+O466+O473</f>
        <v>114500</v>
      </c>
      <c r="P439" s="241">
        <f>P443+P466+P473</f>
        <v>114500</v>
      </c>
      <c r="Q439" s="241">
        <f>Q443+Q466+Q473</f>
        <v>114500</v>
      </c>
      <c r="R439" s="241">
        <f>R443+R466+R473</f>
        <v>111564.52</v>
      </c>
      <c r="S439" s="241">
        <f>S443+S466+S473</f>
        <v>114500</v>
      </c>
    </row>
    <row r="440" spans="2:20" ht="29.25" customHeight="1">
      <c r="B440" s="286" t="s">
        <v>75</v>
      </c>
      <c r="C440" s="27"/>
      <c r="D440" s="211"/>
      <c r="E440" s="137"/>
      <c r="F440" s="235" t="s">
        <v>23</v>
      </c>
      <c r="G440" s="236">
        <f>G441+G442</f>
        <v>1438732</v>
      </c>
      <c r="H440" s="54"/>
      <c r="I440" s="54"/>
      <c r="J440" s="54"/>
      <c r="K440" s="54"/>
      <c r="L440" s="54"/>
      <c r="M440" s="57"/>
      <c r="N440" s="54"/>
      <c r="O440" s="54"/>
      <c r="P440" s="54"/>
      <c r="Q440" s="54"/>
      <c r="R440" s="54"/>
      <c r="S440" s="10"/>
    </row>
    <row r="441" spans="2:20" ht="29.25" customHeight="1">
      <c r="B441" s="286"/>
      <c r="C441" s="27"/>
      <c r="D441" s="211"/>
      <c r="E441" s="137"/>
      <c r="F441" s="108" t="s">
        <v>95</v>
      </c>
      <c r="G441" s="106">
        <f>G443</f>
        <v>1332218.3600000001</v>
      </c>
      <c r="H441" s="54"/>
      <c r="I441" s="54"/>
      <c r="J441" s="54"/>
      <c r="K441" s="54"/>
      <c r="L441" s="54"/>
      <c r="M441" s="57"/>
      <c r="N441" s="54"/>
      <c r="O441" s="54"/>
      <c r="P441" s="54"/>
      <c r="Q441" s="54"/>
      <c r="R441" s="54"/>
      <c r="S441" s="10"/>
    </row>
    <row r="442" spans="2:20" ht="30">
      <c r="B442" s="286"/>
      <c r="C442" s="27"/>
      <c r="D442" s="211"/>
      <c r="E442" s="137"/>
      <c r="F442" s="108" t="s">
        <v>24</v>
      </c>
      <c r="G442" s="106">
        <f>G461</f>
        <v>106513.64</v>
      </c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2:20" ht="44.25" thickBot="1">
      <c r="B443" s="198" t="s">
        <v>78</v>
      </c>
      <c r="C443" s="8">
        <f>SUM(C444:C460)</f>
        <v>13</v>
      </c>
      <c r="D443" s="227"/>
      <c r="E443" s="40"/>
      <c r="F443" s="10"/>
      <c r="G443" s="16">
        <f>SUBTOTAL(9,G444:G460)</f>
        <v>1332218.3600000001</v>
      </c>
      <c r="H443" s="14">
        <f t="shared" ref="H443:S443" si="55">SUBTOTAL(9,H444:H461)</f>
        <v>0</v>
      </c>
      <c r="I443" s="14">
        <f t="shared" si="55"/>
        <v>172241.93</v>
      </c>
      <c r="J443" s="14">
        <f t="shared" si="55"/>
        <v>133678.57</v>
      </c>
      <c r="K443" s="14">
        <f t="shared" si="55"/>
        <v>99233.34</v>
      </c>
      <c r="L443" s="14">
        <f t="shared" si="55"/>
        <v>114500</v>
      </c>
      <c r="M443" s="14">
        <f t="shared" si="55"/>
        <v>121500</v>
      </c>
      <c r="N443" s="14">
        <f t="shared" si="55"/>
        <v>121500</v>
      </c>
      <c r="O443" s="14">
        <f t="shared" si="55"/>
        <v>114500</v>
      </c>
      <c r="P443" s="14">
        <f t="shared" si="55"/>
        <v>114500</v>
      </c>
      <c r="Q443" s="14">
        <f t="shared" si="55"/>
        <v>114500</v>
      </c>
      <c r="R443" s="14">
        <f t="shared" si="55"/>
        <v>111564.52</v>
      </c>
      <c r="S443" s="14">
        <f t="shared" si="55"/>
        <v>114500</v>
      </c>
      <c r="T443" s="78"/>
    </row>
    <row r="444" spans="2:20" ht="14.25" customHeight="1" thickTop="1">
      <c r="B444" s="55"/>
      <c r="C444" s="259">
        <v>0</v>
      </c>
      <c r="D444" s="178" t="s">
        <v>28</v>
      </c>
      <c r="E444" s="44" t="s">
        <v>29</v>
      </c>
      <c r="F444" s="25">
        <v>10000</v>
      </c>
      <c r="G444" s="26">
        <f t="shared" ref="G444:G460" si="56">SUM(H444:S444)</f>
        <v>58064.52</v>
      </c>
      <c r="H444" s="26">
        <v>0</v>
      </c>
      <c r="I444" s="20">
        <v>38064.519999999997</v>
      </c>
      <c r="J444" s="20">
        <v>20000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</row>
    <row r="445" spans="2:20" ht="14.25" customHeight="1">
      <c r="B445" s="55"/>
      <c r="C445" s="259">
        <v>0</v>
      </c>
      <c r="D445" s="178" t="s">
        <v>28</v>
      </c>
      <c r="E445" s="44" t="s">
        <v>29</v>
      </c>
      <c r="F445" s="25">
        <v>9000</v>
      </c>
      <c r="G445" s="26">
        <f t="shared" si="56"/>
        <v>78387.09</v>
      </c>
      <c r="H445" s="26">
        <v>0</v>
      </c>
      <c r="I445" s="20">
        <v>51387.09</v>
      </c>
      <c r="J445" s="20">
        <v>27000</v>
      </c>
      <c r="K445" s="26">
        <v>0</v>
      </c>
      <c r="L445" s="26">
        <v>0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</row>
    <row r="446" spans="2:20" ht="14.25" customHeight="1">
      <c r="B446" s="55"/>
      <c r="C446" s="259">
        <v>0</v>
      </c>
      <c r="D446" s="178" t="s">
        <v>28</v>
      </c>
      <c r="E446" s="44" t="s">
        <v>29</v>
      </c>
      <c r="F446" s="25">
        <v>7500</v>
      </c>
      <c r="G446" s="26">
        <f t="shared" si="56"/>
        <v>21774.19</v>
      </c>
      <c r="H446" s="26">
        <v>0</v>
      </c>
      <c r="I446" s="20">
        <v>14274.19</v>
      </c>
      <c r="J446" s="20">
        <v>7500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</row>
    <row r="447" spans="2:20" s="179" customFormat="1" ht="14.25" customHeight="1">
      <c r="B447" s="192"/>
      <c r="C447" s="273">
        <v>0</v>
      </c>
      <c r="D447" s="188" t="s">
        <v>118</v>
      </c>
      <c r="E447" s="193" t="s">
        <v>30</v>
      </c>
      <c r="F447" s="25">
        <v>7000</v>
      </c>
      <c r="G447" s="26">
        <f>SUM(H447:S447)</f>
        <v>24131.18</v>
      </c>
      <c r="H447" s="26">
        <v>0</v>
      </c>
      <c r="I447" s="26">
        <v>0</v>
      </c>
      <c r="J447" s="26">
        <v>0</v>
      </c>
      <c r="K447" s="26">
        <v>6066.66</v>
      </c>
      <c r="L447" s="26">
        <v>7000</v>
      </c>
      <c r="M447" s="26">
        <v>7000</v>
      </c>
      <c r="N447" s="26">
        <v>7000</v>
      </c>
      <c r="O447" s="26">
        <v>0</v>
      </c>
      <c r="P447" s="26">
        <v>0</v>
      </c>
      <c r="Q447" s="26">
        <v>0</v>
      </c>
      <c r="R447" s="26">
        <v>-2935.48</v>
      </c>
      <c r="S447" s="26">
        <v>0</v>
      </c>
    </row>
    <row r="448" spans="2:20" s="104" customFormat="1" ht="14.25" customHeight="1">
      <c r="B448" s="165"/>
      <c r="C448" s="274">
        <v>1</v>
      </c>
      <c r="D448" s="178" t="s">
        <v>89</v>
      </c>
      <c r="E448" s="44" t="s">
        <v>30</v>
      </c>
      <c r="F448" s="25">
        <v>7000</v>
      </c>
      <c r="G448" s="26">
        <f>SUM(H448:S448)</f>
        <v>62066.67</v>
      </c>
      <c r="H448" s="26">
        <v>0</v>
      </c>
      <c r="I448" s="26">
        <v>0</v>
      </c>
      <c r="J448" s="26">
        <v>0</v>
      </c>
      <c r="K448" s="26">
        <f>F448*26/30*C448</f>
        <v>6066.67</v>
      </c>
      <c r="L448" s="26">
        <f>C448*F448</f>
        <v>7000</v>
      </c>
      <c r="M448" s="26">
        <f>F448*C448</f>
        <v>7000</v>
      </c>
      <c r="N448" s="26">
        <f>F448*C448</f>
        <v>7000</v>
      </c>
      <c r="O448" s="26">
        <f>F448*C448</f>
        <v>7000</v>
      </c>
      <c r="P448" s="26">
        <f>F448*C448</f>
        <v>7000</v>
      </c>
      <c r="Q448" s="26">
        <f>F448*C448</f>
        <v>7000</v>
      </c>
      <c r="R448" s="26">
        <f>F448*C448</f>
        <v>7000</v>
      </c>
      <c r="S448" s="26">
        <f>+F448*C448</f>
        <v>7000</v>
      </c>
    </row>
    <row r="449" spans="2:19" ht="14.25" customHeight="1">
      <c r="B449" s="55"/>
      <c r="C449" s="274">
        <v>2</v>
      </c>
      <c r="D449" s="178" t="s">
        <v>89</v>
      </c>
      <c r="E449" s="44" t="s">
        <v>29</v>
      </c>
      <c r="F449" s="25">
        <v>10000</v>
      </c>
      <c r="G449" s="26">
        <f t="shared" si="56"/>
        <v>177333.33</v>
      </c>
      <c r="H449" s="26">
        <v>0</v>
      </c>
      <c r="I449" s="26">
        <v>0</v>
      </c>
      <c r="J449" s="26">
        <v>0</v>
      </c>
      <c r="K449" s="26">
        <f>F449*26/30*C449</f>
        <v>17333.330000000002</v>
      </c>
      <c r="L449" s="26">
        <f>C449*F449</f>
        <v>20000</v>
      </c>
      <c r="M449" s="26">
        <f t="shared" ref="M449:M455" si="57">F449*C449</f>
        <v>20000</v>
      </c>
      <c r="N449" s="26">
        <f>F449*C449</f>
        <v>20000</v>
      </c>
      <c r="O449" s="26">
        <f>F449*C449</f>
        <v>20000</v>
      </c>
      <c r="P449" s="26">
        <f t="shared" ref="P449:P455" si="58">F449*C449</f>
        <v>20000</v>
      </c>
      <c r="Q449" s="26">
        <f t="shared" ref="Q449:Q455" si="59">F449*C449</f>
        <v>20000</v>
      </c>
      <c r="R449" s="26">
        <f t="shared" ref="R449:R455" si="60">F449*C449</f>
        <v>20000</v>
      </c>
      <c r="S449" s="26">
        <f>+F449*C449</f>
        <v>20000</v>
      </c>
    </row>
    <row r="450" spans="2:19" ht="14.25" customHeight="1">
      <c r="B450" s="55"/>
      <c r="C450" s="274">
        <v>4</v>
      </c>
      <c r="D450" s="178" t="s">
        <v>89</v>
      </c>
      <c r="E450" s="44" t="s">
        <v>29</v>
      </c>
      <c r="F450" s="25">
        <v>9000</v>
      </c>
      <c r="G450" s="26">
        <f t="shared" si="56"/>
        <v>319200</v>
      </c>
      <c r="H450" s="26">
        <v>0</v>
      </c>
      <c r="I450" s="26">
        <v>0</v>
      </c>
      <c r="J450" s="26">
        <v>0</v>
      </c>
      <c r="K450" s="26">
        <f t="shared" ref="K450:K455" si="61">F450*26/30*C450</f>
        <v>31200</v>
      </c>
      <c r="L450" s="26">
        <f t="shared" ref="L450:L455" si="62">C450*F450</f>
        <v>36000</v>
      </c>
      <c r="M450" s="26">
        <f t="shared" si="57"/>
        <v>36000</v>
      </c>
      <c r="N450" s="26">
        <f>F450*C450</f>
        <v>36000</v>
      </c>
      <c r="O450" s="26">
        <f>F450*C450</f>
        <v>36000</v>
      </c>
      <c r="P450" s="26">
        <f t="shared" si="58"/>
        <v>36000</v>
      </c>
      <c r="Q450" s="26">
        <f t="shared" si="59"/>
        <v>36000</v>
      </c>
      <c r="R450" s="26">
        <f t="shared" si="60"/>
        <v>36000</v>
      </c>
      <c r="S450" s="26">
        <f t="shared" ref="S450:S455" si="63">+F450*C450</f>
        <v>36000</v>
      </c>
    </row>
    <row r="451" spans="2:19" ht="14.25" customHeight="1">
      <c r="B451" s="55"/>
      <c r="C451" s="274">
        <v>1</v>
      </c>
      <c r="D451" s="178" t="s">
        <v>89</v>
      </c>
      <c r="E451" s="44" t="s">
        <v>29</v>
      </c>
      <c r="F451" s="25">
        <v>7500</v>
      </c>
      <c r="G451" s="26">
        <f t="shared" si="56"/>
        <v>66500</v>
      </c>
      <c r="H451" s="26">
        <v>0</v>
      </c>
      <c r="I451" s="26">
        <v>0</v>
      </c>
      <c r="J451" s="26">
        <v>0</v>
      </c>
      <c r="K451" s="26">
        <f t="shared" si="61"/>
        <v>6500</v>
      </c>
      <c r="L451" s="26">
        <f t="shared" si="62"/>
        <v>7500</v>
      </c>
      <c r="M451" s="26">
        <f t="shared" si="57"/>
        <v>7500</v>
      </c>
      <c r="N451" s="26">
        <v>7500</v>
      </c>
      <c r="O451" s="26">
        <v>7500</v>
      </c>
      <c r="P451" s="26">
        <f t="shared" si="58"/>
        <v>7500</v>
      </c>
      <c r="Q451" s="26">
        <f t="shared" si="59"/>
        <v>7500</v>
      </c>
      <c r="R451" s="26">
        <f t="shared" si="60"/>
        <v>7500</v>
      </c>
      <c r="S451" s="26">
        <f t="shared" si="63"/>
        <v>7500</v>
      </c>
    </row>
    <row r="452" spans="2:19" s="104" customFormat="1" ht="14.25" customHeight="1">
      <c r="B452" s="165"/>
      <c r="C452" s="274">
        <v>1</v>
      </c>
      <c r="D452" s="178" t="s">
        <v>105</v>
      </c>
      <c r="E452" s="44" t="s">
        <v>29</v>
      </c>
      <c r="F452" s="25">
        <v>7000</v>
      </c>
      <c r="G452" s="26">
        <f>SUM(H452:S452)</f>
        <v>49000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f>F452*C452</f>
        <v>7000</v>
      </c>
      <c r="N452" s="26">
        <f>F452*C452</f>
        <v>7000</v>
      </c>
      <c r="O452" s="26">
        <f>F452*C452</f>
        <v>7000</v>
      </c>
      <c r="P452" s="26">
        <f>F452*C452</f>
        <v>7000</v>
      </c>
      <c r="Q452" s="26">
        <f>F452*C452</f>
        <v>7000</v>
      </c>
      <c r="R452" s="26">
        <f>F452*C452</f>
        <v>7000</v>
      </c>
      <c r="S452" s="26">
        <f>+F452*C452</f>
        <v>7000</v>
      </c>
    </row>
    <row r="453" spans="2:19" ht="14.25" customHeight="1">
      <c r="B453" s="55"/>
      <c r="C453" s="170">
        <v>1</v>
      </c>
      <c r="D453" s="178" t="s">
        <v>89</v>
      </c>
      <c r="E453" s="24" t="s">
        <v>35</v>
      </c>
      <c r="F453" s="25">
        <v>15000</v>
      </c>
      <c r="G453" s="26">
        <f t="shared" si="56"/>
        <v>133000</v>
      </c>
      <c r="H453" s="26">
        <v>0</v>
      </c>
      <c r="I453" s="26">
        <v>0</v>
      </c>
      <c r="J453" s="26">
        <v>0</v>
      </c>
      <c r="K453" s="26">
        <f t="shared" si="61"/>
        <v>13000</v>
      </c>
      <c r="L453" s="26">
        <f t="shared" si="62"/>
        <v>15000</v>
      </c>
      <c r="M453" s="26">
        <f t="shared" si="57"/>
        <v>15000</v>
      </c>
      <c r="N453" s="26">
        <f>F453*C453</f>
        <v>15000</v>
      </c>
      <c r="O453" s="26">
        <f>F453*C453</f>
        <v>15000</v>
      </c>
      <c r="P453" s="26">
        <f t="shared" si="58"/>
        <v>15000</v>
      </c>
      <c r="Q453" s="26">
        <f t="shared" si="59"/>
        <v>15000</v>
      </c>
      <c r="R453" s="26">
        <f t="shared" si="60"/>
        <v>15000</v>
      </c>
      <c r="S453" s="26">
        <f t="shared" si="63"/>
        <v>15000</v>
      </c>
    </row>
    <row r="454" spans="2:19" ht="14.25" customHeight="1">
      <c r="B454" s="55"/>
      <c r="C454" s="259">
        <v>2</v>
      </c>
      <c r="D454" s="178" t="s">
        <v>89</v>
      </c>
      <c r="E454" s="44" t="s">
        <v>30</v>
      </c>
      <c r="F454" s="25">
        <v>6500</v>
      </c>
      <c r="G454" s="26">
        <f t="shared" si="56"/>
        <v>115266.68</v>
      </c>
      <c r="H454" s="26">
        <v>0</v>
      </c>
      <c r="I454" s="26">
        <v>0</v>
      </c>
      <c r="J454" s="26">
        <v>0</v>
      </c>
      <c r="K454" s="26">
        <v>11266.68</v>
      </c>
      <c r="L454" s="26">
        <f t="shared" si="62"/>
        <v>13000</v>
      </c>
      <c r="M454" s="26">
        <f t="shared" si="57"/>
        <v>13000</v>
      </c>
      <c r="N454" s="26">
        <f>F454*C454</f>
        <v>13000</v>
      </c>
      <c r="O454" s="26">
        <f>F454*C454</f>
        <v>13000</v>
      </c>
      <c r="P454" s="26">
        <f t="shared" si="58"/>
        <v>13000</v>
      </c>
      <c r="Q454" s="26">
        <f t="shared" si="59"/>
        <v>13000</v>
      </c>
      <c r="R454" s="26">
        <f t="shared" si="60"/>
        <v>13000</v>
      </c>
      <c r="S454" s="26">
        <f t="shared" si="63"/>
        <v>13000</v>
      </c>
    </row>
    <row r="455" spans="2:19" ht="14.25" customHeight="1">
      <c r="B455" s="55"/>
      <c r="C455" s="259">
        <v>1</v>
      </c>
      <c r="D455" s="178" t="s">
        <v>89</v>
      </c>
      <c r="E455" s="44" t="s">
        <v>30</v>
      </c>
      <c r="F455" s="25">
        <v>9000</v>
      </c>
      <c r="G455" s="26">
        <f t="shared" si="56"/>
        <v>79800</v>
      </c>
      <c r="H455" s="26">
        <v>0</v>
      </c>
      <c r="I455" s="26">
        <v>0</v>
      </c>
      <c r="J455" s="26">
        <v>0</v>
      </c>
      <c r="K455" s="26">
        <f t="shared" si="61"/>
        <v>7800</v>
      </c>
      <c r="L455" s="26">
        <f t="shared" si="62"/>
        <v>9000</v>
      </c>
      <c r="M455" s="26">
        <f t="shared" si="57"/>
        <v>9000</v>
      </c>
      <c r="N455" s="26">
        <f>F455*C455</f>
        <v>9000</v>
      </c>
      <c r="O455" s="26">
        <f>F455*C455</f>
        <v>9000</v>
      </c>
      <c r="P455" s="26">
        <f t="shared" si="58"/>
        <v>9000</v>
      </c>
      <c r="Q455" s="26">
        <f t="shared" si="59"/>
        <v>9000</v>
      </c>
      <c r="R455" s="26">
        <f t="shared" si="60"/>
        <v>9000</v>
      </c>
      <c r="S455" s="26">
        <f t="shared" si="63"/>
        <v>9000</v>
      </c>
    </row>
    <row r="456" spans="2:19" ht="14.25" customHeight="1">
      <c r="B456" s="55"/>
      <c r="C456" s="259">
        <v>0</v>
      </c>
      <c r="D456" s="178" t="s">
        <v>28</v>
      </c>
      <c r="E456" s="44" t="s">
        <v>30</v>
      </c>
      <c r="F456" s="25">
        <v>7000</v>
      </c>
      <c r="G456" s="26">
        <f t="shared" si="56"/>
        <v>40645.160000000003</v>
      </c>
      <c r="H456" s="26">
        <v>0</v>
      </c>
      <c r="I456" s="26">
        <v>26645.16</v>
      </c>
      <c r="J456" s="26">
        <v>14000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</row>
    <row r="457" spans="2:19" ht="14.25" customHeight="1">
      <c r="B457" s="55"/>
      <c r="C457" s="259">
        <v>0</v>
      </c>
      <c r="D457" s="178" t="s">
        <v>28</v>
      </c>
      <c r="E457" s="44" t="s">
        <v>30</v>
      </c>
      <c r="F457" s="25">
        <v>9000</v>
      </c>
      <c r="G457" s="26">
        <f t="shared" si="56"/>
        <v>26129.03</v>
      </c>
      <c r="H457" s="26">
        <v>0</v>
      </c>
      <c r="I457" s="20">
        <v>17129.03</v>
      </c>
      <c r="J457" s="20">
        <v>9000</v>
      </c>
      <c r="K457" s="26">
        <v>0</v>
      </c>
      <c r="L457" s="26">
        <v>0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</row>
    <row r="458" spans="2:19" ht="14.25" customHeight="1">
      <c r="B458" s="17"/>
      <c r="C458" s="23">
        <v>0</v>
      </c>
      <c r="D458" s="178" t="s">
        <v>34</v>
      </c>
      <c r="E458" s="24" t="s">
        <v>35</v>
      </c>
      <c r="F458" s="25">
        <v>15000</v>
      </c>
      <c r="G458" s="26">
        <f>SUM(H458:S458)</f>
        <v>30000</v>
      </c>
      <c r="H458" s="26">
        <v>0</v>
      </c>
      <c r="I458" s="26">
        <v>0</v>
      </c>
      <c r="J458" s="45">
        <v>30000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</row>
    <row r="459" spans="2:19" ht="14.25" customHeight="1">
      <c r="B459" s="17"/>
      <c r="C459" s="23">
        <v>0</v>
      </c>
      <c r="D459" s="178" t="s">
        <v>32</v>
      </c>
      <c r="E459" s="24" t="s">
        <v>80</v>
      </c>
      <c r="F459" s="25">
        <v>9000</v>
      </c>
      <c r="G459" s="26">
        <f>SUM(H459:S459)</f>
        <v>13178.57</v>
      </c>
      <c r="H459" s="26">
        <v>0</v>
      </c>
      <c r="I459" s="26">
        <v>0</v>
      </c>
      <c r="J459" s="45">
        <f>(F459/28*13)+F459</f>
        <v>13178.57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</row>
    <row r="460" spans="2:19" ht="14.25" customHeight="1">
      <c r="B460" s="58"/>
      <c r="C460" s="259">
        <v>0</v>
      </c>
      <c r="D460" s="178" t="s">
        <v>28</v>
      </c>
      <c r="E460" s="44" t="s">
        <v>30</v>
      </c>
      <c r="F460" s="25">
        <v>6500</v>
      </c>
      <c r="G460" s="26">
        <f t="shared" si="56"/>
        <v>37741.94</v>
      </c>
      <c r="H460" s="26">
        <v>0</v>
      </c>
      <c r="I460" s="26">
        <v>24741.94</v>
      </c>
      <c r="J460" s="26">
        <v>13000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</row>
    <row r="461" spans="2:19">
      <c r="B461" s="17"/>
      <c r="C461" s="18"/>
      <c r="D461" s="208"/>
      <c r="E461" s="289" t="s">
        <v>24</v>
      </c>
      <c r="F461" s="290"/>
      <c r="G461" s="20">
        <f>1698000-SUM(G444:G460)-259268</f>
        <v>106513.64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</row>
  </sheetData>
  <mergeCells count="39">
    <mergeCell ref="B229:B231"/>
    <mergeCell ref="E288:F288"/>
    <mergeCell ref="B160:B162"/>
    <mergeCell ref="E198:F198"/>
    <mergeCell ref="E204:F204"/>
    <mergeCell ref="E210:F210"/>
    <mergeCell ref="E361:F361"/>
    <mergeCell ref="B364:B366"/>
    <mergeCell ref="E388:F388"/>
    <mergeCell ref="E409:F409"/>
    <mergeCell ref="E298:F298"/>
    <mergeCell ref="E304:F304"/>
    <mergeCell ref="B306:B308"/>
    <mergeCell ref="E321:F321"/>
    <mergeCell ref="B324:B326"/>
    <mergeCell ref="E414:F414"/>
    <mergeCell ref="E434:F434"/>
    <mergeCell ref="E437:F437"/>
    <mergeCell ref="E461:F461"/>
    <mergeCell ref="B390:B392"/>
    <mergeCell ref="B440:B442"/>
    <mergeCell ref="E419:F419"/>
    <mergeCell ref="E422:F422"/>
    <mergeCell ref="E427:F427"/>
    <mergeCell ref="E429:F429"/>
    <mergeCell ref="E431:F431"/>
    <mergeCell ref="B17:B19"/>
    <mergeCell ref="B141:B143"/>
    <mergeCell ref="E219:F219"/>
    <mergeCell ref="E227:F227"/>
    <mergeCell ref="E139:F139"/>
    <mergeCell ref="E158:F158"/>
    <mergeCell ref="B165:B166"/>
    <mergeCell ref="C165:C166"/>
    <mergeCell ref="B4:S4"/>
    <mergeCell ref="F5:M5"/>
    <mergeCell ref="B11:B12"/>
    <mergeCell ref="H11:S11"/>
    <mergeCell ref="C10:C12"/>
  </mergeCells>
  <printOptions horizontalCentered="1"/>
  <pageMargins left="0.39370078740157483" right="0.39370078740157483" top="0.39370078740157483" bottom="0.39370078740157483" header="0.31496062992125984" footer="0.31496062992125984"/>
  <pageSetup paperSize="14" scale="38" fitToHeight="0" orientation="landscape" r:id="rId1"/>
  <headerFooter>
    <oddFooter>&amp;C&amp;P</oddFooter>
  </headerFooter>
  <rowBreaks count="5" manualBreakCount="5">
    <brk id="87" min="1" max="18" man="1"/>
    <brk id="175" min="1" max="18" man="1"/>
    <brk id="261" min="1" max="18" man="1"/>
    <brk id="343" min="1" max="18" man="1"/>
    <brk id="422" min="1" max="18" man="1"/>
  </rowBreaks>
  <ignoredErrors>
    <ignoredError sqref="G286 H212 J27 G452 G246 G173 H237:J239 G387 G118 H200 K212 H245:J245 I244:J244 H241:J243 H240:I240 G296 N20 N13 G114 G102 G188 G186" formula="1"/>
    <ignoredError sqref="C165" formulaRange="1"/>
    <ignoredError sqref="D10:G10 B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REPROGRAMACIÓN 029 DIC</vt:lpstr>
      <vt:lpstr>'REPROGRAMACIÓN 029 DIC'!Área_de_impresión</vt:lpstr>
      <vt:lpstr>'REPROGRAMACIÓN 029 DIC'!Títulos_a_imprimir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Ermenegildo Elias Alvarado</dc:creator>
  <cp:lastModifiedBy>Alfonso</cp:lastModifiedBy>
  <cp:lastPrinted>2021-12-28T16:30:27Z</cp:lastPrinted>
  <dcterms:created xsi:type="dcterms:W3CDTF">2021-02-15T19:20:29Z</dcterms:created>
  <dcterms:modified xsi:type="dcterms:W3CDTF">2021-12-28T16:31:36Z</dcterms:modified>
</cp:coreProperties>
</file>