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fonso\Desktop\Reprogramación 029 2022\2022\"/>
    </mc:Choice>
  </mc:AlternateContent>
  <bookViews>
    <workbookView xWindow="0" yWindow="0" windowWidth="28800" windowHeight="12330" tabRatio="619"/>
  </bookViews>
  <sheets>
    <sheet name="REPROGRAMACIÓN 2022 029" sheetId="6" r:id="rId1"/>
    <sheet name="PERSONAL COMPROMETIDO MARZO" sheetId="7" r:id="rId2"/>
  </sheets>
  <definedNames>
    <definedName name="_xlnm._FilterDatabase" localSheetId="0" hidden="1">'REPROGRAMACIÓN 2022 029'!$B$4:$S$104</definedName>
    <definedName name="_xlnm.Print_Area" localSheetId="1">'PERSONAL COMPROMETIDO MARZO'!$A$1:$E$90</definedName>
    <definedName name="_xlnm.Print_Area" localSheetId="0">'REPROGRAMACIÓN 2022 029'!$B$1:$S$329</definedName>
    <definedName name="_xlnm.Print_Titles" localSheetId="0">'REPROGRAMACIÓN 2022 029'!$10:$12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6" l="1"/>
  <c r="C16" i="6"/>
  <c r="D25" i="7"/>
  <c r="D8" i="7"/>
  <c r="C8" i="7"/>
  <c r="B8" i="7"/>
  <c r="J35" i="6"/>
  <c r="G35" i="6" s="1"/>
  <c r="E8" i="7" s="1"/>
  <c r="E25" i="7" s="1"/>
  <c r="S21" i="6" l="1"/>
  <c r="R21" i="6"/>
  <c r="Q21" i="6"/>
  <c r="P21" i="6"/>
  <c r="O21" i="6"/>
  <c r="N21" i="6"/>
  <c r="M21" i="6"/>
  <c r="L21" i="6"/>
  <c r="I61" i="6"/>
  <c r="D85" i="7" l="1"/>
  <c r="C85" i="7"/>
  <c r="B85" i="7"/>
  <c r="C213" i="6"/>
  <c r="C125" i="6"/>
  <c r="D24" i="7"/>
  <c r="D23" i="7"/>
  <c r="C24" i="7"/>
  <c r="C23" i="7"/>
  <c r="B24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E10" i="7"/>
  <c r="D10" i="7"/>
  <c r="C10" i="7"/>
  <c r="B10" i="7"/>
  <c r="D9" i="7"/>
  <c r="C9" i="7"/>
  <c r="B9" i="7"/>
  <c r="I316" i="6"/>
  <c r="C109" i="6"/>
  <c r="C21" i="6"/>
  <c r="S225" i="6"/>
  <c r="R225" i="6"/>
  <c r="Q225" i="6"/>
  <c r="P225" i="6"/>
  <c r="O225" i="6"/>
  <c r="N225" i="6"/>
  <c r="M225" i="6"/>
  <c r="L225" i="6"/>
  <c r="K225" i="6"/>
  <c r="H225" i="6"/>
  <c r="I225" i="6"/>
  <c r="J225" i="6"/>
  <c r="G228" i="6"/>
  <c r="M109" i="6"/>
  <c r="L109" i="6"/>
  <c r="K109" i="6"/>
  <c r="J109" i="6"/>
  <c r="H109" i="6"/>
  <c r="I110" i="6"/>
  <c r="I109" i="6"/>
  <c r="D84" i="7"/>
  <c r="C84" i="7"/>
  <c r="B84" i="7"/>
  <c r="H242" i="6"/>
  <c r="I242" i="6"/>
  <c r="J270" i="6"/>
  <c r="J242" i="6" s="1"/>
  <c r="C242" i="6"/>
  <c r="S242" i="6"/>
  <c r="R242" i="6"/>
  <c r="Q242" i="6"/>
  <c r="P242" i="6"/>
  <c r="O242" i="6"/>
  <c r="N242" i="6"/>
  <c r="M242" i="6"/>
  <c r="L242" i="6"/>
  <c r="K242" i="6"/>
  <c r="J249" i="6"/>
  <c r="G249" i="6" s="1"/>
  <c r="E84" i="7" s="1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G270" i="6" l="1"/>
  <c r="E85" i="7" s="1"/>
  <c r="E86" i="7" s="1"/>
  <c r="G242" i="6"/>
  <c r="D86" i="7"/>
  <c r="G271" i="6"/>
  <c r="S213" i="6"/>
  <c r="R213" i="6"/>
  <c r="Q213" i="6"/>
  <c r="P213" i="6"/>
  <c r="O213" i="6"/>
  <c r="N213" i="6"/>
  <c r="M213" i="6"/>
  <c r="L213" i="6"/>
  <c r="K213" i="6"/>
  <c r="G223" i="6"/>
  <c r="J221" i="6"/>
  <c r="G221" i="6" s="1"/>
  <c r="E73" i="7" s="1"/>
  <c r="J222" i="6"/>
  <c r="G222" i="6"/>
  <c r="E74" i="7" s="1"/>
  <c r="J219" i="6"/>
  <c r="G219" i="6" s="1"/>
  <c r="E72" i="7" s="1"/>
  <c r="J218" i="6"/>
  <c r="J217" i="6"/>
  <c r="G217" i="6" s="1"/>
  <c r="G218" i="6"/>
  <c r="E71" i="7" s="1"/>
  <c r="D76" i="7"/>
  <c r="D61" i="7"/>
  <c r="C61" i="7"/>
  <c r="B61" i="7"/>
  <c r="D60" i="7"/>
  <c r="C60" i="7"/>
  <c r="B60" i="7"/>
  <c r="D59" i="7"/>
  <c r="C59" i="7"/>
  <c r="B59" i="7"/>
  <c r="D58" i="7"/>
  <c r="C58" i="7"/>
  <c r="B58" i="7"/>
  <c r="J211" i="6"/>
  <c r="J210" i="6"/>
  <c r="E70" i="7" l="1"/>
  <c r="G224" i="6"/>
  <c r="E75" i="7"/>
  <c r="G213" i="6"/>
  <c r="G211" i="6"/>
  <c r="E61" i="7" s="1"/>
  <c r="G208" i="6"/>
  <c r="E58" i="7" s="1"/>
  <c r="G210" i="6"/>
  <c r="E60" i="7" s="1"/>
  <c r="D57" i="7"/>
  <c r="D62" i="7" s="1"/>
  <c r="C57" i="7"/>
  <c r="B57" i="7"/>
  <c r="C180" i="6"/>
  <c r="J185" i="6"/>
  <c r="G185" i="6" s="1"/>
  <c r="E57" i="7" s="1"/>
  <c r="S180" i="6"/>
  <c r="R180" i="6"/>
  <c r="Q180" i="6"/>
  <c r="P180" i="6"/>
  <c r="O180" i="6"/>
  <c r="N180" i="6"/>
  <c r="M180" i="6"/>
  <c r="L180" i="6"/>
  <c r="K180" i="6"/>
  <c r="G209" i="6"/>
  <c r="D47" i="7"/>
  <c r="C47" i="7"/>
  <c r="B47" i="7"/>
  <c r="J134" i="6"/>
  <c r="G134" i="6" s="1"/>
  <c r="E47" i="7" s="1"/>
  <c r="D48" i="7"/>
  <c r="C48" i="7"/>
  <c r="B48" i="7"/>
  <c r="D37" i="7"/>
  <c r="C37" i="7"/>
  <c r="B37" i="7"/>
  <c r="D36" i="7"/>
  <c r="C36" i="7"/>
  <c r="B36" i="7"/>
  <c r="D35" i="7"/>
  <c r="C35" i="7"/>
  <c r="B35" i="7"/>
  <c r="D34" i="7"/>
  <c r="C34" i="7"/>
  <c r="B34" i="7"/>
  <c r="M126" i="6"/>
  <c r="L126" i="6"/>
  <c r="K126" i="6"/>
  <c r="J151" i="6"/>
  <c r="G151" i="6" s="1"/>
  <c r="E48" i="7" s="1"/>
  <c r="G117" i="6"/>
  <c r="E37" i="7" s="1"/>
  <c r="J116" i="6"/>
  <c r="G116" i="6" s="1"/>
  <c r="E36" i="7" s="1"/>
  <c r="J115" i="6"/>
  <c r="G115" i="6" s="1"/>
  <c r="E35" i="7" s="1"/>
  <c r="J114" i="6"/>
  <c r="G114" i="6" s="1"/>
  <c r="E34" i="7" s="1"/>
  <c r="G103" i="6"/>
  <c r="E24" i="7" s="1"/>
  <c r="G102" i="6"/>
  <c r="E23" i="7" s="1"/>
  <c r="G101" i="6"/>
  <c r="E22" i="7" s="1"/>
  <c r="J99" i="6"/>
  <c r="G99" i="6" s="1"/>
  <c r="E21" i="7" s="1"/>
  <c r="J98" i="6"/>
  <c r="G98" i="6" s="1"/>
  <c r="E20" i="7" s="1"/>
  <c r="J75" i="6"/>
  <c r="G75" i="6" s="1"/>
  <c r="E19" i="7" s="1"/>
  <c r="J74" i="6"/>
  <c r="G74" i="6" s="1"/>
  <c r="E18" i="7" s="1"/>
  <c r="J73" i="6"/>
  <c r="G73" i="6" s="1"/>
  <c r="E17" i="7" s="1"/>
  <c r="J72" i="6"/>
  <c r="G72" i="6" s="1"/>
  <c r="E16" i="7" s="1"/>
  <c r="J46" i="6"/>
  <c r="J47" i="6"/>
  <c r="G47" i="6" s="1"/>
  <c r="J48" i="6"/>
  <c r="G48" i="6" s="1"/>
  <c r="J66" i="6"/>
  <c r="G66" i="6" s="1"/>
  <c r="E15" i="7" s="1"/>
  <c r="G50" i="6"/>
  <c r="G64" i="6"/>
  <c r="E14" i="7" s="1"/>
  <c r="G49" i="6"/>
  <c r="E76" i="7" l="1"/>
  <c r="E59" i="7"/>
  <c r="E62" i="7" s="1"/>
  <c r="E49" i="7"/>
  <c r="D49" i="7"/>
  <c r="E38" i="7"/>
  <c r="D38" i="7"/>
  <c r="G46" i="6"/>
  <c r="I25" i="6"/>
  <c r="E9" i="7" l="1"/>
  <c r="E89" i="7" s="1"/>
  <c r="J32" i="6"/>
  <c r="G32" i="6" s="1"/>
  <c r="I322" i="6" l="1"/>
  <c r="J183" i="6"/>
  <c r="I183" i="6"/>
  <c r="G25" i="6"/>
  <c r="G183" i="6" l="1"/>
  <c r="C276" i="6" l="1"/>
  <c r="C316" i="6"/>
  <c r="J324" i="6"/>
  <c r="I324" i="6"/>
  <c r="H324" i="6"/>
  <c r="J216" i="6"/>
  <c r="I216" i="6"/>
  <c r="H216" i="6"/>
  <c r="H33" i="6"/>
  <c r="G324" i="6" l="1"/>
  <c r="G216" i="6"/>
  <c r="G33" i="6"/>
  <c r="J322" i="6" l="1"/>
  <c r="J321" i="6"/>
  <c r="I321" i="6"/>
  <c r="H321" i="6"/>
  <c r="H319" i="6"/>
  <c r="J282" i="6"/>
  <c r="I282" i="6"/>
  <c r="H282" i="6"/>
  <c r="J281" i="6"/>
  <c r="I281" i="6"/>
  <c r="H281" i="6"/>
  <c r="J280" i="6"/>
  <c r="I280" i="6"/>
  <c r="H280" i="6"/>
  <c r="J279" i="6"/>
  <c r="I279" i="6"/>
  <c r="H279" i="6"/>
  <c r="J278" i="6"/>
  <c r="I278" i="6"/>
  <c r="H278" i="6"/>
  <c r="J265" i="6"/>
  <c r="I265" i="6"/>
  <c r="H265" i="6"/>
  <c r="J264" i="6"/>
  <c r="I264" i="6"/>
  <c r="H264" i="6"/>
  <c r="J263" i="6"/>
  <c r="I263" i="6"/>
  <c r="H263" i="6"/>
  <c r="J262" i="6"/>
  <c r="I262" i="6"/>
  <c r="H262" i="6"/>
  <c r="J261" i="6"/>
  <c r="I261" i="6"/>
  <c r="H261" i="6"/>
  <c r="J260" i="6"/>
  <c r="I260" i="6"/>
  <c r="H260" i="6"/>
  <c r="J259" i="6"/>
  <c r="I259" i="6"/>
  <c r="H259" i="6"/>
  <c r="J257" i="6"/>
  <c r="I257" i="6"/>
  <c r="H257" i="6"/>
  <c r="J256" i="6"/>
  <c r="I256" i="6"/>
  <c r="H256" i="6"/>
  <c r="J255" i="6"/>
  <c r="I255" i="6"/>
  <c r="H255" i="6"/>
  <c r="J254" i="6"/>
  <c r="I254" i="6"/>
  <c r="H254" i="6"/>
  <c r="J253" i="6"/>
  <c r="I253" i="6"/>
  <c r="H253" i="6"/>
  <c r="J252" i="6"/>
  <c r="I252" i="6"/>
  <c r="H252" i="6"/>
  <c r="J251" i="6"/>
  <c r="I251" i="6"/>
  <c r="H251" i="6"/>
  <c r="J248" i="6"/>
  <c r="I248" i="6"/>
  <c r="H248" i="6"/>
  <c r="J206" i="6"/>
  <c r="I206" i="6"/>
  <c r="H206" i="6"/>
  <c r="J205" i="6"/>
  <c r="I205" i="6"/>
  <c r="H205" i="6"/>
  <c r="J204" i="6"/>
  <c r="I204" i="6"/>
  <c r="H204" i="6"/>
  <c r="J203" i="6"/>
  <c r="I203" i="6"/>
  <c r="H203" i="6"/>
  <c r="J202" i="6"/>
  <c r="I202" i="6"/>
  <c r="H202" i="6"/>
  <c r="J200" i="6"/>
  <c r="I200" i="6"/>
  <c r="H200" i="6"/>
  <c r="J199" i="6"/>
  <c r="I199" i="6"/>
  <c r="H199" i="6"/>
  <c r="J190" i="6"/>
  <c r="I190" i="6"/>
  <c r="H190" i="6"/>
  <c r="J189" i="6"/>
  <c r="I189" i="6"/>
  <c r="H189" i="6"/>
  <c r="G322" i="6" l="1"/>
  <c r="G321" i="6"/>
  <c r="G319" i="6"/>
  <c r="G278" i="6"/>
  <c r="G280" i="6"/>
  <c r="G282" i="6"/>
  <c r="G281" i="6"/>
  <c r="G279" i="6"/>
  <c r="G261" i="6"/>
  <c r="G263" i="6"/>
  <c r="G265" i="6"/>
  <c r="G264" i="6"/>
  <c r="G262" i="6"/>
  <c r="G260" i="6"/>
  <c r="G259" i="6"/>
  <c r="G251" i="6"/>
  <c r="G255" i="6"/>
  <c r="G253" i="6"/>
  <c r="G252" i="6"/>
  <c r="G257" i="6"/>
  <c r="G256" i="6"/>
  <c r="G254" i="6"/>
  <c r="G248" i="6"/>
  <c r="G206" i="6"/>
  <c r="G204" i="6"/>
  <c r="G203" i="6"/>
  <c r="G202" i="6"/>
  <c r="G205" i="6"/>
  <c r="G199" i="6"/>
  <c r="G200" i="6"/>
  <c r="G190" i="6"/>
  <c r="G189" i="6"/>
  <c r="S154" i="6"/>
  <c r="R154" i="6"/>
  <c r="Q154" i="6"/>
  <c r="P154" i="6"/>
  <c r="O154" i="6"/>
  <c r="N154" i="6"/>
  <c r="M154" i="6"/>
  <c r="L154" i="6"/>
  <c r="K154" i="6"/>
  <c r="C153" i="6"/>
  <c r="J158" i="6"/>
  <c r="I158" i="6"/>
  <c r="H158" i="6"/>
  <c r="J157" i="6"/>
  <c r="I157" i="6"/>
  <c r="H157" i="6"/>
  <c r="J156" i="6"/>
  <c r="I156" i="6"/>
  <c r="H156" i="6"/>
  <c r="J155" i="6"/>
  <c r="I155" i="6"/>
  <c r="H155" i="6"/>
  <c r="J149" i="6"/>
  <c r="I149" i="6"/>
  <c r="H149" i="6"/>
  <c r="J148" i="6"/>
  <c r="I148" i="6"/>
  <c r="H148" i="6"/>
  <c r="J147" i="6"/>
  <c r="I147" i="6"/>
  <c r="H147" i="6"/>
  <c r="J146" i="6"/>
  <c r="I146" i="6"/>
  <c r="H146" i="6"/>
  <c r="J145" i="6"/>
  <c r="I145" i="6"/>
  <c r="H145" i="6"/>
  <c r="J144" i="6"/>
  <c r="I144" i="6"/>
  <c r="H144" i="6"/>
  <c r="J142" i="6"/>
  <c r="I142" i="6"/>
  <c r="H142" i="6"/>
  <c r="J141" i="6"/>
  <c r="I141" i="6"/>
  <c r="H141" i="6"/>
  <c r="J140" i="6"/>
  <c r="I140" i="6"/>
  <c r="H140" i="6"/>
  <c r="J139" i="6"/>
  <c r="I139" i="6"/>
  <c r="H139" i="6"/>
  <c r="J138" i="6"/>
  <c r="I138" i="6"/>
  <c r="H138" i="6"/>
  <c r="J136" i="6"/>
  <c r="I136" i="6"/>
  <c r="H136" i="6"/>
  <c r="J133" i="6"/>
  <c r="I133" i="6"/>
  <c r="H133" i="6"/>
  <c r="J132" i="6"/>
  <c r="I132" i="6"/>
  <c r="H132" i="6"/>
  <c r="J130" i="6"/>
  <c r="I130" i="6"/>
  <c r="H130" i="6"/>
  <c r="J129" i="6"/>
  <c r="I129" i="6"/>
  <c r="H129" i="6"/>
  <c r="N126" i="6"/>
  <c r="O126" i="6"/>
  <c r="P126" i="6"/>
  <c r="Q126" i="6"/>
  <c r="R126" i="6"/>
  <c r="S126" i="6"/>
  <c r="J97" i="6"/>
  <c r="I97" i="6"/>
  <c r="H97" i="6"/>
  <c r="J96" i="6"/>
  <c r="I96" i="6"/>
  <c r="H96" i="6"/>
  <c r="J95" i="6"/>
  <c r="I95" i="6"/>
  <c r="H95" i="6"/>
  <c r="J91" i="6"/>
  <c r="I91" i="6"/>
  <c r="H91" i="6"/>
  <c r="J90" i="6"/>
  <c r="I90" i="6"/>
  <c r="H90" i="6"/>
  <c r="J89" i="6"/>
  <c r="I89" i="6"/>
  <c r="H89" i="6"/>
  <c r="J88" i="6"/>
  <c r="I88" i="6"/>
  <c r="H88" i="6"/>
  <c r="J87" i="6"/>
  <c r="I87" i="6"/>
  <c r="H87" i="6"/>
  <c r="J86" i="6"/>
  <c r="I86" i="6"/>
  <c r="H86" i="6"/>
  <c r="J85" i="6"/>
  <c r="I85" i="6"/>
  <c r="H85" i="6"/>
  <c r="J82" i="6"/>
  <c r="I82" i="6"/>
  <c r="H82" i="6"/>
  <c r="J81" i="6"/>
  <c r="I81" i="6"/>
  <c r="H81" i="6"/>
  <c r="J80" i="6"/>
  <c r="I80" i="6"/>
  <c r="H80" i="6"/>
  <c r="J79" i="6"/>
  <c r="I79" i="6"/>
  <c r="H79" i="6"/>
  <c r="J78" i="6"/>
  <c r="I78" i="6"/>
  <c r="H78" i="6"/>
  <c r="J77" i="6"/>
  <c r="I77" i="6"/>
  <c r="H77" i="6"/>
  <c r="J71" i="6"/>
  <c r="I71" i="6"/>
  <c r="H71" i="6"/>
  <c r="J70" i="6"/>
  <c r="I70" i="6"/>
  <c r="H70" i="6"/>
  <c r="J61" i="6"/>
  <c r="H61" i="6"/>
  <c r="J60" i="6"/>
  <c r="I60" i="6"/>
  <c r="H60" i="6"/>
  <c r="J59" i="6"/>
  <c r="I59" i="6"/>
  <c r="H59" i="6"/>
  <c r="J58" i="6"/>
  <c r="I58" i="6"/>
  <c r="H58" i="6"/>
  <c r="J56" i="6"/>
  <c r="I56" i="6"/>
  <c r="H56" i="6"/>
  <c r="J55" i="6"/>
  <c r="I55" i="6"/>
  <c r="H55" i="6"/>
  <c r="J54" i="6"/>
  <c r="I54" i="6"/>
  <c r="H54" i="6"/>
  <c r="J53" i="6"/>
  <c r="I53" i="6"/>
  <c r="H53" i="6"/>
  <c r="J52" i="6"/>
  <c r="I52" i="6"/>
  <c r="H52" i="6"/>
  <c r="J51" i="6"/>
  <c r="I51" i="6"/>
  <c r="H51" i="6"/>
  <c r="J43" i="6"/>
  <c r="I43" i="6"/>
  <c r="H43" i="6"/>
  <c r="J42" i="6"/>
  <c r="I42" i="6"/>
  <c r="H42" i="6"/>
  <c r="J41" i="6"/>
  <c r="I41" i="6"/>
  <c r="H41" i="6"/>
  <c r="J40" i="6"/>
  <c r="I40" i="6"/>
  <c r="H40" i="6"/>
  <c r="J39" i="6"/>
  <c r="I39" i="6"/>
  <c r="H39" i="6"/>
  <c r="J38" i="6"/>
  <c r="I38" i="6"/>
  <c r="H38" i="6"/>
  <c r="J37" i="6"/>
  <c r="I37" i="6"/>
  <c r="H37" i="6"/>
  <c r="J29" i="6"/>
  <c r="I29" i="6"/>
  <c r="H29" i="6"/>
  <c r="J28" i="6"/>
  <c r="I28" i="6"/>
  <c r="H28" i="6"/>
  <c r="J27" i="6"/>
  <c r="I27" i="6"/>
  <c r="H27" i="6"/>
  <c r="J23" i="6"/>
  <c r="I23" i="6"/>
  <c r="H23" i="6"/>
  <c r="G156" i="6" l="1"/>
  <c r="G158" i="6"/>
  <c r="G157" i="6"/>
  <c r="G155" i="6"/>
  <c r="G148" i="6"/>
  <c r="G147" i="6"/>
  <c r="G146" i="6"/>
  <c r="G149" i="6"/>
  <c r="G145" i="6"/>
  <c r="G142" i="6"/>
  <c r="G138" i="6"/>
  <c r="G144" i="6"/>
  <c r="G141" i="6"/>
  <c r="G140" i="6"/>
  <c r="G139" i="6"/>
  <c r="G136" i="6"/>
  <c r="G133" i="6"/>
  <c r="G132" i="6"/>
  <c r="G129" i="6"/>
  <c r="G130" i="6"/>
  <c r="G23" i="6"/>
  <c r="G95" i="6"/>
  <c r="G97" i="6"/>
  <c r="G96" i="6"/>
  <c r="G89" i="6"/>
  <c r="G87" i="6"/>
  <c r="G93" i="6"/>
  <c r="G91" i="6"/>
  <c r="G90" i="6"/>
  <c r="G88" i="6"/>
  <c r="G86" i="6"/>
  <c r="G85" i="6"/>
  <c r="G81" i="6"/>
  <c r="G79" i="6"/>
  <c r="G77" i="6"/>
  <c r="G80" i="6"/>
  <c r="G82" i="6"/>
  <c r="G78" i="6"/>
  <c r="G70" i="6"/>
  <c r="G71" i="6"/>
  <c r="G58" i="6"/>
  <c r="G59" i="6"/>
  <c r="G60" i="6"/>
  <c r="G61" i="6"/>
  <c r="G52" i="6"/>
  <c r="G53" i="6"/>
  <c r="G51" i="6"/>
  <c r="G55" i="6"/>
  <c r="G54" i="6"/>
  <c r="G56" i="6"/>
  <c r="G38" i="6"/>
  <c r="G39" i="6"/>
  <c r="G37" i="6"/>
  <c r="G43" i="6"/>
  <c r="G41" i="6"/>
  <c r="G42" i="6"/>
  <c r="G40" i="6"/>
  <c r="G27" i="6"/>
  <c r="G29" i="6"/>
  <c r="G28" i="6"/>
  <c r="H350" i="6" l="1"/>
  <c r="I350" i="6"/>
  <c r="J350" i="6"/>
  <c r="J328" i="6"/>
  <c r="I328" i="6"/>
  <c r="H328" i="6"/>
  <c r="J327" i="6"/>
  <c r="I327" i="6"/>
  <c r="H327" i="6"/>
  <c r="J326" i="6"/>
  <c r="I326" i="6"/>
  <c r="H326" i="6"/>
  <c r="J325" i="6"/>
  <c r="I325" i="6"/>
  <c r="H325" i="6"/>
  <c r="J323" i="6"/>
  <c r="I323" i="6"/>
  <c r="H323" i="6"/>
  <c r="J320" i="6"/>
  <c r="I320" i="6"/>
  <c r="H320" i="6"/>
  <c r="J318" i="6"/>
  <c r="I318" i="6"/>
  <c r="H318" i="6"/>
  <c r="J317" i="6"/>
  <c r="I317" i="6"/>
  <c r="H317" i="6"/>
  <c r="S316" i="6"/>
  <c r="S312" i="6" s="1"/>
  <c r="R316" i="6"/>
  <c r="R312" i="6" s="1"/>
  <c r="Q316" i="6"/>
  <c r="Q312" i="6" s="1"/>
  <c r="P316" i="6"/>
  <c r="P312" i="6" s="1"/>
  <c r="O316" i="6"/>
  <c r="O312" i="6" s="1"/>
  <c r="N316" i="6"/>
  <c r="N312" i="6" s="1"/>
  <c r="M316" i="6"/>
  <c r="M312" i="6" s="1"/>
  <c r="L316" i="6"/>
  <c r="L312" i="6" s="1"/>
  <c r="K316" i="6"/>
  <c r="K312" i="6" s="1"/>
  <c r="C312" i="6"/>
  <c r="J351" i="6"/>
  <c r="I351" i="6"/>
  <c r="H351" i="6"/>
  <c r="J297" i="6"/>
  <c r="I297" i="6"/>
  <c r="H297" i="6"/>
  <c r="J296" i="6"/>
  <c r="I296" i="6"/>
  <c r="H296" i="6"/>
  <c r="J295" i="6"/>
  <c r="I295" i="6"/>
  <c r="H295" i="6"/>
  <c r="J294" i="6"/>
  <c r="I294" i="6"/>
  <c r="H294" i="6"/>
  <c r="J293" i="6"/>
  <c r="I293" i="6"/>
  <c r="H293" i="6"/>
  <c r="S276" i="6"/>
  <c r="R276" i="6"/>
  <c r="Q276" i="6"/>
  <c r="P276" i="6"/>
  <c r="O276" i="6"/>
  <c r="N276" i="6"/>
  <c r="M276" i="6"/>
  <c r="L276" i="6"/>
  <c r="K276" i="6"/>
  <c r="J286" i="6"/>
  <c r="I286" i="6"/>
  <c r="H286" i="6"/>
  <c r="J285" i="6"/>
  <c r="I285" i="6"/>
  <c r="H285" i="6"/>
  <c r="J284" i="6"/>
  <c r="I284" i="6"/>
  <c r="H284" i="6"/>
  <c r="J283" i="6"/>
  <c r="I283" i="6"/>
  <c r="H283" i="6"/>
  <c r="J277" i="6"/>
  <c r="I277" i="6"/>
  <c r="H277" i="6"/>
  <c r="J269" i="6"/>
  <c r="I269" i="6"/>
  <c r="H269" i="6"/>
  <c r="J268" i="6"/>
  <c r="I268" i="6"/>
  <c r="H268" i="6"/>
  <c r="J266" i="6"/>
  <c r="I266" i="6"/>
  <c r="H266" i="6"/>
  <c r="J258" i="6"/>
  <c r="I258" i="6"/>
  <c r="H258" i="6"/>
  <c r="J250" i="6"/>
  <c r="I250" i="6"/>
  <c r="H250" i="6"/>
  <c r="J247" i="6"/>
  <c r="I247" i="6"/>
  <c r="H247" i="6"/>
  <c r="J246" i="6"/>
  <c r="I246" i="6"/>
  <c r="H246" i="6"/>
  <c r="J245" i="6"/>
  <c r="I245" i="6"/>
  <c r="H245" i="6"/>
  <c r="J244" i="6"/>
  <c r="I244" i="6"/>
  <c r="H244" i="6"/>
  <c r="J243" i="6"/>
  <c r="I243" i="6"/>
  <c r="H243" i="6"/>
  <c r="J236" i="6"/>
  <c r="I236" i="6"/>
  <c r="H236" i="6"/>
  <c r="J235" i="6"/>
  <c r="I235" i="6"/>
  <c r="H235" i="6"/>
  <c r="J234" i="6"/>
  <c r="I234" i="6"/>
  <c r="H234" i="6"/>
  <c r="J197" i="6"/>
  <c r="I197" i="6"/>
  <c r="H197" i="6"/>
  <c r="J214" i="6"/>
  <c r="I214" i="6"/>
  <c r="H214" i="6"/>
  <c r="J220" i="6"/>
  <c r="I220" i="6"/>
  <c r="H220" i="6"/>
  <c r="J215" i="6"/>
  <c r="I215" i="6"/>
  <c r="I213" i="6" s="1"/>
  <c r="H215" i="6"/>
  <c r="H213" i="6" s="1"/>
  <c r="J227" i="6"/>
  <c r="I227" i="6"/>
  <c r="H227" i="6"/>
  <c r="J207" i="6"/>
  <c r="I207" i="6"/>
  <c r="H207" i="6"/>
  <c r="J201" i="6"/>
  <c r="I201" i="6"/>
  <c r="H201" i="6"/>
  <c r="J198" i="6"/>
  <c r="I198" i="6"/>
  <c r="H198" i="6"/>
  <c r="J195" i="6"/>
  <c r="I195" i="6"/>
  <c r="H195" i="6"/>
  <c r="J194" i="6"/>
  <c r="I194" i="6"/>
  <c r="H194" i="6"/>
  <c r="J188" i="6"/>
  <c r="I188" i="6"/>
  <c r="H188" i="6"/>
  <c r="J186" i="6"/>
  <c r="I186" i="6"/>
  <c r="H186" i="6"/>
  <c r="J182" i="6"/>
  <c r="I182" i="6"/>
  <c r="H182" i="6"/>
  <c r="J181" i="6"/>
  <c r="I181" i="6"/>
  <c r="H181" i="6"/>
  <c r="J184" i="6"/>
  <c r="I184" i="6"/>
  <c r="H184" i="6"/>
  <c r="J193" i="6"/>
  <c r="I193" i="6"/>
  <c r="H193" i="6"/>
  <c r="J192" i="6"/>
  <c r="I192" i="6"/>
  <c r="H192" i="6"/>
  <c r="J187" i="6"/>
  <c r="I187" i="6"/>
  <c r="H187" i="6"/>
  <c r="J196" i="6"/>
  <c r="I196" i="6"/>
  <c r="H196" i="6"/>
  <c r="J173" i="6"/>
  <c r="I173" i="6"/>
  <c r="H173" i="6"/>
  <c r="J172" i="6"/>
  <c r="I172" i="6"/>
  <c r="H172" i="6"/>
  <c r="J168" i="6"/>
  <c r="I168" i="6"/>
  <c r="H168" i="6"/>
  <c r="J167" i="6"/>
  <c r="I167" i="6"/>
  <c r="H167" i="6"/>
  <c r="J163" i="6"/>
  <c r="J162" i="6" s="1"/>
  <c r="I163" i="6"/>
  <c r="I162" i="6" s="1"/>
  <c r="H163" i="6"/>
  <c r="H162" i="6" s="1"/>
  <c r="J159" i="6"/>
  <c r="J154" i="6" s="1"/>
  <c r="I159" i="6"/>
  <c r="I154" i="6" s="1"/>
  <c r="H159" i="6"/>
  <c r="H154" i="6" s="1"/>
  <c r="J213" i="6" l="1"/>
  <c r="H180" i="6"/>
  <c r="I180" i="6"/>
  <c r="J180" i="6"/>
  <c r="G350" i="6"/>
  <c r="G318" i="6"/>
  <c r="G325" i="6"/>
  <c r="G328" i="6"/>
  <c r="H316" i="6"/>
  <c r="H312" i="6" s="1"/>
  <c r="G326" i="6"/>
  <c r="G323" i="6"/>
  <c r="G320" i="6"/>
  <c r="G317" i="6"/>
  <c r="J316" i="6"/>
  <c r="J312" i="6" s="1"/>
  <c r="G327" i="6"/>
  <c r="I312" i="6"/>
  <c r="H276" i="6"/>
  <c r="I276" i="6"/>
  <c r="J276" i="6"/>
  <c r="G197" i="6"/>
  <c r="H166" i="6"/>
  <c r="G329" i="6" l="1"/>
  <c r="G315" i="6" s="1"/>
  <c r="G316" i="6"/>
  <c r="G314" i="6" s="1"/>
  <c r="G313" i="6" l="1"/>
  <c r="G312" i="6" s="1"/>
  <c r="J150" i="6" l="1"/>
  <c r="I150" i="6"/>
  <c r="J143" i="6"/>
  <c r="I143" i="6"/>
  <c r="J137" i="6"/>
  <c r="I137" i="6"/>
  <c r="J135" i="6"/>
  <c r="I135" i="6"/>
  <c r="J131" i="6"/>
  <c r="I131" i="6"/>
  <c r="J128" i="6"/>
  <c r="I128" i="6"/>
  <c r="J127" i="6"/>
  <c r="I127" i="6"/>
  <c r="H150" i="6"/>
  <c r="H143" i="6"/>
  <c r="H137" i="6"/>
  <c r="H135" i="6"/>
  <c r="H131" i="6"/>
  <c r="H128" i="6"/>
  <c r="H127" i="6"/>
  <c r="J113" i="6"/>
  <c r="J112" i="6"/>
  <c r="J111" i="6"/>
  <c r="J110" i="6"/>
  <c r="I113" i="6"/>
  <c r="I112" i="6"/>
  <c r="I111" i="6"/>
  <c r="H113" i="6"/>
  <c r="H112" i="6"/>
  <c r="H111" i="6"/>
  <c r="H110" i="6"/>
  <c r="J44" i="6"/>
  <c r="I44" i="6"/>
  <c r="H44" i="6"/>
  <c r="H126" i="6" l="1"/>
  <c r="J126" i="6"/>
  <c r="I126" i="6"/>
  <c r="H100" i="6"/>
  <c r="H94" i="6"/>
  <c r="H92" i="6"/>
  <c r="H84" i="6"/>
  <c r="H83" i="6"/>
  <c r="H76" i="6"/>
  <c r="H69" i="6"/>
  <c r="H68" i="6"/>
  <c r="H65" i="6"/>
  <c r="H57" i="6"/>
  <c r="H36" i="6"/>
  <c r="H31" i="6"/>
  <c r="H26" i="6"/>
  <c r="H24" i="6"/>
  <c r="H22" i="6"/>
  <c r="J100" i="6"/>
  <c r="I100" i="6"/>
  <c r="J94" i="6"/>
  <c r="I94" i="6"/>
  <c r="J92" i="6"/>
  <c r="I92" i="6"/>
  <c r="J84" i="6"/>
  <c r="I84" i="6"/>
  <c r="J83" i="6"/>
  <c r="I83" i="6"/>
  <c r="J76" i="6"/>
  <c r="I76" i="6"/>
  <c r="J69" i="6"/>
  <c r="I69" i="6"/>
  <c r="J68" i="6"/>
  <c r="I68" i="6"/>
  <c r="J65" i="6"/>
  <c r="I65" i="6"/>
  <c r="J57" i="6"/>
  <c r="I57" i="6"/>
  <c r="J36" i="6"/>
  <c r="I36" i="6"/>
  <c r="J34" i="6"/>
  <c r="J31" i="6"/>
  <c r="I31" i="6"/>
  <c r="J26" i="6"/>
  <c r="I26" i="6"/>
  <c r="J24" i="6"/>
  <c r="I24" i="6"/>
  <c r="I21" i="6" s="1"/>
  <c r="J22" i="6"/>
  <c r="I22" i="6"/>
  <c r="G284" i="6" l="1"/>
  <c r="G201" i="6" l="1"/>
  <c r="G127" i="6" l="1"/>
  <c r="G113" i="6"/>
  <c r="G68" i="6" l="1"/>
  <c r="G100" i="6" l="1"/>
  <c r="G94" i="6"/>
  <c r="G266" i="6" l="1"/>
  <c r="G236" i="6" l="1"/>
  <c r="G235" i="6"/>
  <c r="G234" i="6"/>
  <c r="G227" i="6"/>
  <c r="G214" i="6"/>
  <c r="G181" i="6"/>
  <c r="G184" i="6"/>
  <c r="G193" i="6"/>
  <c r="G192" i="6"/>
  <c r="G187" i="6"/>
  <c r="G196" i="6"/>
  <c r="G163" i="6" l="1"/>
  <c r="G159" i="6"/>
  <c r="G150" i="6"/>
  <c r="G143" i="6"/>
  <c r="G137" i="6"/>
  <c r="G135" i="6"/>
  <c r="G131" i="6"/>
  <c r="G128" i="6"/>
  <c r="G112" i="6"/>
  <c r="G111" i="6"/>
  <c r="G110" i="6"/>
  <c r="G76" i="6"/>
  <c r="G26" i="6"/>
  <c r="G83" i="6"/>
  <c r="G92" i="6"/>
  <c r="G84" i="6"/>
  <c r="G69" i="6"/>
  <c r="G67" i="6"/>
  <c r="G65" i="6"/>
  <c r="G57" i="6"/>
  <c r="G36" i="6"/>
  <c r="G34" i="6"/>
  <c r="G31" i="6"/>
  <c r="G30" i="6"/>
  <c r="G24" i="6"/>
  <c r="G22" i="6"/>
  <c r="G126" i="6" l="1"/>
  <c r="G152" i="6"/>
  <c r="G118" i="6"/>
  <c r="G109" i="6"/>
  <c r="G160" i="6"/>
  <c r="G154" i="6"/>
  <c r="G164" i="6"/>
  <c r="K166" i="6"/>
  <c r="G268" i="6" l="1"/>
  <c r="G173" i="6" l="1"/>
  <c r="C349" i="6" l="1"/>
  <c r="C292" i="6"/>
  <c r="G285" i="6"/>
  <c r="G198" i="6" l="1"/>
  <c r="G195" i="6"/>
  <c r="G194" i="6"/>
  <c r="G188" i="6"/>
  <c r="G186" i="6"/>
  <c r="H292" i="6" l="1"/>
  <c r="I292" i="6"/>
  <c r="J292" i="6"/>
  <c r="N292" i="6"/>
  <c r="O292" i="6"/>
  <c r="P292" i="6"/>
  <c r="Q292" i="6"/>
  <c r="R292" i="6"/>
  <c r="G220" i="6" l="1"/>
  <c r="R162" i="6" l="1"/>
  <c r="Q162" i="6"/>
  <c r="P162" i="6"/>
  <c r="O162" i="6"/>
  <c r="N162" i="6"/>
  <c r="K162" i="6" l="1"/>
  <c r="G297" i="6" l="1"/>
  <c r="G296" i="6"/>
  <c r="C233" i="6" l="1"/>
  <c r="C225" i="6"/>
  <c r="C161" i="6"/>
  <c r="C170" i="6"/>
  <c r="C165" i="6"/>
  <c r="M162" i="6" l="1"/>
  <c r="K292" i="6" l="1"/>
  <c r="L292" i="6"/>
  <c r="M292" i="6"/>
  <c r="L162" i="6"/>
  <c r="G191" i="6"/>
  <c r="G180" i="6" s="1"/>
  <c r="G286" i="6"/>
  <c r="G293" i="6"/>
  <c r="G295" i="6"/>
  <c r="G294" i="6"/>
  <c r="G168" i="6"/>
  <c r="G243" i="6"/>
  <c r="G250" i="6"/>
  <c r="G172" i="6"/>
  <c r="G269" i="6"/>
  <c r="G244" i="6"/>
  <c r="G245" i="6"/>
  <c r="G246" i="6"/>
  <c r="G258" i="6"/>
  <c r="G247" i="6"/>
  <c r="G167" i="6"/>
  <c r="G174" i="6" l="1"/>
  <c r="G169" i="6"/>
  <c r="R349" i="6"/>
  <c r="Q349" i="6"/>
  <c r="Q345" i="6" s="1"/>
  <c r="P349" i="6"/>
  <c r="P345" i="6" s="1"/>
  <c r="O349" i="6"/>
  <c r="O345" i="6" s="1"/>
  <c r="N349" i="6"/>
  <c r="N345" i="6" s="1"/>
  <c r="L349" i="6"/>
  <c r="L345" i="6" s="1"/>
  <c r="K349" i="6"/>
  <c r="K345" i="6" s="1"/>
  <c r="I349" i="6"/>
  <c r="I345" i="6" s="1"/>
  <c r="H349" i="6"/>
  <c r="H345" i="6" s="1"/>
  <c r="C345" i="6"/>
  <c r="S343" i="6"/>
  <c r="S342" i="6" s="1"/>
  <c r="R342" i="6"/>
  <c r="Q342" i="6"/>
  <c r="P342" i="6"/>
  <c r="O342" i="6"/>
  <c r="N342" i="6"/>
  <c r="M342" i="6"/>
  <c r="L342" i="6"/>
  <c r="K342" i="6"/>
  <c r="J342" i="6"/>
  <c r="I342" i="6"/>
  <c r="H342" i="6"/>
  <c r="S340" i="6"/>
  <c r="S339" i="6" s="1"/>
  <c r="R339" i="6"/>
  <c r="Q339" i="6"/>
  <c r="P339" i="6"/>
  <c r="O339" i="6"/>
  <c r="N339" i="6"/>
  <c r="M339" i="6"/>
  <c r="L339" i="6"/>
  <c r="K339" i="6"/>
  <c r="J339" i="6"/>
  <c r="I339" i="6"/>
  <c r="H339" i="6"/>
  <c r="S337" i="6"/>
  <c r="S336" i="6" s="1"/>
  <c r="R336" i="6"/>
  <c r="Q336" i="6"/>
  <c r="P336" i="6"/>
  <c r="O336" i="6"/>
  <c r="N336" i="6"/>
  <c r="M336" i="6"/>
  <c r="L336" i="6"/>
  <c r="K336" i="6"/>
  <c r="J336" i="6"/>
  <c r="I336" i="6"/>
  <c r="H336" i="6"/>
  <c r="S335" i="6"/>
  <c r="S334" i="6" s="1"/>
  <c r="R334" i="6"/>
  <c r="Q334" i="6"/>
  <c r="P334" i="6"/>
  <c r="O334" i="6"/>
  <c r="N334" i="6"/>
  <c r="M334" i="6"/>
  <c r="L334" i="6"/>
  <c r="K334" i="6"/>
  <c r="J334" i="6"/>
  <c r="I334" i="6"/>
  <c r="H334" i="6"/>
  <c r="S333" i="6"/>
  <c r="S332" i="6" s="1"/>
  <c r="R332" i="6"/>
  <c r="Q332" i="6"/>
  <c r="P332" i="6"/>
  <c r="O332" i="6"/>
  <c r="N332" i="6"/>
  <c r="M332" i="6"/>
  <c r="L332" i="6"/>
  <c r="K332" i="6"/>
  <c r="J332" i="6"/>
  <c r="I332" i="6"/>
  <c r="H332" i="6"/>
  <c r="G331" i="6"/>
  <c r="S311" i="6"/>
  <c r="S310" i="6" s="1"/>
  <c r="R310" i="6"/>
  <c r="Q310" i="6"/>
  <c r="P310" i="6"/>
  <c r="O310" i="6"/>
  <c r="N310" i="6"/>
  <c r="M310" i="6"/>
  <c r="L310" i="6"/>
  <c r="K310" i="6"/>
  <c r="J310" i="6"/>
  <c r="I310" i="6"/>
  <c r="H310" i="6"/>
  <c r="S308" i="6"/>
  <c r="S307" i="6" s="1"/>
  <c r="R307" i="6"/>
  <c r="Q307" i="6"/>
  <c r="P307" i="6"/>
  <c r="O307" i="6"/>
  <c r="N307" i="6"/>
  <c r="M307" i="6"/>
  <c r="L307" i="6"/>
  <c r="K307" i="6"/>
  <c r="J307" i="6"/>
  <c r="I307" i="6"/>
  <c r="H307" i="6"/>
  <c r="G306" i="6"/>
  <c r="G299" i="6" s="1"/>
  <c r="S303" i="6"/>
  <c r="S301" i="6" s="1"/>
  <c r="R301" i="6"/>
  <c r="Q301" i="6"/>
  <c r="P301" i="6"/>
  <c r="O301" i="6"/>
  <c r="N301" i="6"/>
  <c r="M301" i="6"/>
  <c r="L301" i="6"/>
  <c r="K301" i="6"/>
  <c r="J301" i="6"/>
  <c r="I301" i="6"/>
  <c r="H301" i="6"/>
  <c r="C299" i="6"/>
  <c r="G298" i="6"/>
  <c r="G277" i="6"/>
  <c r="I233" i="6"/>
  <c r="R233" i="6"/>
  <c r="Q233" i="6"/>
  <c r="P233" i="6"/>
  <c r="O233" i="6"/>
  <c r="K233" i="6"/>
  <c r="G215" i="6"/>
  <c r="K179" i="6"/>
  <c r="C179" i="6"/>
  <c r="R171" i="6"/>
  <c r="Q171" i="6"/>
  <c r="P171" i="6"/>
  <c r="O171" i="6"/>
  <c r="N171" i="6"/>
  <c r="M171" i="6"/>
  <c r="L171" i="6"/>
  <c r="K171" i="6"/>
  <c r="K123" i="6" s="1"/>
  <c r="J171" i="6"/>
  <c r="H171" i="6"/>
  <c r="R166" i="6"/>
  <c r="Q166" i="6"/>
  <c r="P166" i="6"/>
  <c r="O166" i="6"/>
  <c r="N166" i="6"/>
  <c r="M166" i="6"/>
  <c r="L166" i="6"/>
  <c r="J166" i="6"/>
  <c r="R109" i="6"/>
  <c r="Q109" i="6"/>
  <c r="P109" i="6"/>
  <c r="O109" i="6"/>
  <c r="N109" i="6"/>
  <c r="H21" i="6"/>
  <c r="R179" i="6" l="1"/>
  <c r="R345" i="6"/>
  <c r="K21" i="6"/>
  <c r="G292" i="6"/>
  <c r="G290" i="6" s="1"/>
  <c r="G171" i="6"/>
  <c r="G166" i="6"/>
  <c r="G162" i="6"/>
  <c r="Q123" i="6"/>
  <c r="P123" i="6"/>
  <c r="R123" i="6"/>
  <c r="L123" i="6"/>
  <c r="O306" i="6"/>
  <c r="O299" i="6" s="1"/>
  <c r="N306" i="6"/>
  <c r="N299" i="6" s="1"/>
  <c r="G237" i="6"/>
  <c r="H306" i="6"/>
  <c r="H299" i="6" s="1"/>
  <c r="J233" i="6"/>
  <c r="M306" i="6"/>
  <c r="M299" i="6" s="1"/>
  <c r="K306" i="6"/>
  <c r="K299" i="6" s="1"/>
  <c r="S306" i="6"/>
  <c r="S299" i="6" s="1"/>
  <c r="I331" i="6"/>
  <c r="Q331" i="6"/>
  <c r="O123" i="6"/>
  <c r="L306" i="6"/>
  <c r="L299" i="6" s="1"/>
  <c r="S331" i="6"/>
  <c r="J331" i="6"/>
  <c r="R331" i="6"/>
  <c r="P306" i="6"/>
  <c r="P299" i="6" s="1"/>
  <c r="H123" i="6"/>
  <c r="I306" i="6"/>
  <c r="I299" i="6" s="1"/>
  <c r="Q306" i="6"/>
  <c r="Q299" i="6" s="1"/>
  <c r="N331" i="6"/>
  <c r="K331" i="6"/>
  <c r="H331" i="6"/>
  <c r="P331" i="6"/>
  <c r="S166" i="6"/>
  <c r="N123" i="6"/>
  <c r="L331" i="6"/>
  <c r="C123" i="6"/>
  <c r="C13" i="6" s="1"/>
  <c r="H179" i="6"/>
  <c r="M331" i="6"/>
  <c r="H233" i="6"/>
  <c r="J306" i="6"/>
  <c r="J299" i="6" s="1"/>
  <c r="R306" i="6"/>
  <c r="R299" i="6" s="1"/>
  <c r="J349" i="6"/>
  <c r="J345" i="6" s="1"/>
  <c r="I166" i="6"/>
  <c r="I171" i="6"/>
  <c r="O331" i="6"/>
  <c r="J179" i="6"/>
  <c r="S171" i="6" l="1"/>
  <c r="S162" i="6"/>
  <c r="G291" i="6"/>
  <c r="G289" i="6" s="1"/>
  <c r="S349" i="6"/>
  <c r="S345" i="6" s="1"/>
  <c r="G225" i="6"/>
  <c r="G107" i="6"/>
  <c r="K17" i="6"/>
  <c r="K13" i="6" s="1"/>
  <c r="I123" i="6"/>
  <c r="H17" i="6"/>
  <c r="H13" i="6" s="1"/>
  <c r="I179" i="6"/>
  <c r="G240" i="6" l="1"/>
  <c r="I17" i="6"/>
  <c r="I13" i="6" s="1"/>
  <c r="G108" i="6"/>
  <c r="G106" i="6" s="1"/>
  <c r="S109" i="6"/>
  <c r="G241" i="6"/>
  <c r="J123" i="6" l="1"/>
  <c r="S292" i="6" l="1"/>
  <c r="M123" i="6" l="1"/>
  <c r="G122" i="6" l="1"/>
  <c r="G123" i="6"/>
  <c r="G121" i="6" s="1"/>
  <c r="G120" i="6" l="1"/>
  <c r="S123" i="6"/>
  <c r="O179" i="6" l="1"/>
  <c r="L233" i="6" l="1"/>
  <c r="S233" i="6" l="1"/>
  <c r="P179" i="6" l="1"/>
  <c r="G239" i="6" l="1"/>
  <c r="S179" i="6" l="1"/>
  <c r="S17" i="6" s="1"/>
  <c r="S13" i="6" s="1"/>
  <c r="M233" i="6" l="1"/>
  <c r="M179" i="6" l="1"/>
  <c r="M17" i="6" l="1"/>
  <c r="L179" i="6" l="1"/>
  <c r="L17" i="6" s="1"/>
  <c r="L13" i="6" s="1"/>
  <c r="G182" i="6"/>
  <c r="N179" i="6"/>
  <c r="G207" i="6"/>
  <c r="Q179" i="6"/>
  <c r="G179" i="6" l="1"/>
  <c r="G212" i="6"/>
  <c r="G178" i="6" s="1"/>
  <c r="G177" i="6" l="1"/>
  <c r="G176" i="6" l="1"/>
  <c r="R17" i="6"/>
  <c r="R13" i="6" s="1"/>
  <c r="O17" i="6" l="1"/>
  <c r="O13" i="6" s="1"/>
  <c r="N233" i="6"/>
  <c r="G233" i="6" l="1"/>
  <c r="G232" i="6"/>
  <c r="G231" i="6" l="1"/>
  <c r="G230" i="6" s="1"/>
  <c r="P17" i="6" l="1"/>
  <c r="P13" i="6" s="1"/>
  <c r="M349" i="6" l="1"/>
  <c r="M345" i="6" s="1"/>
  <c r="M13" i="6" s="1"/>
  <c r="G348" i="6" l="1"/>
  <c r="G349" i="6"/>
  <c r="G345" i="6" l="1"/>
  <c r="G347" i="6"/>
  <c r="G346" i="6" l="1"/>
  <c r="G283" i="6" l="1"/>
  <c r="N17" i="6"/>
  <c r="N13" i="6" s="1"/>
  <c r="G287" i="6" l="1"/>
  <c r="G275" i="6" s="1"/>
  <c r="Q17" i="6"/>
  <c r="Q13" i="6" s="1"/>
  <c r="G276" i="6"/>
  <c r="G274" i="6" l="1"/>
  <c r="G273" i="6" l="1"/>
  <c r="J21" i="6" l="1"/>
  <c r="J17" i="6" s="1"/>
  <c r="J13" i="6" s="1"/>
  <c r="G44" i="6"/>
  <c r="G21" i="6" l="1"/>
  <c r="G17" i="6" s="1"/>
  <c r="G104" i="6"/>
  <c r="G20" i="6" s="1"/>
  <c r="G15" i="6" s="1"/>
  <c r="G19" i="6" l="1"/>
  <c r="G14" i="6" s="1"/>
  <c r="G18" i="6" l="1"/>
  <c r="G13" i="6" s="1"/>
</calcChain>
</file>

<file path=xl/sharedStrings.xml><?xml version="1.0" encoding="utf-8"?>
<sst xmlns="http://schemas.openxmlformats.org/spreadsheetml/2006/main" count="666" uniqueCount="140">
  <si>
    <t>(1)</t>
  </si>
  <si>
    <t>(3)</t>
  </si>
  <si>
    <t>(5)</t>
  </si>
  <si>
    <t>(6)</t>
  </si>
  <si>
    <t>Categoría Programática y Partida Presupuestaria y Naturaleza de los Servicios</t>
  </si>
  <si>
    <t>No. De Contrataciones</t>
  </si>
  <si>
    <t>Vigencia de Contrato</t>
  </si>
  <si>
    <t>Servicios que Presta</t>
  </si>
  <si>
    <t>Monto</t>
  </si>
  <si>
    <t>Total</t>
  </si>
  <si>
    <t>(Técnicos o Profesionales)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</si>
  <si>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</si>
  <si>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</si>
  <si>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</si>
  <si>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</si>
  <si>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</si>
  <si>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</si>
  <si>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</si>
  <si>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</si>
  <si>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</si>
  <si>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</si>
  <si>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</si>
  <si>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</si>
  <si>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TECHO ASIGNADO</t>
  </si>
  <si>
    <t>PENDIENTE DE PROGRAMAR</t>
  </si>
  <si>
    <t>(2) FUENTE DE FINANCIAMIENTO:  11 Ingresos Corrientes</t>
  </si>
  <si>
    <t>DIRECCION Y COORDINACIÓN</t>
  </si>
  <si>
    <t>SERVICIOS DE INVESTIGACIÓN, CATALOGACIÓN Y REGISTRO DE BIENES CULTURALES</t>
  </si>
  <si>
    <t>SERVICIOS DE ADMINISTRACIÓN Y PROTECCIÓN DE PARQUES, SITIOS ARQUEOLÓGICOS Y ZONAS DE RESCATE CULTURAL Y NATURAL</t>
  </si>
  <si>
    <t xml:space="preserve"> SERVICIOS DE ADMINISTRACIÓN DE MUSEOS</t>
  </si>
  <si>
    <t>SERVICIOS DE SALVAGUARDIA Y DIFUSIÓN DEL PATRIMONIO INTANGIBLE</t>
  </si>
  <si>
    <t>SERVICIOS DE CONSERVACIÓN Y RESTAURACIÓN DE BIENES CULTURALES</t>
  </si>
  <si>
    <t xml:space="preserve"> SERVICIOS DE RESCATE Y CONSERVACIÓN DE SITIOS ARQUEOLÓGICOS Y PREHISPÁNICOS</t>
  </si>
  <si>
    <t>(2) FUENTE DE FINANCIAMIENTO:  29 OTROS RECURSOS DEL TESORO CON AFECTACIÓN ESPECÍFICA</t>
  </si>
  <si>
    <t>2021-11130015-103-12-00-000-003-000-029-0101-29-0101-0005</t>
  </si>
  <si>
    <t>2021-11130015-103-12-00-000-004-000-029-29-0101-0005</t>
  </si>
  <si>
    <t>2021-11130015-103-12-00-000-004-000-029-0101-29-0101-0005</t>
  </si>
  <si>
    <t>2021-11130015-103-12-00-000-004-000-029-0301-29-0101-0005</t>
  </si>
  <si>
    <t/>
  </si>
  <si>
    <t>(2) FUENTE DE FINANCIAMIENTO:  31 INGRESOS PROPIOS</t>
  </si>
  <si>
    <t>2021-11130015-103-12-00-000-003-000-029-31-0000-0000</t>
  </si>
  <si>
    <t>2021-11130015-103-12-00-000-003-000-029-0101-31-0000-0000</t>
  </si>
  <si>
    <t>2021-11130015-103-12-00-000-003-000-029-0403-31-0000-0000</t>
  </si>
  <si>
    <t>2021-11130015-103-12-00-000-003-000-029-0406-31-0000-0000</t>
  </si>
  <si>
    <t>2021-11130015-103-12-00-000-004-000-029-0101-31-0000-0000</t>
  </si>
  <si>
    <t xml:space="preserve"> SERVICIOS DE ADMINISTRACIÓN DEL PARQUE NACIONAL TIKAL</t>
  </si>
  <si>
    <t>2021-11130015-103-12-00-000-007-000-029-1701-31-0000-0000</t>
  </si>
  <si>
    <t>(2) FUENTE DE FINANCIAMIENTO:  32 DISMINUCIÓN DE CAJA Y BANCOS DE INGRESOS PROPIOS</t>
  </si>
  <si>
    <t>2021-11130015-103-12-00-000-007-000-029-1701-32-0000-0000</t>
  </si>
  <si>
    <t>(1) ENTIDAD:  Ministerio de Cultura y Deportes</t>
  </si>
  <si>
    <t>PROGRAMADO</t>
  </si>
  <si>
    <t xml:space="preserve">(2) FUENTE DE FINANCIAMIENTO:  </t>
  </si>
  <si>
    <t>(4)</t>
  </si>
  <si>
    <t>(7) PROGRAMACION MENSUAL (REPROGRAMACION)</t>
  </si>
  <si>
    <t xml:space="preserve">PENDIENTE DE PROGRAMAR </t>
  </si>
  <si>
    <t>TECHO VIGENTE</t>
  </si>
  <si>
    <t>SERVICIOS DE ADMINISTRACIÓN DEL PATRIMONIO BIBLIOGRÁFICO Y DOCUMENTAL</t>
  </si>
  <si>
    <t>SERVICIOS DE ADMINISTRACIÓN DE MUSEOS</t>
  </si>
  <si>
    <t>EJERCICIO FISCAL 2022</t>
  </si>
  <si>
    <t>03/01/2022 AL 31/03/2022</t>
  </si>
  <si>
    <t>PROFESIONAL</t>
  </si>
  <si>
    <t>TÉCNICOS</t>
  </si>
  <si>
    <t>PROFESIONALES</t>
  </si>
  <si>
    <t>SERVICIOS DE ADMINISTRACIÓN DEL PARQUE NACIONAL TIKAL</t>
  </si>
  <si>
    <t>NOMBRE CONTRATISTA</t>
  </si>
  <si>
    <t>TIPO SERVICIO</t>
  </si>
  <si>
    <t xml:space="preserve">VIGENCIA </t>
  </si>
  <si>
    <t>HONORARIOS</t>
  </si>
  <si>
    <t>MONTO TOTAL CONTRATO</t>
  </si>
  <si>
    <t xml:space="preserve">TÉCNICOS </t>
  </si>
  <si>
    <t xml:space="preserve">PROFESIONALES </t>
  </si>
  <si>
    <t>03/01/2022 AL 31/01/2022</t>
  </si>
  <si>
    <t>01/02/2022 AL 31/03/2022</t>
  </si>
  <si>
    <t>REPROGRAMACION DEL RENGLÓN 029 "OTRAS REMUNERACIONES DE PERSONAL TEMPORAL"</t>
  </si>
  <si>
    <t>REPROGRAMACION DE PUESTOS DEL RENGLON 029 "OTRAS REMUNERACIONES DE PERSONAL TEMPORAL"</t>
  </si>
  <si>
    <t>2022-11130015-103-12-00-000-001-000-029-0101-11-000-000</t>
  </si>
  <si>
    <t>2022-11130015-103-12-00-000-002-000-029-0101-11-0000-0000</t>
  </si>
  <si>
    <t>2022-11130015-103-12-00-000-003-000-029-11-0000-0000</t>
  </si>
  <si>
    <t>2022-11130015-103-12-00-000-003-000-029-0101-11-0000-0000</t>
  </si>
  <si>
    <t>2022-11130015-103-12-00-000-003-000-029-1109-11-0000-0000</t>
  </si>
  <si>
    <t>2022-11130015-103-12-00-000-003-000-029-0403-11-0000-0000</t>
  </si>
  <si>
    <t>2022-11130015-103-12-00-000-003-000-029-0406-11-0000-0000</t>
  </si>
  <si>
    <t>2022-11130015-103-12-00-000-003-000-029-1701-11-0000-0000</t>
  </si>
  <si>
    <t>2022-11130015-103-12-00-000-004-000-029-11-0000-0000</t>
  </si>
  <si>
    <t>2022-11130015-103-12-00-000-004-000-029-0101-11-0000-0000</t>
  </si>
  <si>
    <t>2022-11130015-103-12-00-000-004-000-029-0301-11-0000-0000</t>
  </si>
  <si>
    <t>2022-11130015-103-12-00-000-004-000-029-0503-11-0000-0000</t>
  </si>
  <si>
    <t>2022-11130015-103-12-00-000-005-000-029-0101-11-0000-0000</t>
  </si>
  <si>
    <t>2022-11130015-103-12-00-000-006-000-029-0101-11-0000-0000</t>
  </si>
  <si>
    <t>2022-11130015-103-12-00-000-008-000-029-0101-11-0000-0000</t>
  </si>
  <si>
    <t>2022-11130015-103-12-00-000-009-000-029-1701-11-0000-0000</t>
  </si>
  <si>
    <t>2022-11130015-103-12-00-000-007-000-029-1701-31-0000-0000</t>
  </si>
  <si>
    <t>08/02/2022 AL 31/03/2022</t>
  </si>
  <si>
    <t>04/02/2022 AL 31/03/2022</t>
  </si>
  <si>
    <t>TOTAL COMPROMISO MARZO</t>
  </si>
  <si>
    <t>TOTAL COMPROMISO PARA MARZO</t>
  </si>
  <si>
    <t xml:space="preserve">WERNER ADALBERTO RODRIGUEZ LECHUGA </t>
  </si>
  <si>
    <t>ROBERTO CARLOS SÁNCHEZ ROSA</t>
  </si>
  <si>
    <t>JOSÉ MANUEL SAENZ BÁMACA</t>
  </si>
  <si>
    <t xml:space="preserve">ERIC GILDARDO CHÁVEZ RIVERA </t>
  </si>
  <si>
    <t xml:space="preserve">MARIO DAVID BARRIENTOS WINTER </t>
  </si>
  <si>
    <t xml:space="preserve">DILAN JAPHET AQUINO ESTRADA </t>
  </si>
  <si>
    <t xml:space="preserve">OLGA TERESA LÓPEZ BARRIOS </t>
  </si>
  <si>
    <t xml:space="preserve">NORA BEATRIZ CRESPO MUÑOZ </t>
  </si>
  <si>
    <t xml:space="preserve">ERIKA IVONNE ALVAREZ MUÑOZ </t>
  </si>
  <si>
    <t xml:space="preserve">MONICA MICHELL ESTRADA MIRÓN </t>
  </si>
  <si>
    <t xml:space="preserve">HARVEY ESTUARDO PANIAGUA GUZMAN </t>
  </si>
  <si>
    <t xml:space="preserve">REYNA ANGELINA VALENZUELA MORALES </t>
  </si>
  <si>
    <t>ANA CLAUDIA MONZON PEÑALONZO DE SUASNAVAR</t>
  </si>
  <si>
    <t>07/02/2022 AL 31/03/2022</t>
  </si>
  <si>
    <t>15/02/2022 AL 31/03/2022</t>
  </si>
  <si>
    <t>16/02/2022 AL 31/03/2022</t>
  </si>
  <si>
    <t xml:space="preserve">JORGE LUIS MORALES RAMOS </t>
  </si>
  <si>
    <t>GABRIEL DE JESUS GUERRA</t>
  </si>
  <si>
    <t>JOSE MANUEL MONTENEGRO BARRIOS</t>
  </si>
  <si>
    <t>21/02/2022 AL 31/03/2022</t>
  </si>
  <si>
    <t>01/03/2022 AL 31/03/2022</t>
  </si>
  <si>
    <t xml:space="preserve">JOSÉ FRANCISCO AREVALO GARCIA </t>
  </si>
  <si>
    <t xml:space="preserve">BRENDA LISSETTE FERNANDEZ GARCIA </t>
  </si>
  <si>
    <t>ZOILA ESPERANZA MEDINA HERRERA</t>
  </si>
  <si>
    <t xml:space="preserve">SERGIO ESTUARDO FUNES TORRES </t>
  </si>
  <si>
    <t>SONIA RUTH CANO</t>
  </si>
  <si>
    <t xml:space="preserve">KAREN LIZETHE MANSILLA OLMEDO </t>
  </si>
  <si>
    <t xml:space="preserve">EDELMIRA DEL CARMEN YELA ORTIZ </t>
  </si>
  <si>
    <t xml:space="preserve">DAVID ALBERTO HUESO ARRIEGA </t>
  </si>
  <si>
    <t xml:space="preserve">JOSE VENTURA MEJIA </t>
  </si>
  <si>
    <t xml:space="preserve">NORBERTO ENRIQUEZ VALENZUELA </t>
  </si>
  <si>
    <t xml:space="preserve">FRANCISCO JAVIER RAMIREZ FERNANDEZ </t>
  </si>
  <si>
    <t xml:space="preserve">LESLIE CAROL NORMAN GONZALEZ DE BARRIOS </t>
  </si>
  <si>
    <t xml:space="preserve">ANDREA CAROLINA RODRIGUEZ MORALES </t>
  </si>
  <si>
    <t xml:space="preserve">BRENDA ISABEL GONZALEZ OLAYO </t>
  </si>
  <si>
    <t xml:space="preserve">JOSE MIGUEL PEREZ NAJERA </t>
  </si>
  <si>
    <t>MARTHA DELIA MARTINEZ DAVILA DE ALCONERO</t>
  </si>
  <si>
    <t xml:space="preserve">KATERINE ROOSMERY RAMIREZ FERNANDEZ </t>
  </si>
  <si>
    <t xml:space="preserve">MARIA DEL ROSARIO MARTINEZ DAYLA DE GATICA </t>
  </si>
  <si>
    <t xml:space="preserve">MIGUEL ANGEL BALCAZAR GASPARICO </t>
  </si>
  <si>
    <t>03/01/2022 AL 15/02/2022</t>
  </si>
  <si>
    <t>03/01/2022 AL 17/02/2022</t>
  </si>
  <si>
    <t>DIEGO EDUARDO ESPINOZA MONTENEGRO</t>
  </si>
  <si>
    <t>01/02/2022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</si>
</sst>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Q&quot;* #,##0.00_-;\-&quot;Q&quot;* #,##0.00_-;_-&quot;Q&quot;* &quot;-&quot;??_-;_-@_-"/>
    <numFmt numFmtId="164" formatCode="_(\Q* #,##0.00_);_(\Q* \(#,##0.00\);_(\Q* \-??_);_(@_)"/>
    <numFmt numFmtId="165" formatCode="#,##0.00;[Red]#,##0.00"/>
    <numFmt numFmtId="166" formatCode="#,000%;[Red]\ \-#,000%"/>
  </numFmts>
  <fonts count="19"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1"/>
      <name val="Arial Unicode MS"/>
      <family val="2"/>
    </font>
    <font>
      <b/>
      <sz val="11"/>
      <name val="Verdana"/>
      <family val="2"/>
    </font>
    <font>
      <u/>
      <sz val="11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Verdana"/>
      <family val="2"/>
    </font>
    <font>
      <b/>
      <sz val="10"/>
      <name val="Verdana"/>
      <family val="2"/>
    </font>
    <font>
      <b/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Verdana"/>
      <family val="2"/>
    </font>
    <font>
      <sz val="11"/>
      <name val="Arial Unicode MS"/>
      <family val="2"/>
    </font>
    <font>
      <b/>
      <sz val="16"/>
      <name val="Arial Unicode MS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164" fontId="6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</cellStyleXfs>
  <cellXfs count="305">
    <xf numFmtId="0" fontId="0" fillId="0" borderId="0" xfId="0"/>
    <xf numFmtId="49" fontId="2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wrapText="1"/>
    </xf>
    <xf numFmtId="4" fontId="3" fillId="2" borderId="5" xfId="0" applyNumberFormat="1" applyFont="1" applyFill="1" applyBorder="1"/>
    <xf numFmtId="4" fontId="3" fillId="2" borderId="9" xfId="0" applyNumberFormat="1" applyFont="1" applyFill="1" applyBorder="1" applyAlignment="1">
      <alignment vertical="center"/>
    </xf>
    <xf numFmtId="49" fontId="3" fillId="0" borderId="5" xfId="0" applyNumberFormat="1" applyFont="1" applyBorder="1" applyAlignment="1">
      <alignment wrapText="1"/>
    </xf>
    <xf numFmtId="1" fontId="3" fillId="0" borderId="5" xfId="0" applyNumberFormat="1" applyFont="1" applyBorder="1" applyAlignment="1">
      <alignment horizontal="center" wrapText="1"/>
    </xf>
    <xf numFmtId="4" fontId="1" fillId="0" borderId="5" xfId="0" applyNumberFormat="1" applyFont="1" applyBorder="1"/>
    <xf numFmtId="4" fontId="4" fillId="0" borderId="5" xfId="0" applyNumberFormat="1" applyFont="1" applyBorder="1" applyAlignment="1">
      <alignment vertical="center"/>
    </xf>
    <xf numFmtId="1" fontId="3" fillId="0" borderId="10" xfId="1" applyNumberFormat="1" applyFont="1" applyBorder="1" applyAlignment="1">
      <alignment horizontal="center" wrapText="1"/>
    </xf>
    <xf numFmtId="4" fontId="1" fillId="3" borderId="11" xfId="0" applyNumberFormat="1" applyFont="1" applyFill="1" applyBorder="1"/>
    <xf numFmtId="4" fontId="3" fillId="0" borderId="5" xfId="0" applyNumberFormat="1" applyFont="1" applyFill="1" applyBorder="1"/>
    <xf numFmtId="4" fontId="1" fillId="3" borderId="5" xfId="0" applyNumberFormat="1" applyFont="1" applyFill="1" applyBorder="1"/>
    <xf numFmtId="49" fontId="1" fillId="0" borderId="12" xfId="0" applyNumberFormat="1" applyFont="1" applyBorder="1" applyAlignment="1">
      <alignment wrapText="1"/>
    </xf>
    <xf numFmtId="1" fontId="1" fillId="0" borderId="12" xfId="0" applyNumberFormat="1" applyFont="1" applyBorder="1" applyAlignment="1">
      <alignment horizontal="center" wrapText="1"/>
    </xf>
    <xf numFmtId="165" fontId="1" fillId="4" borderId="12" xfId="2" applyNumberFormat="1" applyFont="1" applyFill="1" applyBorder="1" applyAlignment="1">
      <alignment horizontal="right" vertical="center"/>
    </xf>
    <xf numFmtId="4" fontId="1" fillId="0" borderId="12" xfId="0" applyNumberFormat="1" applyFont="1" applyBorder="1" applyAlignment="1">
      <alignment vertical="center"/>
    </xf>
    <xf numFmtId="4" fontId="1" fillId="0" borderId="12" xfId="0" applyNumberFormat="1" applyFont="1" applyBorder="1"/>
    <xf numFmtId="4" fontId="5" fillId="0" borderId="12" xfId="0" applyNumberFormat="1" applyFont="1" applyBorder="1"/>
    <xf numFmtId="1" fontId="1" fillId="0" borderId="12" xfId="0" applyNumberFormat="1" applyFont="1" applyFill="1" applyBorder="1" applyAlignment="1">
      <alignment horizontal="center" wrapText="1"/>
    </xf>
    <xf numFmtId="165" fontId="1" fillId="0" borderId="12" xfId="2" applyNumberFormat="1" applyFont="1" applyFill="1" applyBorder="1" applyAlignment="1">
      <alignment horizontal="right" vertical="center"/>
    </xf>
    <xf numFmtId="4" fontId="1" fillId="0" borderId="12" xfId="0" applyNumberFormat="1" applyFont="1" applyFill="1" applyBorder="1" applyAlignment="1">
      <alignment vertical="center"/>
    </xf>
    <xf numFmtId="1" fontId="1" fillId="0" borderId="5" xfId="0" applyNumberFormat="1" applyFont="1" applyBorder="1" applyAlignment="1">
      <alignment horizontal="center" wrapText="1"/>
    </xf>
    <xf numFmtId="0" fontId="7" fillId="4" borderId="5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5" fillId="0" borderId="0" xfId="0" applyNumberFormat="1" applyFont="1" applyBorder="1"/>
    <xf numFmtId="4" fontId="1" fillId="0" borderId="10" xfId="0" applyNumberFormat="1" applyFont="1" applyBorder="1" applyAlignment="1">
      <alignment vertical="center"/>
    </xf>
    <xf numFmtId="4" fontId="1" fillId="0" borderId="10" xfId="0" applyNumberFormat="1" applyFont="1" applyBorder="1"/>
    <xf numFmtId="49" fontId="3" fillId="0" borderId="8" xfId="0" applyNumberFormat="1" applyFont="1" applyBorder="1" applyAlignment="1">
      <alignment wrapText="1"/>
    </xf>
    <xf numFmtId="4" fontId="1" fillId="0" borderId="7" xfId="0" applyNumberFormat="1" applyFont="1" applyBorder="1"/>
    <xf numFmtId="4" fontId="1" fillId="3" borderId="8" xfId="0" applyNumberFormat="1" applyFont="1" applyFill="1" applyBorder="1"/>
    <xf numFmtId="4" fontId="1" fillId="0" borderId="8" xfId="0" applyNumberFormat="1" applyFont="1" applyBorder="1"/>
    <xf numFmtId="49" fontId="3" fillId="0" borderId="5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wrapText="1"/>
    </xf>
    <xf numFmtId="1" fontId="1" fillId="0" borderId="13" xfId="0" applyNumberFormat="1" applyFont="1" applyBorder="1" applyAlignment="1">
      <alignment horizontal="center" wrapText="1"/>
    </xf>
    <xf numFmtId="4" fontId="3" fillId="0" borderId="5" xfId="0" applyNumberFormat="1" applyFont="1" applyBorder="1"/>
    <xf numFmtId="4" fontId="1" fillId="0" borderId="12" xfId="0" applyNumberFormat="1" applyFont="1" applyFill="1" applyBorder="1"/>
    <xf numFmtId="49" fontId="1" fillId="0" borderId="8" xfId="0" applyNumberFormat="1" applyFont="1" applyBorder="1" applyAlignment="1">
      <alignment wrapText="1"/>
    </xf>
    <xf numFmtId="1" fontId="1" fillId="0" borderId="8" xfId="0" applyNumberFormat="1" applyFont="1" applyBorder="1" applyAlignment="1">
      <alignment horizontal="center" wrapText="1"/>
    </xf>
    <xf numFmtId="4" fontId="1" fillId="0" borderId="8" xfId="0" applyNumberFormat="1" applyFont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165" fontId="1" fillId="4" borderId="5" xfId="2" applyNumberFormat="1" applyFont="1" applyFill="1" applyBorder="1" applyAlignment="1">
      <alignment horizontal="right" vertical="center"/>
    </xf>
    <xf numFmtId="4" fontId="0" fillId="0" borderId="5" xfId="0" applyNumberFormat="1" applyBorder="1"/>
    <xf numFmtId="49" fontId="0" fillId="0" borderId="12" xfId="0" applyNumberFormat="1" applyBorder="1"/>
    <xf numFmtId="4" fontId="0" fillId="0" borderId="5" xfId="0" applyNumberFormat="1" applyFill="1" applyBorder="1"/>
    <xf numFmtId="4" fontId="0" fillId="0" borderId="10" xfId="0" applyNumberFormat="1" applyBorder="1"/>
    <xf numFmtId="1" fontId="3" fillId="0" borderId="8" xfId="0" applyNumberFormat="1" applyFont="1" applyBorder="1" applyAlignment="1">
      <alignment horizontal="center" wrapText="1"/>
    </xf>
    <xf numFmtId="4" fontId="1" fillId="4" borderId="5" xfId="0" applyNumberFormat="1" applyFont="1" applyFill="1" applyBorder="1"/>
    <xf numFmtId="1" fontId="3" fillId="2" borderId="5" xfId="0" applyNumberFormat="1" applyFont="1" applyFill="1" applyBorder="1" applyAlignment="1">
      <alignment horizontal="center" wrapText="1"/>
    </xf>
    <xf numFmtId="4" fontId="8" fillId="2" borderId="5" xfId="0" applyNumberFormat="1" applyFont="1" applyFill="1" applyBorder="1"/>
    <xf numFmtId="4" fontId="3" fillId="2" borderId="5" xfId="0" applyNumberFormat="1" applyFont="1" applyFill="1" applyBorder="1" applyAlignment="1">
      <alignment vertical="center"/>
    </xf>
    <xf numFmtId="49" fontId="1" fillId="0" borderId="12" xfId="0" applyNumberFormat="1" applyFont="1" applyFill="1" applyBorder="1" applyAlignment="1">
      <alignment wrapText="1"/>
    </xf>
    <xf numFmtId="4" fontId="3" fillId="0" borderId="12" xfId="0" applyNumberFormat="1" applyFont="1" applyFill="1" applyBorder="1" applyAlignment="1">
      <alignment vertical="center"/>
    </xf>
    <xf numFmtId="4" fontId="3" fillId="0" borderId="8" xfId="0" applyNumberFormat="1" applyFont="1" applyBorder="1"/>
    <xf numFmtId="1" fontId="3" fillId="0" borderId="12" xfId="0" applyNumberFormat="1" applyFont="1" applyBorder="1" applyAlignment="1">
      <alignment horizontal="center" wrapText="1"/>
    </xf>
    <xf numFmtId="4" fontId="3" fillId="0" borderId="12" xfId="0" applyNumberFormat="1" applyFont="1" applyBorder="1" applyAlignment="1">
      <alignment vertical="center"/>
    </xf>
    <xf numFmtId="49" fontId="1" fillId="0" borderId="5" xfId="0" applyNumberFormat="1" applyFont="1" applyFill="1" applyBorder="1" applyAlignment="1">
      <alignment wrapText="1"/>
    </xf>
    <xf numFmtId="4" fontId="3" fillId="0" borderId="12" xfId="0" applyNumberFormat="1" applyFont="1" applyBorder="1"/>
    <xf numFmtId="4" fontId="1" fillId="0" borderId="5" xfId="0" applyNumberFormat="1" applyFont="1" applyFill="1" applyBorder="1"/>
    <xf numFmtId="4" fontId="0" fillId="0" borderId="0" xfId="0" applyNumberFormat="1"/>
    <xf numFmtId="49" fontId="3" fillId="5" borderId="5" xfId="0" applyNumberFormat="1" applyFont="1" applyFill="1" applyBorder="1" applyAlignment="1">
      <alignment wrapText="1"/>
    </xf>
    <xf numFmtId="4" fontId="3" fillId="3" borderId="5" xfId="0" applyNumberFormat="1" applyFont="1" applyFill="1" applyBorder="1"/>
    <xf numFmtId="0" fontId="0" fillId="4" borderId="0" xfId="0" applyFill="1"/>
    <xf numFmtId="4" fontId="1" fillId="6" borderId="5" xfId="0" applyNumberFormat="1" applyFont="1" applyFill="1" applyBorder="1"/>
    <xf numFmtId="4" fontId="1" fillId="6" borderId="11" xfId="0" applyNumberFormat="1" applyFont="1" applyFill="1" applyBorder="1"/>
    <xf numFmtId="0" fontId="0" fillId="6" borderId="0" xfId="0" applyFill="1"/>
    <xf numFmtId="49" fontId="1" fillId="4" borderId="5" xfId="0" applyNumberFormat="1" applyFont="1" applyFill="1" applyBorder="1" applyAlignment="1">
      <alignment wrapText="1"/>
    </xf>
    <xf numFmtId="1" fontId="3" fillId="4" borderId="5" xfId="0" applyNumberFormat="1" applyFont="1" applyFill="1" applyBorder="1" applyAlignment="1">
      <alignment horizontal="center" wrapText="1"/>
    </xf>
    <xf numFmtId="4" fontId="1" fillId="4" borderId="10" xfId="0" applyNumberFormat="1" applyFont="1" applyFill="1" applyBorder="1"/>
    <xf numFmtId="4" fontId="3" fillId="4" borderId="5" xfId="0" applyNumberFormat="1" applyFont="1" applyFill="1" applyBorder="1"/>
    <xf numFmtId="4" fontId="0" fillId="4" borderId="5" xfId="0" applyNumberFormat="1" applyFill="1" applyBorder="1"/>
    <xf numFmtId="4" fontId="0" fillId="4" borderId="0" xfId="0" applyNumberFormat="1" applyFill="1"/>
    <xf numFmtId="0" fontId="0" fillId="0" borderId="0" xfId="0" applyBorder="1"/>
    <xf numFmtId="166" fontId="0" fillId="0" borderId="5" xfId="0" applyNumberFormat="1" applyBorder="1"/>
    <xf numFmtId="4" fontId="11" fillId="0" borderId="5" xfId="0" applyNumberFormat="1" applyFont="1" applyFill="1" applyBorder="1"/>
    <xf numFmtId="4" fontId="11" fillId="0" borderId="10" xfId="0" applyNumberFormat="1" applyFont="1" applyFill="1" applyBorder="1"/>
    <xf numFmtId="0" fontId="0" fillId="0" borderId="0" xfId="0" applyFill="1"/>
    <xf numFmtId="1" fontId="3" fillId="0" borderId="10" xfId="0" applyNumberFormat="1" applyFont="1" applyBorder="1" applyAlignment="1">
      <alignment horizontal="center" wrapText="1"/>
    </xf>
    <xf numFmtId="4" fontId="3" fillId="4" borderId="12" xfId="0" applyNumberFormat="1" applyFont="1" applyFill="1" applyBorder="1" applyAlignment="1">
      <alignment vertical="center"/>
    </xf>
    <xf numFmtId="4" fontId="0" fillId="0" borderId="0" xfId="0" applyNumberFormat="1" applyFill="1"/>
    <xf numFmtId="49" fontId="2" fillId="0" borderId="12" xfId="0" applyNumberFormat="1" applyFont="1" applyFill="1" applyBorder="1" applyAlignment="1">
      <alignment horizontal="left" wrapText="1"/>
    </xf>
    <xf numFmtId="1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center" wrapText="1"/>
    </xf>
    <xf numFmtId="165" fontId="1" fillId="4" borderId="0" xfId="2" applyNumberFormat="1" applyFont="1" applyFill="1" applyBorder="1" applyAlignment="1">
      <alignment horizontal="right" vertic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vertical="center"/>
    </xf>
    <xf numFmtId="1" fontId="1" fillId="0" borderId="1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wrapText="1"/>
    </xf>
    <xf numFmtId="4" fontId="1" fillId="0" borderId="14" xfId="0" applyNumberFormat="1" applyFont="1" applyBorder="1"/>
    <xf numFmtId="4" fontId="1" fillId="0" borderId="0" xfId="0" applyNumberFormat="1" applyFont="1" applyFill="1" applyBorder="1"/>
    <xf numFmtId="49" fontId="2" fillId="0" borderId="12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165" fontId="1" fillId="0" borderId="0" xfId="2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4" fontId="0" fillId="0" borderId="0" xfId="0" applyNumberFormat="1" applyBorder="1"/>
    <xf numFmtId="4" fontId="0" fillId="0" borderId="1" xfId="0" applyNumberFormat="1" applyBorder="1"/>
    <xf numFmtId="4" fontId="0" fillId="0" borderId="4" xfId="0" applyNumberFormat="1" applyBorder="1"/>
    <xf numFmtId="49" fontId="3" fillId="0" borderId="5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Alignment="1">
      <alignment horizontal="centerContinuous" vertical="center" wrapText="1"/>
    </xf>
    <xf numFmtId="49" fontId="14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4" fontId="13" fillId="0" borderId="0" xfId="0" applyNumberFormat="1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7" borderId="12" xfId="0" applyNumberFormat="1" applyFont="1" applyFill="1" applyBorder="1" applyAlignment="1">
      <alignment horizontal="center" wrapText="1"/>
    </xf>
    <xf numFmtId="49" fontId="2" fillId="7" borderId="1" xfId="0" applyNumberFormat="1" applyFont="1" applyFill="1" applyBorder="1" applyAlignment="1">
      <alignment horizontal="center" wrapText="1"/>
    </xf>
    <xf numFmtId="4" fontId="3" fillId="7" borderId="9" xfId="0" applyNumberFormat="1" applyFont="1" applyFill="1" applyBorder="1" applyAlignment="1">
      <alignment vertical="center"/>
    </xf>
    <xf numFmtId="49" fontId="0" fillId="0" borderId="12" xfId="0" applyNumberFormat="1" applyFill="1" applyBorder="1"/>
    <xf numFmtId="4" fontId="1" fillId="0" borderId="12" xfId="1" applyNumberFormat="1" applyFont="1" applyFill="1" applyBorder="1" applyAlignment="1">
      <alignment horizontal="right"/>
    </xf>
    <xf numFmtId="1" fontId="1" fillId="0" borderId="14" xfId="0" applyNumberFormat="1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4" fontId="3" fillId="7" borderId="1" xfId="0" applyNumberFormat="1" applyFont="1" applyFill="1" applyBorder="1" applyAlignment="1">
      <alignment vertical="center"/>
    </xf>
    <xf numFmtId="49" fontId="2" fillId="7" borderId="1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12" xfId="0" applyFill="1" applyBorder="1"/>
    <xf numFmtId="1" fontId="3" fillId="0" borderId="10" xfId="0" applyNumberFormat="1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49" fontId="12" fillId="0" borderId="12" xfId="0" applyNumberFormat="1" applyFont="1" applyFill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8" xfId="0" applyBorder="1"/>
    <xf numFmtId="1" fontId="3" fillId="2" borderId="5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Alignment="1">
      <alignment vertical="center" wrapText="1"/>
    </xf>
    <xf numFmtId="49" fontId="0" fillId="4" borderId="12" xfId="0" applyNumberFormat="1" applyFill="1" applyBorder="1" applyAlignment="1">
      <alignment wrapText="1"/>
    </xf>
    <xf numFmtId="49" fontId="3" fillId="0" borderId="12" xfId="0" applyNumberFormat="1" applyFont="1" applyBorder="1" applyAlignment="1">
      <alignment wrapText="1"/>
    </xf>
    <xf numFmtId="49" fontId="3" fillId="0" borderId="12" xfId="0" applyNumberFormat="1" applyFont="1" applyBorder="1" applyAlignment="1">
      <alignment horizontal="left" wrapText="1"/>
    </xf>
    <xf numFmtId="49" fontId="2" fillId="7" borderId="1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0" fillId="4" borderId="5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1" fillId="0" borderId="5" xfId="3" applyFont="1" applyBorder="1" applyAlignment="1">
      <alignment vertical="center"/>
    </xf>
    <xf numFmtId="44" fontId="0" fillId="0" borderId="0" xfId="3" applyFont="1" applyAlignment="1">
      <alignment vertical="center"/>
    </xf>
    <xf numFmtId="49" fontId="2" fillId="0" borderId="8" xfId="0" applyNumberFormat="1" applyFont="1" applyFill="1" applyBorder="1" applyAlignment="1">
      <alignment horizontal="left" vertical="center" wrapText="1"/>
    </xf>
    <xf numFmtId="4" fontId="3" fillId="4" borderId="8" xfId="0" applyNumberFormat="1" applyFont="1" applyFill="1" applyBorder="1" applyAlignment="1">
      <alignment vertical="center"/>
    </xf>
    <xf numFmtId="1" fontId="3" fillId="2" borderId="12" xfId="0" applyNumberFormat="1" applyFont="1" applyFill="1" applyBorder="1" applyAlignment="1">
      <alignment horizontal="center" wrapText="1"/>
    </xf>
    <xf numFmtId="4" fontId="3" fillId="2" borderId="12" xfId="0" applyNumberFormat="1" applyFont="1" applyFill="1" applyBorder="1"/>
    <xf numFmtId="4" fontId="3" fillId="2" borderId="12" xfId="0" applyNumberFormat="1" applyFont="1" applyFill="1" applyBorder="1" applyAlignment="1">
      <alignment vertical="center"/>
    </xf>
    <xf numFmtId="1" fontId="3" fillId="0" borderId="5" xfId="1" applyNumberFormat="1" applyFont="1" applyBorder="1" applyAlignment="1">
      <alignment horizontal="center" wrapText="1"/>
    </xf>
    <xf numFmtId="44" fontId="13" fillId="0" borderId="0" xfId="3" applyFont="1" applyAlignment="1">
      <alignment wrapText="1"/>
    </xf>
    <xf numFmtId="44" fontId="13" fillId="0" borderId="0" xfId="3" applyFont="1" applyAlignment="1">
      <alignment horizontal="center" vertical="center" wrapText="1"/>
    </xf>
    <xf numFmtId="49" fontId="3" fillId="0" borderId="5" xfId="0" quotePrefix="1" applyNumberFormat="1" applyFont="1" applyBorder="1" applyAlignment="1">
      <alignment horizontal="left" wrapText="1"/>
    </xf>
    <xf numFmtId="0" fontId="11" fillId="4" borderId="0" xfId="0" applyFont="1" applyFill="1"/>
    <xf numFmtId="49" fontId="3" fillId="2" borderId="12" xfId="0" quotePrefix="1" applyNumberFormat="1" applyFont="1" applyFill="1" applyBorder="1" applyAlignment="1">
      <alignment horizontal="left" wrapText="1"/>
    </xf>
    <xf numFmtId="1" fontId="3" fillId="2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49" fontId="3" fillId="7" borderId="1" xfId="0" applyNumberFormat="1" applyFont="1" applyFill="1" applyBorder="1" applyAlignment="1">
      <alignment horizontal="center" wrapText="1"/>
    </xf>
    <xf numFmtId="1" fontId="3" fillId="7" borderId="12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/>
    </xf>
    <xf numFmtId="1" fontId="15" fillId="4" borderId="5" xfId="0" applyNumberFormat="1" applyFont="1" applyFill="1" applyBorder="1" applyAlignment="1">
      <alignment horizontal="center"/>
    </xf>
    <xf numFmtId="0" fontId="16" fillId="0" borderId="2" xfId="0" applyFont="1" applyFill="1" applyBorder="1"/>
    <xf numFmtId="1" fontId="15" fillId="0" borderId="5" xfId="0" applyNumberFormat="1" applyFont="1" applyFill="1" applyBorder="1" applyAlignment="1">
      <alignment horizontal="center"/>
    </xf>
    <xf numFmtId="1" fontId="16" fillId="0" borderId="12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1" fontId="16" fillId="0" borderId="5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/>
    </xf>
    <xf numFmtId="0" fontId="16" fillId="0" borderId="5" xfId="0" applyFont="1" applyBorder="1"/>
    <xf numFmtId="1" fontId="16" fillId="0" borderId="14" xfId="0" applyNumberFormat="1" applyFont="1" applyFill="1" applyBorder="1" applyAlignment="1">
      <alignment horizontal="center"/>
    </xf>
    <xf numFmtId="0" fontId="16" fillId="0" borderId="0" xfId="0" applyFont="1"/>
    <xf numFmtId="49" fontId="3" fillId="2" borderId="12" xfId="0" applyNumberFormat="1" applyFont="1" applyFill="1" applyBorder="1" applyAlignment="1">
      <alignment horizontal="left" vertical="center" wrapText="1"/>
    </xf>
    <xf numFmtId="0" fontId="3" fillId="0" borderId="12" xfId="1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8" fillId="0" borderId="12" xfId="0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17" fillId="0" borderId="12" xfId="0" applyNumberFormat="1" applyFont="1" applyBorder="1" applyAlignment="1">
      <alignment horizontal="center" vertical="center"/>
    </xf>
    <xf numFmtId="44" fontId="17" fillId="0" borderId="8" xfId="0" applyNumberFormat="1" applyFont="1" applyBorder="1" applyAlignment="1">
      <alignment horizontal="center" vertical="center"/>
    </xf>
    <xf numFmtId="44" fontId="17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vertical="center" wrapText="1"/>
    </xf>
    <xf numFmtId="1" fontId="16" fillId="0" borderId="12" xfId="0" applyNumberFormat="1" applyFont="1" applyFill="1" applyBorder="1" applyAlignment="1">
      <alignment horizontal="center" vertical="center"/>
    </xf>
    <xf numFmtId="49" fontId="2" fillId="7" borderId="12" xfId="0" quotePrefix="1" applyNumberFormat="1" applyFont="1" applyFill="1" applyBorder="1" applyAlignment="1">
      <alignment horizontal="center" vertical="center" wrapText="1"/>
    </xf>
    <xf numFmtId="4" fontId="15" fillId="7" borderId="12" xfId="0" applyNumberFormat="1" applyFont="1" applyFill="1" applyBorder="1" applyAlignment="1">
      <alignment vertical="center"/>
    </xf>
    <xf numFmtId="0" fontId="0" fillId="0" borderId="14" xfId="0" applyBorder="1"/>
    <xf numFmtId="49" fontId="1" fillId="0" borderId="15" xfId="0" applyNumberFormat="1" applyFont="1" applyBorder="1" applyAlignment="1">
      <alignment wrapText="1"/>
    </xf>
    <xf numFmtId="49" fontId="0" fillId="0" borderId="15" xfId="0" applyNumberFormat="1" applyBorder="1"/>
    <xf numFmtId="49" fontId="1" fillId="0" borderId="15" xfId="0" applyNumberFormat="1" applyFont="1" applyFill="1" applyBorder="1" applyAlignment="1">
      <alignment wrapText="1"/>
    </xf>
    <xf numFmtId="4" fontId="1" fillId="0" borderId="14" xfId="0" applyNumberFormat="1" applyFont="1" applyBorder="1" applyAlignment="1">
      <alignment vertical="center"/>
    </xf>
    <xf numFmtId="4" fontId="1" fillId="0" borderId="14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" fontId="1" fillId="8" borderId="12" xfId="0" applyNumberFormat="1" applyFont="1" applyFill="1" applyBorder="1" applyAlignment="1">
      <alignment horizontal="center" wrapText="1"/>
    </xf>
    <xf numFmtId="49" fontId="3" fillId="6" borderId="5" xfId="0" applyNumberFormat="1" applyFont="1" applyFill="1" applyBorder="1" applyAlignment="1">
      <alignment vertical="center" wrapText="1"/>
    </xf>
    <xf numFmtId="44" fontId="0" fillId="0" borderId="0" xfId="0" applyNumberFormat="1"/>
    <xf numFmtId="0" fontId="5" fillId="0" borderId="12" xfId="0" applyFont="1" applyFill="1" applyBorder="1" applyAlignment="1">
      <alignment horizontal="left" vertical="center"/>
    </xf>
    <xf numFmtId="1" fontId="0" fillId="0" borderId="12" xfId="0" applyNumberFormat="1" applyFill="1" applyBorder="1"/>
    <xf numFmtId="44" fontId="0" fillId="0" borderId="12" xfId="3" applyFont="1" applyFill="1" applyBorder="1"/>
    <xf numFmtId="49" fontId="0" fillId="0" borderId="12" xfId="0" applyNumberForma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44" fontId="0" fillId="0" borderId="12" xfId="3" applyFont="1" applyFill="1" applyBorder="1" applyAlignment="1">
      <alignment vertical="center"/>
    </xf>
    <xf numFmtId="0" fontId="5" fillId="0" borderId="12" xfId="0" applyFont="1" applyFill="1" applyBorder="1"/>
    <xf numFmtId="49" fontId="0" fillId="0" borderId="12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49" fontId="14" fillId="0" borderId="0" xfId="0" applyNumberFormat="1" applyFont="1" applyFill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left" vertical="center" wrapText="1"/>
    </xf>
    <xf numFmtId="1" fontId="3" fillId="6" borderId="12" xfId="0" applyNumberFormat="1" applyFont="1" applyFill="1" applyBorder="1" applyAlignment="1">
      <alignment horizontal="left" vertical="center" wrapText="1"/>
    </xf>
    <xf numFmtId="1" fontId="18" fillId="6" borderId="1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" fontId="8" fillId="6" borderId="12" xfId="0" applyNumberFormat="1" applyFont="1" applyFill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4" fontId="0" fillId="0" borderId="12" xfId="3" applyFont="1" applyBorder="1"/>
    <xf numFmtId="0" fontId="5" fillId="0" borderId="12" xfId="0" applyFont="1" applyBorder="1"/>
    <xf numFmtId="1" fontId="0" fillId="0" borderId="12" xfId="0" applyNumberFormat="1" applyBorder="1"/>
  </cellXfs>
  <cellStyles count="6">
    <cellStyle name="Moneda" xfId="3" builtinId="4"/>
    <cellStyle name="Moneda 2" xfId="4"/>
    <cellStyle name="Moneda_programacion de compromiso 029 hasta el 09-11-2012" xfId="2"/>
    <cellStyle name="Normal" xfId="0" builtinId="0"/>
    <cellStyle name="Normal 2 2" xfId="1"/>
    <cellStyle name="Normal 8" xfId="5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141771</xdr:colOff>
      <xdr:row>0</xdr:row>
      <xdr:rowOff>127219</xdr:rowOff>
    </xdr:from>
    <xdr:to>
      <xdr:col>2</xdr:col>
      <xdr:colOff>605118</xdr:colOff>
      <xdr:row>4</xdr:row>
      <xdr:rowOff>125355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12947" r="5714" b="16901"/>
        <a:stretch>
          <a:fillRect/>
        </a:stretch>
      </xdr:blipFill>
      <xdr:spPr bwMode="auto">
        <a:xfrm>
          <a:off x="242624" y="127219"/>
          <a:ext cx="3746670" cy="1185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C353"/>
  <sheetViews>
    <sheetView tabSelected="1" zoomScale="68" zoomScaleNormal="68" zoomScaleSheetLayoutView="70" workbookViewId="0">
      <selection activeCell="G14" sqref="G14:G15"/>
    </sheetView>
  </sheetViews>
  <sheetFormatPr baseColWidth="10" defaultRowHeight="15"/>
  <cols>
    <col min="1" max="1" width="1.5703125" customWidth="1"/>
    <col min="2" max="2" width="49.28515625" customWidth="1"/>
    <col min="3" max="3" width="27.7109375" style="209" bestFit="1" customWidth="1"/>
    <col min="4" max="5" width="32.5703125" style="174" customWidth="1"/>
    <col min="6" max="6" width="28.85546875" customWidth="1"/>
    <col min="7" max="7" width="22.140625" customWidth="1"/>
    <col min="8" max="8" width="19.28515625" customWidth="1"/>
    <col min="9" max="10" width="17.5703125" customWidth="1"/>
    <col min="11" max="11" width="17.85546875" customWidth="1"/>
    <col min="12" max="12" width="17.7109375" customWidth="1"/>
    <col min="13" max="13" width="17.85546875" bestFit="1" customWidth="1"/>
    <col min="14" max="15" width="18.140625" bestFit="1" customWidth="1"/>
    <col min="16" max="16" width="18.7109375" customWidth="1"/>
    <col min="17" max="17" width="18.140625" bestFit="1" customWidth="1"/>
    <col min="18" max="18" width="17.7109375" bestFit="1" customWidth="1"/>
    <col min="19" max="19" width="19" customWidth="1"/>
    <col min="20" max="20" width="21.85546875" customWidth="1"/>
    <col min="21" max="21" width="16.5703125" customWidth="1"/>
    <col min="22" max="22" width="15.140625" customWidth="1"/>
    <col min="23" max="24" width="19.85546875" customWidth="1"/>
    <col min="28" max="28" width="11.42578125" customWidth="1"/>
  </cols>
  <sheetData>
    <row r="1" spans="2:21" s="108" customFormat="1" ht="14.25">
      <c r="B1" s="107"/>
      <c r="C1" s="189"/>
      <c r="D1" s="170"/>
      <c r="E1" s="214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2:21" s="108" customFormat="1">
      <c r="B2" s="107"/>
      <c r="C2" s="189"/>
      <c r="D2" s="170"/>
      <c r="E2" s="214"/>
      <c r="F2"/>
      <c r="G2"/>
      <c r="H2"/>
      <c r="I2"/>
      <c r="J2"/>
      <c r="K2"/>
      <c r="L2"/>
      <c r="M2"/>
      <c r="N2"/>
      <c r="O2" s="142"/>
      <c r="P2" s="109"/>
      <c r="Q2" s="109"/>
      <c r="R2" s="109"/>
      <c r="S2" s="109"/>
    </row>
    <row r="3" spans="2:21" s="108" customFormat="1">
      <c r="B3" s="110"/>
      <c r="C3" s="190"/>
      <c r="D3" s="171"/>
      <c r="E3" s="171"/>
      <c r="G3" s="115"/>
      <c r="H3" s="115"/>
      <c r="I3" s="115"/>
      <c r="J3" s="115"/>
      <c r="K3"/>
      <c r="L3"/>
      <c r="M3"/>
      <c r="N3"/>
      <c r="O3" s="109"/>
      <c r="P3" s="109"/>
      <c r="Q3" s="109"/>
      <c r="R3" s="109"/>
      <c r="S3" s="109"/>
    </row>
    <row r="4" spans="2:21" s="108" customFormat="1" ht="49.5" customHeight="1">
      <c r="B4" s="265" t="s">
        <v>73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</row>
    <row r="5" spans="2:21" s="108" customFormat="1" ht="20.25">
      <c r="B5" s="111"/>
      <c r="C5" s="191"/>
      <c r="D5" s="172"/>
      <c r="E5" s="172"/>
      <c r="F5" s="266" t="s">
        <v>58</v>
      </c>
      <c r="G5" s="266"/>
      <c r="H5" s="266"/>
      <c r="I5" s="266"/>
      <c r="J5" s="266"/>
      <c r="K5" s="266"/>
      <c r="L5" s="266"/>
      <c r="M5" s="266"/>
      <c r="N5" s="112"/>
      <c r="O5" s="112"/>
      <c r="P5" s="112"/>
      <c r="Q5" s="112"/>
      <c r="R5" s="112"/>
      <c r="S5" s="112"/>
    </row>
    <row r="6" spans="2:21" s="108" customFormat="1" ht="45">
      <c r="B6" s="242" t="s">
        <v>74</v>
      </c>
      <c r="C6" s="191"/>
      <c r="D6" s="172"/>
      <c r="E6" s="172"/>
      <c r="F6" s="113"/>
      <c r="G6" s="113"/>
      <c r="H6" s="113"/>
      <c r="I6" s="113"/>
      <c r="J6" s="113"/>
      <c r="K6" s="113"/>
      <c r="L6" s="113"/>
      <c r="M6" s="113"/>
      <c r="N6" s="112"/>
      <c r="O6" s="112"/>
      <c r="P6" s="112"/>
      <c r="Q6" s="112"/>
      <c r="R6" s="112"/>
      <c r="S6" s="112"/>
    </row>
    <row r="7" spans="2:21" s="108" customFormat="1" ht="20.25">
      <c r="B7" s="111" t="s">
        <v>58</v>
      </c>
      <c r="C7" s="191"/>
      <c r="D7" s="172"/>
      <c r="E7" s="172"/>
      <c r="F7" s="113"/>
      <c r="G7" s="113"/>
      <c r="H7" s="113"/>
      <c r="I7" s="113"/>
      <c r="J7" s="113"/>
      <c r="K7" s="113"/>
      <c r="L7" s="113"/>
      <c r="M7" s="113"/>
      <c r="N7" s="112"/>
      <c r="O7" s="112"/>
      <c r="P7" s="112"/>
      <c r="Q7" s="112"/>
      <c r="R7" s="112"/>
      <c r="S7" s="112"/>
    </row>
    <row r="8" spans="2:21" s="108" customFormat="1">
      <c r="B8" s="114" t="s">
        <v>49</v>
      </c>
      <c r="C8" s="192"/>
      <c r="D8" s="173"/>
      <c r="E8" s="171"/>
      <c r="G8" s="115"/>
      <c r="H8" s="61"/>
      <c r="I8" s="115"/>
      <c r="J8" s="109"/>
      <c r="K8" s="109"/>
      <c r="L8" s="109"/>
      <c r="M8" s="109"/>
      <c r="N8" s="109"/>
      <c r="O8" s="109"/>
      <c r="P8" s="109"/>
      <c r="Q8" s="109"/>
      <c r="R8" s="109"/>
      <c r="S8" s="109"/>
    </row>
    <row r="9" spans="2:21" s="108" customFormat="1">
      <c r="B9" s="114" t="s">
        <v>51</v>
      </c>
      <c r="C9" s="192"/>
      <c r="D9" s="173"/>
      <c r="E9" s="171"/>
      <c r="G9" s="109"/>
      <c r="H9" s="109"/>
      <c r="I9" s="109"/>
      <c r="J9" s="109"/>
      <c r="K9" s="109"/>
      <c r="L9" s="109"/>
      <c r="M9" s="109"/>
      <c r="N9" s="109"/>
      <c r="O9" s="115"/>
      <c r="P9" s="109"/>
      <c r="Q9" s="183"/>
      <c r="R9" s="183"/>
      <c r="S9" s="184"/>
      <c r="T9" s="183"/>
    </row>
    <row r="10" spans="2:21" s="119" customFormat="1">
      <c r="B10" s="116" t="s">
        <v>0</v>
      </c>
      <c r="C10" s="270" t="s">
        <v>5</v>
      </c>
      <c r="D10" s="116" t="s">
        <v>1</v>
      </c>
      <c r="E10" s="116" t="s">
        <v>52</v>
      </c>
      <c r="F10" s="116" t="s">
        <v>2</v>
      </c>
      <c r="G10" s="116" t="s">
        <v>3</v>
      </c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8"/>
    </row>
    <row r="11" spans="2:21" s="119" customFormat="1" ht="25.5" customHeight="1">
      <c r="B11" s="267" t="s">
        <v>4</v>
      </c>
      <c r="C11" s="271"/>
      <c r="D11" s="1" t="s">
        <v>6</v>
      </c>
      <c r="E11" s="130" t="s">
        <v>7</v>
      </c>
      <c r="F11" s="1" t="s">
        <v>8</v>
      </c>
      <c r="G11" s="1" t="s">
        <v>9</v>
      </c>
      <c r="H11" s="268" t="s">
        <v>53</v>
      </c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9"/>
    </row>
    <row r="12" spans="2:21" s="119" customFormat="1" ht="15.75" customHeight="1">
      <c r="B12" s="267"/>
      <c r="C12" s="271"/>
      <c r="D12" s="1"/>
      <c r="E12" s="131" t="s">
        <v>10</v>
      </c>
      <c r="F12" s="120"/>
      <c r="G12" s="120"/>
      <c r="H12" s="120" t="s">
        <v>11</v>
      </c>
      <c r="I12" s="120" t="s">
        <v>12</v>
      </c>
      <c r="J12" s="120" t="s">
        <v>13</v>
      </c>
      <c r="K12" s="120" t="s">
        <v>14</v>
      </c>
      <c r="L12" s="120" t="s">
        <v>15</v>
      </c>
      <c r="M12" s="120" t="s">
        <v>16</v>
      </c>
      <c r="N12" s="120" t="s">
        <v>17</v>
      </c>
      <c r="O12" s="120" t="s">
        <v>18</v>
      </c>
      <c r="P12" s="120" t="s">
        <v>19</v>
      </c>
      <c r="Q12" s="120" t="s">
        <v>20</v>
      </c>
      <c r="R12" s="120" t="s">
        <v>21</v>
      </c>
      <c r="S12" s="120" t="s">
        <v>22</v>
      </c>
    </row>
    <row r="13" spans="2:21" ht="15.75" thickBot="1">
      <c r="B13" s="129" t="s">
        <v>55</v>
      </c>
      <c r="C13" s="194">
        <f>C21+C123+C179+C233+C242+C276+C292+C349+C109+C312</f>
        <v>215</v>
      </c>
      <c r="D13" s="129"/>
      <c r="E13" s="129"/>
      <c r="F13" s="121"/>
      <c r="G13" s="123">
        <f>SUM(G18+G106+G120+G176+G230+G239+G273+G346+G289+G312)</f>
        <v>17970000</v>
      </c>
      <c r="H13" s="4">
        <f t="shared" ref="H13:M13" si="0">SUM(H17+H299+H312)+H345</f>
        <v>1366274.25</v>
      </c>
      <c r="I13" s="4">
        <f t="shared" si="0"/>
        <v>1458490.78</v>
      </c>
      <c r="J13" s="4">
        <f t="shared" si="0"/>
        <v>1795535.73</v>
      </c>
      <c r="K13" s="4">
        <f t="shared" si="0"/>
        <v>13500</v>
      </c>
      <c r="L13" s="4">
        <f t="shared" si="0"/>
        <v>13500</v>
      </c>
      <c r="M13" s="4">
        <f t="shared" si="0"/>
        <v>13500</v>
      </c>
      <c r="N13" s="4">
        <f>SUM(N17+N299+N312+N345)</f>
        <v>0</v>
      </c>
      <c r="O13" s="4">
        <f>SUM(O17+O299+O312)+O345</f>
        <v>0</v>
      </c>
      <c r="P13" s="4">
        <f>SUM(P17+P299+P312)+P345</f>
        <v>0</v>
      </c>
      <c r="Q13" s="4">
        <f>SUM(Q17+Q299+Q312)+Q345</f>
        <v>0</v>
      </c>
      <c r="R13" s="4">
        <f>SUM(R17+R299+R312)+R345</f>
        <v>0</v>
      </c>
      <c r="S13" s="4">
        <f>SUM(S17+S299+S312+S345)</f>
        <v>0</v>
      </c>
      <c r="T13" s="61"/>
      <c r="U13" s="61"/>
    </row>
    <row r="14" spans="2:21" ht="16.5" thickTop="1" thickBot="1">
      <c r="B14" s="129" t="s">
        <v>50</v>
      </c>
      <c r="C14" s="193"/>
      <c r="D14" s="146"/>
      <c r="E14" s="146"/>
      <c r="F14" s="122"/>
      <c r="G14" s="128">
        <f>G19+G107+G121+G177+G231+G240+G274+G290+G347+G314</f>
        <v>4660800.76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2:21" ht="16.5" thickTop="1" thickBot="1">
      <c r="B15" s="129" t="s">
        <v>54</v>
      </c>
      <c r="C15" s="194"/>
      <c r="D15" s="129"/>
      <c r="E15" s="129"/>
      <c r="F15" s="121"/>
      <c r="G15" s="128">
        <f>SUM(G20,G108,G122,G178,G232,G241,G275,G291,G348,G315)</f>
        <v>13309199.24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2:21" ht="24.75" customHeight="1" thickTop="1" thickBot="1">
      <c r="B16" s="244" t="s">
        <v>95</v>
      </c>
      <c r="C16" s="194">
        <f>+C46+C47+C48+C49+C50+C64+C66+C72+C73+C74+C75+C98+C99+C101+C102+C103+C114+C115+C116+C117+C134+C151+C185+C208+C209+C210+C211+C217+C218+C219+C221+C222+C223+C249+C270+C35</f>
        <v>36</v>
      </c>
      <c r="D16" s="121"/>
      <c r="E16" s="121"/>
      <c r="F16" s="245"/>
      <c r="G16" s="128">
        <f>+G46+G47+G48+G49+G50+G64+G66+G72+G73+G74+G75+G98+G99+G101+G102+G103+G114+G115+G116+G117+G134+G151+G185+G208+G209+G210+G211+G217+G218+G219+G221+G222+G223+G249+G270+G35</f>
        <v>364035.73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2:22" ht="30" thickTop="1" thickBot="1">
      <c r="B17" s="210" t="s">
        <v>25</v>
      </c>
      <c r="C17" s="188"/>
      <c r="D17" s="141"/>
      <c r="E17" s="131"/>
      <c r="F17" s="3"/>
      <c r="G17" s="181">
        <f t="shared" ref="G17:S17" si="1">+G21+G109+G123+G179+G233+G242+G276+G292</f>
        <v>4343768.51</v>
      </c>
      <c r="H17" s="4">
        <f t="shared" si="1"/>
        <v>1273661.3500000001</v>
      </c>
      <c r="I17" s="4">
        <f t="shared" si="1"/>
        <v>1352071.43</v>
      </c>
      <c r="J17" s="4">
        <f t="shared" si="1"/>
        <v>1677535.73</v>
      </c>
      <c r="K17" s="4">
        <f t="shared" si="1"/>
        <v>13500</v>
      </c>
      <c r="L17" s="4">
        <f t="shared" si="1"/>
        <v>13500</v>
      </c>
      <c r="M17" s="4">
        <f t="shared" si="1"/>
        <v>13500</v>
      </c>
      <c r="N17" s="4">
        <f t="shared" si="1"/>
        <v>0</v>
      </c>
      <c r="O17" s="4">
        <f t="shared" si="1"/>
        <v>0</v>
      </c>
      <c r="P17" s="4">
        <f t="shared" si="1"/>
        <v>0</v>
      </c>
      <c r="Q17" s="4">
        <f t="shared" si="1"/>
        <v>0</v>
      </c>
      <c r="R17" s="4">
        <f t="shared" si="1"/>
        <v>0</v>
      </c>
      <c r="S17" s="4">
        <f t="shared" si="1"/>
        <v>0</v>
      </c>
      <c r="T17" s="61"/>
      <c r="U17" s="61"/>
      <c r="V17" s="61"/>
    </row>
    <row r="18" spans="2:22" ht="15.75" thickTop="1">
      <c r="B18" s="272" t="s">
        <v>26</v>
      </c>
      <c r="C18" s="6"/>
      <c r="D18" s="147"/>
      <c r="E18" s="215"/>
      <c r="F18" s="82" t="s">
        <v>23</v>
      </c>
      <c r="G18" s="80">
        <f>G19+G20</f>
        <v>6834000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2:22">
      <c r="B19" s="272"/>
      <c r="C19" s="79"/>
      <c r="D19" s="148"/>
      <c r="E19" s="215"/>
      <c r="F19" s="82" t="s">
        <v>50</v>
      </c>
      <c r="G19" s="80">
        <f>G21</f>
        <v>1887547.28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2:22" ht="30">
      <c r="B20" s="272"/>
      <c r="C20" s="6"/>
      <c r="D20" s="148"/>
      <c r="E20" s="215"/>
      <c r="F20" s="82" t="s">
        <v>24</v>
      </c>
      <c r="G20" s="80">
        <f>G104</f>
        <v>4946452.72</v>
      </c>
      <c r="H20" s="8"/>
      <c r="I20" s="8"/>
      <c r="J20" s="8"/>
      <c r="K20" s="8"/>
      <c r="L20" s="8"/>
      <c r="M20" s="8"/>
      <c r="N20" s="8"/>
      <c r="O20" s="175"/>
      <c r="P20" s="176"/>
      <c r="Q20" s="24"/>
      <c r="R20" s="8"/>
      <c r="S20" s="8"/>
    </row>
    <row r="21" spans="2:22" ht="27.75" customHeight="1" thickBot="1">
      <c r="B21" s="211" t="s">
        <v>75</v>
      </c>
      <c r="C21" s="182">
        <f>SUM(C22:C103)</f>
        <v>74</v>
      </c>
      <c r="D21" s="149"/>
      <c r="E21" s="212"/>
      <c r="F21" s="7"/>
      <c r="G21" s="12">
        <f>SUM(G22:G103)</f>
        <v>1887547.28</v>
      </c>
      <c r="H21" s="10">
        <f t="shared" ref="H21:K21" si="2">SUM(H22:H104)</f>
        <v>533225.84</v>
      </c>
      <c r="I21" s="10">
        <f>SUM(I22:I103)</f>
        <v>556571.43000000005</v>
      </c>
      <c r="J21" s="10">
        <f t="shared" si="2"/>
        <v>757250.01</v>
      </c>
      <c r="K21" s="10">
        <f t="shared" si="2"/>
        <v>13500</v>
      </c>
      <c r="L21" s="10">
        <f>SUM(L22:L103)</f>
        <v>13500</v>
      </c>
      <c r="M21" s="10">
        <f t="shared" ref="M21:S21" si="3">SUM(M22:M103)</f>
        <v>13500</v>
      </c>
      <c r="N21" s="10">
        <f t="shared" si="3"/>
        <v>0</v>
      </c>
      <c r="O21" s="10">
        <f t="shared" si="3"/>
        <v>0</v>
      </c>
      <c r="P21" s="10">
        <f t="shared" si="3"/>
        <v>0</v>
      </c>
      <c r="Q21" s="10">
        <f t="shared" si="3"/>
        <v>0</v>
      </c>
      <c r="R21" s="10">
        <f t="shared" si="3"/>
        <v>0</v>
      </c>
      <c r="S21" s="10">
        <f t="shared" si="3"/>
        <v>0</v>
      </c>
      <c r="T21" s="61"/>
      <c r="U21" s="61"/>
      <c r="V21" s="61"/>
    </row>
    <row r="22" spans="2:22" s="78" customFormat="1" ht="15" customHeight="1" thickTop="1">
      <c r="B22" s="53"/>
      <c r="C22" s="19">
        <v>1</v>
      </c>
      <c r="D22" s="132" t="s">
        <v>59</v>
      </c>
      <c r="E22" s="216" t="s">
        <v>62</v>
      </c>
      <c r="F22" s="20">
        <v>18000</v>
      </c>
      <c r="G22" s="21">
        <f t="shared" ref="G22:G25" si="4">SUM(H22:S22)</f>
        <v>52838.71</v>
      </c>
      <c r="H22" s="21">
        <f>+F22*C22/31*29</f>
        <v>16838.71</v>
      </c>
      <c r="I22" s="21">
        <f>+F22*C22</f>
        <v>18000</v>
      </c>
      <c r="J22" s="37">
        <f>+F22*C22</f>
        <v>18000</v>
      </c>
      <c r="K22" s="21">
        <v>0</v>
      </c>
      <c r="L22" s="21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</row>
    <row r="23" spans="2:22" s="78" customFormat="1" ht="15" customHeight="1">
      <c r="B23" s="53"/>
      <c r="C23" s="19">
        <v>1</v>
      </c>
      <c r="D23" s="132" t="s">
        <v>59</v>
      </c>
      <c r="E23" s="216" t="s">
        <v>62</v>
      </c>
      <c r="F23" s="20">
        <v>18000</v>
      </c>
      <c r="G23" s="21">
        <f t="shared" ref="G23" si="5">SUM(H23:S23)</f>
        <v>52838.71</v>
      </c>
      <c r="H23" s="21">
        <f>+F23*C23/31*29</f>
        <v>16838.71</v>
      </c>
      <c r="I23" s="21">
        <f>+F23*C23</f>
        <v>18000</v>
      </c>
      <c r="J23" s="37">
        <f>+F23*C23</f>
        <v>18000</v>
      </c>
      <c r="K23" s="21">
        <v>0</v>
      </c>
      <c r="L23" s="21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</row>
    <row r="24" spans="2:22" s="78" customFormat="1" ht="15" customHeight="1">
      <c r="B24" s="53"/>
      <c r="C24" s="19">
        <v>1</v>
      </c>
      <c r="D24" s="132" t="s">
        <v>59</v>
      </c>
      <c r="E24" s="216" t="s">
        <v>62</v>
      </c>
      <c r="F24" s="20">
        <v>18000</v>
      </c>
      <c r="G24" s="21">
        <f t="shared" si="4"/>
        <v>52838.71</v>
      </c>
      <c r="H24" s="21">
        <f t="shared" ref="H24:H100" si="6">+F24*C24/31*29</f>
        <v>16838.71</v>
      </c>
      <c r="I24" s="21">
        <f t="shared" ref="I24:I100" si="7">+F24*C24</f>
        <v>18000</v>
      </c>
      <c r="J24" s="37">
        <f t="shared" ref="J24:J100" si="8">+F24*C24</f>
        <v>18000</v>
      </c>
      <c r="K24" s="21">
        <v>0</v>
      </c>
      <c r="L24" s="21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</row>
    <row r="25" spans="2:22" s="78" customFormat="1" ht="15" customHeight="1">
      <c r="B25" s="53"/>
      <c r="C25" s="19">
        <v>1</v>
      </c>
      <c r="D25" s="132" t="s">
        <v>93</v>
      </c>
      <c r="E25" s="216" t="s">
        <v>62</v>
      </c>
      <c r="F25" s="20">
        <v>18000</v>
      </c>
      <c r="G25" s="21">
        <f t="shared" si="4"/>
        <v>34071.43</v>
      </c>
      <c r="H25" s="21">
        <v>0</v>
      </c>
      <c r="I25" s="21">
        <f>642.857142857143*25</f>
        <v>16071.43</v>
      </c>
      <c r="J25" s="37">
        <v>18000</v>
      </c>
      <c r="K25" s="21">
        <v>0</v>
      </c>
      <c r="L25" s="21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</row>
    <row r="26" spans="2:22" s="78" customFormat="1" ht="15" customHeight="1">
      <c r="B26" s="53"/>
      <c r="C26" s="19">
        <v>1</v>
      </c>
      <c r="D26" s="132" t="s">
        <v>59</v>
      </c>
      <c r="E26" s="216" t="s">
        <v>62</v>
      </c>
      <c r="F26" s="20">
        <v>17500</v>
      </c>
      <c r="G26" s="21">
        <f t="shared" ref="G26:G76" si="9">SUM(H26:S26)</f>
        <v>51370.97</v>
      </c>
      <c r="H26" s="21">
        <f t="shared" si="6"/>
        <v>16370.97</v>
      </c>
      <c r="I26" s="21">
        <f t="shared" si="7"/>
        <v>17500</v>
      </c>
      <c r="J26" s="37">
        <f t="shared" si="8"/>
        <v>17500</v>
      </c>
      <c r="K26" s="21">
        <v>0</v>
      </c>
      <c r="L26" s="21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</row>
    <row r="27" spans="2:22" s="78" customFormat="1" ht="15" customHeight="1">
      <c r="B27" s="53"/>
      <c r="C27" s="19">
        <v>1</v>
      </c>
      <c r="D27" s="132" t="s">
        <v>59</v>
      </c>
      <c r="E27" s="216" t="s">
        <v>62</v>
      </c>
      <c r="F27" s="20">
        <v>15000</v>
      </c>
      <c r="G27" s="21">
        <f t="shared" ref="G27:G29" si="10">SUM(H27:S27)</f>
        <v>44032.26</v>
      </c>
      <c r="H27" s="21">
        <f t="shared" ref="H27:H29" si="11">+F27*C27/31*29</f>
        <v>14032.26</v>
      </c>
      <c r="I27" s="21">
        <f t="shared" ref="I27:I29" si="12">+F27*C27</f>
        <v>15000</v>
      </c>
      <c r="J27" s="37">
        <f t="shared" ref="J27:J29" si="13">+F27*C27</f>
        <v>15000</v>
      </c>
      <c r="K27" s="21">
        <v>0</v>
      </c>
      <c r="L27" s="21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</row>
    <row r="28" spans="2:22" s="78" customFormat="1" ht="15" customHeight="1">
      <c r="B28" s="53"/>
      <c r="C28" s="19">
        <v>1</v>
      </c>
      <c r="D28" s="132" t="s">
        <v>59</v>
      </c>
      <c r="E28" s="216" t="s">
        <v>62</v>
      </c>
      <c r="F28" s="20">
        <v>15000</v>
      </c>
      <c r="G28" s="21">
        <f t="shared" si="10"/>
        <v>44032.26</v>
      </c>
      <c r="H28" s="21">
        <f t="shared" si="11"/>
        <v>14032.26</v>
      </c>
      <c r="I28" s="21">
        <f t="shared" si="12"/>
        <v>15000</v>
      </c>
      <c r="J28" s="37">
        <f t="shared" si="13"/>
        <v>15000</v>
      </c>
      <c r="K28" s="21">
        <v>0</v>
      </c>
      <c r="L28" s="21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</row>
    <row r="29" spans="2:22" s="78" customFormat="1" ht="15" customHeight="1">
      <c r="B29" s="53"/>
      <c r="C29" s="19">
        <v>1</v>
      </c>
      <c r="D29" s="132" t="s">
        <v>59</v>
      </c>
      <c r="E29" s="216" t="s">
        <v>62</v>
      </c>
      <c r="F29" s="20">
        <v>15000</v>
      </c>
      <c r="G29" s="21">
        <f t="shared" si="10"/>
        <v>44032.26</v>
      </c>
      <c r="H29" s="21">
        <f t="shared" si="11"/>
        <v>14032.26</v>
      </c>
      <c r="I29" s="21">
        <f t="shared" si="12"/>
        <v>15000</v>
      </c>
      <c r="J29" s="37">
        <f t="shared" si="13"/>
        <v>15000</v>
      </c>
      <c r="K29" s="21">
        <v>0</v>
      </c>
      <c r="L29" s="21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</row>
    <row r="30" spans="2:22" s="78" customFormat="1" ht="15" customHeight="1">
      <c r="B30" s="53"/>
      <c r="C30" s="19">
        <v>0</v>
      </c>
      <c r="D30" s="132" t="s">
        <v>71</v>
      </c>
      <c r="E30" s="216" t="s">
        <v>62</v>
      </c>
      <c r="F30" s="20">
        <v>15000</v>
      </c>
      <c r="G30" s="21">
        <f t="shared" si="9"/>
        <v>14032.26</v>
      </c>
      <c r="H30" s="21">
        <v>14032.26</v>
      </c>
      <c r="I30" s="21">
        <v>0</v>
      </c>
      <c r="J30" s="37">
        <v>0</v>
      </c>
      <c r="K30" s="21">
        <v>0</v>
      </c>
      <c r="L30" s="21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</row>
    <row r="31" spans="2:22" s="78" customFormat="1" ht="15" customHeight="1">
      <c r="B31" s="53"/>
      <c r="C31" s="19">
        <v>1</v>
      </c>
      <c r="D31" s="132" t="s">
        <v>59</v>
      </c>
      <c r="E31" s="216" t="s">
        <v>62</v>
      </c>
      <c r="F31" s="20">
        <v>15000</v>
      </c>
      <c r="G31" s="21">
        <f t="shared" si="9"/>
        <v>44032.26</v>
      </c>
      <c r="H31" s="21">
        <f t="shared" si="6"/>
        <v>14032.26</v>
      </c>
      <c r="I31" s="21">
        <f t="shared" si="7"/>
        <v>15000</v>
      </c>
      <c r="J31" s="37">
        <f t="shared" si="8"/>
        <v>15000</v>
      </c>
      <c r="K31" s="21">
        <v>0</v>
      </c>
      <c r="L31" s="21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</row>
    <row r="32" spans="2:22" s="133" customFormat="1" ht="15" customHeight="1">
      <c r="B32" s="53"/>
      <c r="C32" s="19">
        <v>0</v>
      </c>
      <c r="D32" s="132" t="s">
        <v>92</v>
      </c>
      <c r="E32" s="216" t="s">
        <v>62</v>
      </c>
      <c r="F32" s="20">
        <v>0</v>
      </c>
      <c r="G32" s="21">
        <f t="shared" si="9"/>
        <v>0</v>
      </c>
      <c r="H32" s="21">
        <v>0</v>
      </c>
      <c r="I32" s="21">
        <v>0</v>
      </c>
      <c r="J32" s="37">
        <f t="shared" si="8"/>
        <v>0</v>
      </c>
      <c r="K32" s="21">
        <v>0</v>
      </c>
      <c r="L32" s="21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</row>
    <row r="33" spans="2:19" s="78" customFormat="1" ht="15" customHeight="1">
      <c r="B33" s="53"/>
      <c r="C33" s="19">
        <v>1</v>
      </c>
      <c r="D33" s="132" t="s">
        <v>59</v>
      </c>
      <c r="E33" s="216" t="s">
        <v>62</v>
      </c>
      <c r="F33" s="20">
        <v>13500</v>
      </c>
      <c r="G33" s="21">
        <f t="shared" si="9"/>
        <v>39629.03</v>
      </c>
      <c r="H33" s="21">
        <f t="shared" si="6"/>
        <v>12629.03</v>
      </c>
      <c r="I33" s="21">
        <v>13500</v>
      </c>
      <c r="J33" s="37">
        <v>13500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</row>
    <row r="34" spans="2:19" s="78" customFormat="1" ht="15" customHeight="1">
      <c r="B34" s="53"/>
      <c r="C34" s="19">
        <v>0</v>
      </c>
      <c r="D34" s="132" t="s">
        <v>59</v>
      </c>
      <c r="E34" s="216" t="s">
        <v>61</v>
      </c>
      <c r="F34" s="20">
        <v>13500</v>
      </c>
      <c r="G34" s="21">
        <f t="shared" si="9"/>
        <v>0</v>
      </c>
      <c r="H34" s="21">
        <v>0</v>
      </c>
      <c r="I34" s="21">
        <v>0</v>
      </c>
      <c r="J34" s="37">
        <f t="shared" si="8"/>
        <v>0</v>
      </c>
      <c r="K34" s="21">
        <v>0</v>
      </c>
      <c r="L34" s="21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</row>
    <row r="35" spans="2:19" s="78" customFormat="1" ht="15" customHeight="1">
      <c r="B35" s="53"/>
      <c r="C35" s="253">
        <v>1</v>
      </c>
      <c r="D35" s="132" t="s">
        <v>139</v>
      </c>
      <c r="E35" s="216" t="s">
        <v>61</v>
      </c>
      <c r="F35" s="20">
        <v>13500</v>
      </c>
      <c r="G35" s="21">
        <f t="shared" si="9"/>
        <v>67500</v>
      </c>
      <c r="H35" s="21">
        <v>0</v>
      </c>
      <c r="I35" s="21">
        <v>0</v>
      </c>
      <c r="J35" s="37">
        <f>13500*2</f>
        <v>27000</v>
      </c>
      <c r="K35" s="21">
        <v>13500</v>
      </c>
      <c r="L35" s="21">
        <v>13500</v>
      </c>
      <c r="M35" s="21">
        <v>13500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</row>
    <row r="36" spans="2:19" s="78" customFormat="1" ht="15" customHeight="1">
      <c r="B36" s="53"/>
      <c r="C36" s="19">
        <v>1</v>
      </c>
      <c r="D36" s="132" t="s">
        <v>59</v>
      </c>
      <c r="E36" s="216" t="s">
        <v>62</v>
      </c>
      <c r="F36" s="20">
        <v>13000</v>
      </c>
      <c r="G36" s="21">
        <f t="shared" si="9"/>
        <v>38161.29</v>
      </c>
      <c r="H36" s="21">
        <f t="shared" si="6"/>
        <v>12161.29</v>
      </c>
      <c r="I36" s="21">
        <f t="shared" si="7"/>
        <v>13000</v>
      </c>
      <c r="J36" s="37">
        <f t="shared" si="8"/>
        <v>13000</v>
      </c>
      <c r="K36" s="21">
        <v>0</v>
      </c>
      <c r="L36" s="21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</row>
    <row r="37" spans="2:19" s="78" customFormat="1" ht="15" customHeight="1">
      <c r="B37" s="53"/>
      <c r="C37" s="19">
        <v>1</v>
      </c>
      <c r="D37" s="132" t="s">
        <v>59</v>
      </c>
      <c r="E37" s="216" t="s">
        <v>69</v>
      </c>
      <c r="F37" s="20">
        <v>12000</v>
      </c>
      <c r="G37" s="21">
        <f t="shared" ref="G37:G42" si="14">SUM(H37:S37)</f>
        <v>35225.81</v>
      </c>
      <c r="H37" s="21">
        <f t="shared" ref="H37:H42" si="15">+F37*C37/31*29</f>
        <v>11225.81</v>
      </c>
      <c r="I37" s="21">
        <f t="shared" ref="I37:I42" si="16">+F37*C37</f>
        <v>12000</v>
      </c>
      <c r="J37" s="37">
        <f t="shared" ref="J37:J42" si="17">+F37*C37</f>
        <v>12000</v>
      </c>
      <c r="K37" s="21">
        <v>0</v>
      </c>
      <c r="L37" s="21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</row>
    <row r="38" spans="2:19" s="78" customFormat="1" ht="15" customHeight="1">
      <c r="B38" s="53"/>
      <c r="C38" s="19">
        <v>1</v>
      </c>
      <c r="D38" s="132" t="s">
        <v>59</v>
      </c>
      <c r="E38" s="216" t="s">
        <v>62</v>
      </c>
      <c r="F38" s="20">
        <v>12000</v>
      </c>
      <c r="G38" s="21">
        <f t="shared" si="14"/>
        <v>35225.81</v>
      </c>
      <c r="H38" s="21">
        <f t="shared" si="15"/>
        <v>11225.81</v>
      </c>
      <c r="I38" s="21">
        <f t="shared" si="16"/>
        <v>12000</v>
      </c>
      <c r="J38" s="37">
        <f t="shared" si="17"/>
        <v>12000</v>
      </c>
      <c r="K38" s="21">
        <v>0</v>
      </c>
      <c r="L38" s="21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</row>
    <row r="39" spans="2:19" s="78" customFormat="1" ht="15" customHeight="1">
      <c r="B39" s="53"/>
      <c r="C39" s="19">
        <v>1</v>
      </c>
      <c r="D39" s="132" t="s">
        <v>59</v>
      </c>
      <c r="E39" s="216" t="s">
        <v>61</v>
      </c>
      <c r="F39" s="20">
        <v>12000</v>
      </c>
      <c r="G39" s="21">
        <f t="shared" si="14"/>
        <v>35225.81</v>
      </c>
      <c r="H39" s="21">
        <f t="shared" si="15"/>
        <v>11225.81</v>
      </c>
      <c r="I39" s="21">
        <f t="shared" si="16"/>
        <v>12000</v>
      </c>
      <c r="J39" s="37">
        <f t="shared" si="17"/>
        <v>12000</v>
      </c>
      <c r="K39" s="21">
        <v>0</v>
      </c>
      <c r="L39" s="21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</row>
    <row r="40" spans="2:19" s="78" customFormat="1" ht="15" customHeight="1">
      <c r="B40" s="53"/>
      <c r="C40" s="19">
        <v>1</v>
      </c>
      <c r="D40" s="132" t="s">
        <v>59</v>
      </c>
      <c r="E40" s="216" t="s">
        <v>62</v>
      </c>
      <c r="F40" s="20">
        <v>12000</v>
      </c>
      <c r="G40" s="21">
        <f t="shared" si="14"/>
        <v>35225.81</v>
      </c>
      <c r="H40" s="21">
        <f t="shared" si="15"/>
        <v>11225.81</v>
      </c>
      <c r="I40" s="21">
        <f t="shared" si="16"/>
        <v>12000</v>
      </c>
      <c r="J40" s="37">
        <f t="shared" si="17"/>
        <v>12000</v>
      </c>
      <c r="K40" s="21">
        <v>0</v>
      </c>
      <c r="L40" s="21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</row>
    <row r="41" spans="2:19" s="78" customFormat="1" ht="15" customHeight="1">
      <c r="B41" s="53"/>
      <c r="C41" s="19">
        <v>1</v>
      </c>
      <c r="D41" s="132" t="s">
        <v>59</v>
      </c>
      <c r="E41" s="216" t="s">
        <v>62</v>
      </c>
      <c r="F41" s="20">
        <v>12000</v>
      </c>
      <c r="G41" s="21">
        <f t="shared" si="14"/>
        <v>35225.81</v>
      </c>
      <c r="H41" s="21">
        <f t="shared" si="15"/>
        <v>11225.81</v>
      </c>
      <c r="I41" s="21">
        <f t="shared" si="16"/>
        <v>12000</v>
      </c>
      <c r="J41" s="37">
        <f t="shared" si="17"/>
        <v>12000</v>
      </c>
      <c r="K41" s="21">
        <v>0</v>
      </c>
      <c r="L41" s="21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</row>
    <row r="42" spans="2:19" s="78" customFormat="1" ht="15" customHeight="1">
      <c r="B42" s="53"/>
      <c r="C42" s="19">
        <v>1</v>
      </c>
      <c r="D42" s="132" t="s">
        <v>59</v>
      </c>
      <c r="E42" s="216" t="s">
        <v>69</v>
      </c>
      <c r="F42" s="20">
        <v>12000</v>
      </c>
      <c r="G42" s="21">
        <f t="shared" si="14"/>
        <v>35225.81</v>
      </c>
      <c r="H42" s="21">
        <f t="shared" si="15"/>
        <v>11225.81</v>
      </c>
      <c r="I42" s="21">
        <f t="shared" si="16"/>
        <v>12000</v>
      </c>
      <c r="J42" s="37">
        <f t="shared" si="17"/>
        <v>12000</v>
      </c>
      <c r="K42" s="21">
        <v>0</v>
      </c>
      <c r="L42" s="21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</row>
    <row r="43" spans="2:19" s="78" customFormat="1" ht="15" customHeight="1">
      <c r="B43" s="53"/>
      <c r="C43" s="19">
        <v>1</v>
      </c>
      <c r="D43" s="132" t="s">
        <v>59</v>
      </c>
      <c r="E43" s="216" t="s">
        <v>62</v>
      </c>
      <c r="F43" s="20">
        <v>12000</v>
      </c>
      <c r="G43" s="21">
        <f t="shared" ref="G43" si="18">SUM(H43:S43)</f>
        <v>35225.81</v>
      </c>
      <c r="H43" s="21">
        <f t="shared" ref="H43" si="19">+F43*C43/31*29</f>
        <v>11225.81</v>
      </c>
      <c r="I43" s="21">
        <f t="shared" ref="I43" si="20">+F43*C43</f>
        <v>12000</v>
      </c>
      <c r="J43" s="37">
        <f t="shared" ref="J43" si="21">+F43*C43</f>
        <v>12000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</row>
    <row r="44" spans="2:19" s="78" customFormat="1" ht="15" customHeight="1">
      <c r="B44" s="53"/>
      <c r="C44" s="19">
        <v>1</v>
      </c>
      <c r="D44" s="132" t="s">
        <v>59</v>
      </c>
      <c r="E44" s="216" t="s">
        <v>62</v>
      </c>
      <c r="F44" s="20">
        <v>12000</v>
      </c>
      <c r="G44" s="21">
        <f t="shared" si="9"/>
        <v>35225.81</v>
      </c>
      <c r="H44" s="21">
        <f t="shared" si="6"/>
        <v>11225.81</v>
      </c>
      <c r="I44" s="21">
        <f t="shared" si="7"/>
        <v>12000</v>
      </c>
      <c r="J44" s="37">
        <f t="shared" si="8"/>
        <v>12000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</row>
    <row r="45" spans="2:19" s="78" customFormat="1" ht="15" customHeight="1">
      <c r="B45" s="53"/>
      <c r="C45" s="19">
        <v>0</v>
      </c>
      <c r="D45" s="132" t="s">
        <v>59</v>
      </c>
      <c r="E45" s="216" t="s">
        <v>62</v>
      </c>
      <c r="F45" s="20">
        <v>12000</v>
      </c>
      <c r="G45" s="21">
        <v>0</v>
      </c>
      <c r="H45" s="21">
        <v>0</v>
      </c>
      <c r="I45" s="21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</row>
    <row r="46" spans="2:19" s="78" customFormat="1" ht="15" customHeight="1">
      <c r="B46" s="53"/>
      <c r="C46" s="253">
        <v>1</v>
      </c>
      <c r="D46" s="132" t="s">
        <v>110</v>
      </c>
      <c r="E46" s="216" t="s">
        <v>62</v>
      </c>
      <c r="F46" s="20">
        <v>12000</v>
      </c>
      <c r="G46" s="21">
        <f t="shared" si="9"/>
        <v>18000</v>
      </c>
      <c r="H46" s="21">
        <v>0</v>
      </c>
      <c r="I46" s="21">
        <v>0</v>
      </c>
      <c r="J46" s="21">
        <f>428.571428571429*14+12000</f>
        <v>18000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</row>
    <row r="47" spans="2:19" s="78" customFormat="1" ht="15" customHeight="1">
      <c r="B47" s="53"/>
      <c r="C47" s="253">
        <v>1</v>
      </c>
      <c r="D47" s="132" t="s">
        <v>111</v>
      </c>
      <c r="E47" s="216" t="s">
        <v>62</v>
      </c>
      <c r="F47" s="20">
        <v>12000</v>
      </c>
      <c r="G47" s="21">
        <f t="shared" ref="G47" si="22">SUM(H47:S47)</f>
        <v>17571.43</v>
      </c>
      <c r="H47" s="21">
        <v>0</v>
      </c>
      <c r="I47" s="21">
        <v>0</v>
      </c>
      <c r="J47" s="21">
        <f>428.571428571429*13+12000</f>
        <v>17571.43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</row>
    <row r="48" spans="2:19" s="78" customFormat="1" ht="15" customHeight="1">
      <c r="B48" s="53"/>
      <c r="C48" s="253">
        <v>1</v>
      </c>
      <c r="D48" s="132" t="s">
        <v>115</v>
      </c>
      <c r="E48" s="216" t="s">
        <v>61</v>
      </c>
      <c r="F48" s="20">
        <v>12000</v>
      </c>
      <c r="G48" s="21">
        <f t="shared" ref="G48" si="23">SUM(H48:S48)</f>
        <v>15428.57</v>
      </c>
      <c r="H48" s="21">
        <v>0</v>
      </c>
      <c r="I48" s="21">
        <v>0</v>
      </c>
      <c r="J48" s="21">
        <f>428.571428571429*8+12000</f>
        <v>15428.57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</row>
    <row r="49" spans="2:19" s="78" customFormat="1" ht="15" customHeight="1">
      <c r="B49" s="53"/>
      <c r="C49" s="253">
        <v>1</v>
      </c>
      <c r="D49" s="132" t="s">
        <v>116</v>
      </c>
      <c r="E49" s="216" t="s">
        <v>61</v>
      </c>
      <c r="F49" s="20">
        <v>12000</v>
      </c>
      <c r="G49" s="21">
        <f t="shared" ref="G49:G50" si="24">SUM(H49:S49)</f>
        <v>12000</v>
      </c>
      <c r="H49" s="21">
        <v>0</v>
      </c>
      <c r="I49" s="21">
        <v>0</v>
      </c>
      <c r="J49" s="21">
        <v>12000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</row>
    <row r="50" spans="2:19" s="78" customFormat="1" ht="15" customHeight="1">
      <c r="B50" s="53"/>
      <c r="C50" s="253">
        <v>1</v>
      </c>
      <c r="D50" s="132" t="s">
        <v>116</v>
      </c>
      <c r="E50" s="216" t="s">
        <v>62</v>
      </c>
      <c r="F50" s="20">
        <v>11000</v>
      </c>
      <c r="G50" s="21">
        <f t="shared" si="24"/>
        <v>11000</v>
      </c>
      <c r="H50" s="21">
        <v>0</v>
      </c>
      <c r="I50" s="21">
        <v>0</v>
      </c>
      <c r="J50" s="21">
        <v>11000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</row>
    <row r="51" spans="2:19" s="78" customFormat="1" ht="15" customHeight="1">
      <c r="B51" s="53"/>
      <c r="C51" s="19">
        <v>1</v>
      </c>
      <c r="D51" s="132" t="s">
        <v>59</v>
      </c>
      <c r="E51" s="216" t="s">
        <v>61</v>
      </c>
      <c r="F51" s="20">
        <v>10000</v>
      </c>
      <c r="G51" s="21">
        <f t="shared" ref="G51:G56" si="25">SUM(H51:S51)</f>
        <v>29354.84</v>
      </c>
      <c r="H51" s="21">
        <f t="shared" ref="H51:H56" si="26">+F51*C51/31*29</f>
        <v>9354.84</v>
      </c>
      <c r="I51" s="21">
        <f t="shared" ref="I51:I56" si="27">+F51*C51</f>
        <v>10000</v>
      </c>
      <c r="J51" s="37">
        <f t="shared" ref="J51:J56" si="28">+F51*C51</f>
        <v>10000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</row>
    <row r="52" spans="2:19" s="78" customFormat="1" ht="15" customHeight="1">
      <c r="B52" s="53"/>
      <c r="C52" s="19">
        <v>1</v>
      </c>
      <c r="D52" s="132" t="s">
        <v>59</v>
      </c>
      <c r="E52" s="216" t="s">
        <v>62</v>
      </c>
      <c r="F52" s="20">
        <v>10000</v>
      </c>
      <c r="G52" s="21">
        <f t="shared" si="25"/>
        <v>29354.84</v>
      </c>
      <c r="H52" s="21">
        <f t="shared" si="26"/>
        <v>9354.84</v>
      </c>
      <c r="I52" s="21">
        <f t="shared" si="27"/>
        <v>10000</v>
      </c>
      <c r="J52" s="37">
        <f t="shared" si="28"/>
        <v>10000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</row>
    <row r="53" spans="2:19" s="78" customFormat="1" ht="15" customHeight="1">
      <c r="B53" s="53"/>
      <c r="C53" s="19">
        <v>1</v>
      </c>
      <c r="D53" s="132" t="s">
        <v>59</v>
      </c>
      <c r="E53" s="216" t="s">
        <v>70</v>
      </c>
      <c r="F53" s="20">
        <v>10000</v>
      </c>
      <c r="G53" s="21">
        <f t="shared" si="25"/>
        <v>29354.84</v>
      </c>
      <c r="H53" s="21">
        <f t="shared" si="26"/>
        <v>9354.84</v>
      </c>
      <c r="I53" s="21">
        <f t="shared" si="27"/>
        <v>10000</v>
      </c>
      <c r="J53" s="37">
        <f t="shared" si="28"/>
        <v>10000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</row>
    <row r="54" spans="2:19" s="78" customFormat="1" ht="15" customHeight="1">
      <c r="B54" s="53"/>
      <c r="C54" s="19">
        <v>1</v>
      </c>
      <c r="D54" s="132" t="s">
        <v>59</v>
      </c>
      <c r="E54" s="216" t="s">
        <v>62</v>
      </c>
      <c r="F54" s="20">
        <v>10000</v>
      </c>
      <c r="G54" s="21">
        <f t="shared" si="25"/>
        <v>29354.84</v>
      </c>
      <c r="H54" s="21">
        <f t="shared" si="26"/>
        <v>9354.84</v>
      </c>
      <c r="I54" s="21">
        <f t="shared" si="27"/>
        <v>10000</v>
      </c>
      <c r="J54" s="37">
        <f t="shared" si="28"/>
        <v>10000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</row>
    <row r="55" spans="2:19" s="78" customFormat="1" ht="15" customHeight="1">
      <c r="B55" s="53"/>
      <c r="C55" s="19">
        <v>1</v>
      </c>
      <c r="D55" s="132" t="s">
        <v>59</v>
      </c>
      <c r="E55" s="216" t="s">
        <v>69</v>
      </c>
      <c r="F55" s="20">
        <v>10000</v>
      </c>
      <c r="G55" s="21">
        <f t="shared" si="25"/>
        <v>29354.84</v>
      </c>
      <c r="H55" s="21">
        <f t="shared" si="26"/>
        <v>9354.84</v>
      </c>
      <c r="I55" s="21">
        <f t="shared" si="27"/>
        <v>10000</v>
      </c>
      <c r="J55" s="37">
        <f t="shared" si="28"/>
        <v>10000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</row>
    <row r="56" spans="2:19" s="78" customFormat="1" ht="15" customHeight="1">
      <c r="B56" s="53"/>
      <c r="C56" s="19">
        <v>1</v>
      </c>
      <c r="D56" s="132" t="s">
        <v>59</v>
      </c>
      <c r="E56" s="216" t="s">
        <v>62</v>
      </c>
      <c r="F56" s="20">
        <v>10000</v>
      </c>
      <c r="G56" s="21">
        <f t="shared" si="25"/>
        <v>29354.84</v>
      </c>
      <c r="H56" s="21">
        <f t="shared" si="26"/>
        <v>9354.84</v>
      </c>
      <c r="I56" s="21">
        <f t="shared" si="27"/>
        <v>10000</v>
      </c>
      <c r="J56" s="37">
        <f t="shared" si="28"/>
        <v>10000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</row>
    <row r="57" spans="2:19" s="78" customFormat="1" ht="15" customHeight="1">
      <c r="B57" s="53"/>
      <c r="C57" s="19">
        <v>1</v>
      </c>
      <c r="D57" s="132" t="s">
        <v>59</v>
      </c>
      <c r="E57" s="216" t="s">
        <v>61</v>
      </c>
      <c r="F57" s="20">
        <v>10000</v>
      </c>
      <c r="G57" s="21">
        <f t="shared" si="9"/>
        <v>29354.84</v>
      </c>
      <c r="H57" s="21">
        <f t="shared" si="6"/>
        <v>9354.84</v>
      </c>
      <c r="I57" s="21">
        <f t="shared" si="7"/>
        <v>10000</v>
      </c>
      <c r="J57" s="37">
        <f t="shared" si="8"/>
        <v>10000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</row>
    <row r="58" spans="2:19" s="78" customFormat="1" ht="15" customHeight="1">
      <c r="B58" s="53"/>
      <c r="C58" s="19">
        <v>1</v>
      </c>
      <c r="D58" s="132" t="s">
        <v>59</v>
      </c>
      <c r="E58" s="216" t="s">
        <v>62</v>
      </c>
      <c r="F58" s="20">
        <v>10000</v>
      </c>
      <c r="G58" s="21">
        <f t="shared" ref="G58:G61" si="29">SUM(H58:S58)</f>
        <v>29354.84</v>
      </c>
      <c r="H58" s="21">
        <f t="shared" ref="H58:H61" si="30">+F58*C58/31*29</f>
        <v>9354.84</v>
      </c>
      <c r="I58" s="21">
        <f t="shared" ref="I58:I61" si="31">+F58*C58</f>
        <v>10000</v>
      </c>
      <c r="J58" s="37">
        <f t="shared" ref="J58:J61" si="32">+F58*C58</f>
        <v>10000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</row>
    <row r="59" spans="2:19" s="78" customFormat="1" ht="15" customHeight="1">
      <c r="B59" s="53"/>
      <c r="C59" s="19">
        <v>1</v>
      </c>
      <c r="D59" s="132" t="s">
        <v>59</v>
      </c>
      <c r="E59" s="216" t="s">
        <v>62</v>
      </c>
      <c r="F59" s="20">
        <v>10000</v>
      </c>
      <c r="G59" s="21">
        <f t="shared" si="29"/>
        <v>29354.84</v>
      </c>
      <c r="H59" s="21">
        <f t="shared" si="30"/>
        <v>9354.84</v>
      </c>
      <c r="I59" s="21">
        <f t="shared" si="31"/>
        <v>10000</v>
      </c>
      <c r="J59" s="37">
        <f t="shared" si="32"/>
        <v>10000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</row>
    <row r="60" spans="2:19" s="78" customFormat="1" ht="15" customHeight="1">
      <c r="B60" s="53"/>
      <c r="C60" s="19">
        <v>1</v>
      </c>
      <c r="D60" s="132" t="s">
        <v>59</v>
      </c>
      <c r="E60" s="216" t="s">
        <v>61</v>
      </c>
      <c r="F60" s="20">
        <v>10000</v>
      </c>
      <c r="G60" s="21">
        <f t="shared" si="29"/>
        <v>29354.84</v>
      </c>
      <c r="H60" s="21">
        <f t="shared" si="30"/>
        <v>9354.84</v>
      </c>
      <c r="I60" s="21">
        <f t="shared" si="31"/>
        <v>10000</v>
      </c>
      <c r="J60" s="37">
        <f t="shared" si="32"/>
        <v>10000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</row>
    <row r="61" spans="2:19" s="78" customFormat="1" ht="15" customHeight="1">
      <c r="B61" s="53"/>
      <c r="C61" s="19">
        <v>1</v>
      </c>
      <c r="D61" s="132" t="s">
        <v>59</v>
      </c>
      <c r="E61" s="216" t="s">
        <v>61</v>
      </c>
      <c r="F61" s="20">
        <v>10000</v>
      </c>
      <c r="G61" s="21">
        <f t="shared" si="29"/>
        <v>29354.84</v>
      </c>
      <c r="H61" s="21">
        <f t="shared" si="30"/>
        <v>9354.84</v>
      </c>
      <c r="I61" s="21">
        <f t="shared" si="31"/>
        <v>10000</v>
      </c>
      <c r="J61" s="37">
        <f t="shared" si="32"/>
        <v>10000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</row>
    <row r="62" spans="2:19" s="78" customFormat="1" ht="15" customHeight="1">
      <c r="B62" s="53"/>
      <c r="C62" s="19">
        <v>0</v>
      </c>
      <c r="D62" s="132" t="s">
        <v>59</v>
      </c>
      <c r="E62" s="216" t="s">
        <v>62</v>
      </c>
      <c r="F62" s="20">
        <v>10000</v>
      </c>
      <c r="G62" s="21">
        <v>0</v>
      </c>
      <c r="H62" s="21">
        <v>0</v>
      </c>
      <c r="I62" s="21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</row>
    <row r="63" spans="2:19" s="78" customFormat="1" ht="15" customHeight="1">
      <c r="B63" s="53"/>
      <c r="C63" s="19">
        <v>0</v>
      </c>
      <c r="D63" s="132" t="s">
        <v>59</v>
      </c>
      <c r="E63" s="216" t="s">
        <v>62</v>
      </c>
      <c r="F63" s="20">
        <v>10000</v>
      </c>
      <c r="G63" s="21">
        <v>0</v>
      </c>
      <c r="H63" s="21">
        <v>0</v>
      </c>
      <c r="I63" s="21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</row>
    <row r="64" spans="2:19" s="78" customFormat="1" ht="15" customHeight="1">
      <c r="B64" s="53"/>
      <c r="C64" s="253">
        <v>1</v>
      </c>
      <c r="D64" s="132" t="s">
        <v>116</v>
      </c>
      <c r="E64" s="216" t="s">
        <v>62</v>
      </c>
      <c r="F64" s="20">
        <v>10000</v>
      </c>
      <c r="G64" s="21">
        <f t="shared" ref="G64" si="33">SUM(H64:S64)</f>
        <v>10000</v>
      </c>
      <c r="H64" s="21">
        <v>0</v>
      </c>
      <c r="I64" s="21">
        <v>0</v>
      </c>
      <c r="J64" s="21">
        <v>10000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</row>
    <row r="65" spans="2:19" s="78" customFormat="1" ht="15" customHeight="1">
      <c r="B65" s="53"/>
      <c r="C65" s="19">
        <v>1</v>
      </c>
      <c r="D65" s="132" t="s">
        <v>59</v>
      </c>
      <c r="E65" s="216" t="s">
        <v>69</v>
      </c>
      <c r="F65" s="20">
        <v>9000</v>
      </c>
      <c r="G65" s="21">
        <f t="shared" si="9"/>
        <v>26419.35</v>
      </c>
      <c r="H65" s="21">
        <f t="shared" si="6"/>
        <v>8419.35</v>
      </c>
      <c r="I65" s="21">
        <f t="shared" si="7"/>
        <v>9000</v>
      </c>
      <c r="J65" s="37">
        <f t="shared" si="8"/>
        <v>9000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</row>
    <row r="66" spans="2:19" s="78" customFormat="1" ht="15" customHeight="1">
      <c r="B66" s="53"/>
      <c r="C66" s="253">
        <v>1</v>
      </c>
      <c r="D66" s="132" t="s">
        <v>111</v>
      </c>
      <c r="E66" s="216" t="s">
        <v>62</v>
      </c>
      <c r="F66" s="20">
        <v>9000</v>
      </c>
      <c r="G66" s="21">
        <f t="shared" si="9"/>
        <v>13178.57</v>
      </c>
      <c r="H66" s="21">
        <v>0</v>
      </c>
      <c r="I66" s="21">
        <v>0</v>
      </c>
      <c r="J66" s="21">
        <f>321.428571428571*13+9000</f>
        <v>13178.57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</row>
    <row r="67" spans="2:19" s="133" customFormat="1" ht="15" customHeight="1">
      <c r="B67" s="53"/>
      <c r="C67" s="19">
        <v>0</v>
      </c>
      <c r="D67" s="132" t="s">
        <v>137</v>
      </c>
      <c r="E67" s="216" t="s">
        <v>61</v>
      </c>
      <c r="F67" s="20">
        <v>8500</v>
      </c>
      <c r="G67" s="21">
        <f t="shared" si="9"/>
        <v>7951.61</v>
      </c>
      <c r="H67" s="21">
        <v>7951.61</v>
      </c>
      <c r="I67" s="21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</row>
    <row r="68" spans="2:19" s="133" customFormat="1" ht="15" customHeight="1">
      <c r="B68" s="53"/>
      <c r="C68" s="19">
        <v>1</v>
      </c>
      <c r="D68" s="132" t="s">
        <v>59</v>
      </c>
      <c r="E68" s="216" t="s">
        <v>69</v>
      </c>
      <c r="F68" s="20">
        <v>8000</v>
      </c>
      <c r="G68" s="21">
        <f t="shared" ref="G68" si="34">SUM(H68:S68)</f>
        <v>23483.87</v>
      </c>
      <c r="H68" s="21">
        <f t="shared" si="6"/>
        <v>7483.87</v>
      </c>
      <c r="I68" s="21">
        <f t="shared" si="7"/>
        <v>8000</v>
      </c>
      <c r="J68" s="37">
        <f t="shared" si="8"/>
        <v>8000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</row>
    <row r="69" spans="2:19" s="78" customFormat="1" ht="15" customHeight="1">
      <c r="B69" s="53"/>
      <c r="C69" s="19">
        <v>1</v>
      </c>
      <c r="D69" s="132" t="s">
        <v>59</v>
      </c>
      <c r="E69" s="216" t="s">
        <v>69</v>
      </c>
      <c r="F69" s="20">
        <v>8000</v>
      </c>
      <c r="G69" s="21">
        <f t="shared" si="9"/>
        <v>23483.87</v>
      </c>
      <c r="H69" s="21">
        <f t="shared" si="6"/>
        <v>7483.87</v>
      </c>
      <c r="I69" s="21">
        <f t="shared" si="7"/>
        <v>8000</v>
      </c>
      <c r="J69" s="37">
        <f t="shared" si="8"/>
        <v>8000</v>
      </c>
      <c r="K69" s="21">
        <v>0</v>
      </c>
      <c r="L69" s="21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</row>
    <row r="70" spans="2:19" s="78" customFormat="1" ht="15" customHeight="1">
      <c r="B70" s="53"/>
      <c r="C70" s="19">
        <v>1</v>
      </c>
      <c r="D70" s="132" t="s">
        <v>59</v>
      </c>
      <c r="E70" s="216" t="s">
        <v>62</v>
      </c>
      <c r="F70" s="20">
        <v>8000</v>
      </c>
      <c r="G70" s="21">
        <f t="shared" ref="G70:G71" si="35">SUM(H70:S70)</f>
        <v>23483.87</v>
      </c>
      <c r="H70" s="21">
        <f t="shared" ref="H70:H71" si="36">+F70*C70/31*29</f>
        <v>7483.87</v>
      </c>
      <c r="I70" s="21">
        <f t="shared" ref="I70:I71" si="37">+F70*C70</f>
        <v>8000</v>
      </c>
      <c r="J70" s="37">
        <f t="shared" ref="J70:J71" si="38">+F70*C70</f>
        <v>8000</v>
      </c>
      <c r="K70" s="21">
        <v>0</v>
      </c>
      <c r="L70" s="21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</row>
    <row r="71" spans="2:19" s="78" customFormat="1" ht="15" customHeight="1">
      <c r="B71" s="53"/>
      <c r="C71" s="19">
        <v>1</v>
      </c>
      <c r="D71" s="132" t="s">
        <v>59</v>
      </c>
      <c r="E71" s="216" t="s">
        <v>61</v>
      </c>
      <c r="F71" s="20">
        <v>8000</v>
      </c>
      <c r="G71" s="21">
        <f t="shared" si="35"/>
        <v>23483.87</v>
      </c>
      <c r="H71" s="21">
        <f t="shared" si="36"/>
        <v>7483.87</v>
      </c>
      <c r="I71" s="21">
        <f t="shared" si="37"/>
        <v>8000</v>
      </c>
      <c r="J71" s="37">
        <f t="shared" si="38"/>
        <v>8000</v>
      </c>
      <c r="K71" s="21">
        <v>0</v>
      </c>
      <c r="L71" s="21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</row>
    <row r="72" spans="2:19" s="78" customFormat="1" ht="15" customHeight="1">
      <c r="B72" s="53"/>
      <c r="C72" s="253">
        <v>1</v>
      </c>
      <c r="D72" s="132" t="s">
        <v>109</v>
      </c>
      <c r="E72" s="216" t="s">
        <v>61</v>
      </c>
      <c r="F72" s="20">
        <v>8000</v>
      </c>
      <c r="G72" s="21">
        <f t="shared" ref="G72" si="39">SUM(H72:S72)</f>
        <v>14285.71</v>
      </c>
      <c r="H72" s="21">
        <v>0</v>
      </c>
      <c r="I72" s="21">
        <v>0</v>
      </c>
      <c r="J72" s="21">
        <f>285.714285714286*22+8000</f>
        <v>14285.71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</row>
    <row r="73" spans="2:19" s="78" customFormat="1" ht="15" customHeight="1">
      <c r="B73" s="53"/>
      <c r="C73" s="253">
        <v>1</v>
      </c>
      <c r="D73" s="132" t="s">
        <v>111</v>
      </c>
      <c r="E73" s="216" t="s">
        <v>61</v>
      </c>
      <c r="F73" s="20">
        <v>8000</v>
      </c>
      <c r="G73" s="21">
        <f t="shared" ref="G73" si="40">SUM(H73:S73)</f>
        <v>11714.29</v>
      </c>
      <c r="H73" s="21">
        <v>0</v>
      </c>
      <c r="I73" s="21">
        <v>0</v>
      </c>
      <c r="J73" s="21">
        <f>285.714285714286*13+8000</f>
        <v>11714.29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</row>
    <row r="74" spans="2:19" s="78" customFormat="1" ht="15" customHeight="1">
      <c r="B74" s="53"/>
      <c r="C74" s="253">
        <v>1</v>
      </c>
      <c r="D74" s="132" t="s">
        <v>111</v>
      </c>
      <c r="E74" s="216" t="s">
        <v>61</v>
      </c>
      <c r="F74" s="20">
        <v>8000</v>
      </c>
      <c r="G74" s="21">
        <f t="shared" ref="G74" si="41">SUM(H74:S74)</f>
        <v>11714.29</v>
      </c>
      <c r="H74" s="21">
        <v>0</v>
      </c>
      <c r="I74" s="21">
        <v>0</v>
      </c>
      <c r="J74" s="21">
        <f>285.714285714286*13+8000</f>
        <v>11714.29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</row>
    <row r="75" spans="2:19" s="78" customFormat="1" ht="15" customHeight="1">
      <c r="B75" s="53"/>
      <c r="C75" s="253">
        <v>1</v>
      </c>
      <c r="D75" s="132" t="s">
        <v>111</v>
      </c>
      <c r="E75" s="216" t="s">
        <v>61</v>
      </c>
      <c r="F75" s="20">
        <v>8000</v>
      </c>
      <c r="G75" s="21">
        <f t="shared" ref="G75" si="42">SUM(H75:S75)</f>
        <v>11714.29</v>
      </c>
      <c r="H75" s="21">
        <v>0</v>
      </c>
      <c r="I75" s="21">
        <v>0</v>
      </c>
      <c r="J75" s="21">
        <f>285.714285714286*13+8000</f>
        <v>11714.29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</row>
    <row r="76" spans="2:19" s="78" customFormat="1" ht="15" customHeight="1">
      <c r="B76" s="53"/>
      <c r="C76" s="19">
        <v>1</v>
      </c>
      <c r="D76" s="132" t="s">
        <v>59</v>
      </c>
      <c r="E76" s="216" t="s">
        <v>69</v>
      </c>
      <c r="F76" s="20">
        <v>7000</v>
      </c>
      <c r="G76" s="21">
        <f t="shared" si="9"/>
        <v>20548.39</v>
      </c>
      <c r="H76" s="21">
        <f t="shared" si="6"/>
        <v>6548.39</v>
      </c>
      <c r="I76" s="21">
        <f t="shared" si="7"/>
        <v>7000</v>
      </c>
      <c r="J76" s="37">
        <f t="shared" si="8"/>
        <v>7000</v>
      </c>
      <c r="K76" s="21">
        <v>0</v>
      </c>
      <c r="L76" s="21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</row>
    <row r="77" spans="2:19" s="78" customFormat="1" ht="15" customHeight="1">
      <c r="B77" s="53"/>
      <c r="C77" s="19">
        <v>1</v>
      </c>
      <c r="D77" s="132" t="s">
        <v>59</v>
      </c>
      <c r="E77" s="216" t="s">
        <v>69</v>
      </c>
      <c r="F77" s="20">
        <v>7000</v>
      </c>
      <c r="G77" s="21">
        <f t="shared" ref="G77:G82" si="43">SUM(H77:S77)</f>
        <v>20548.39</v>
      </c>
      <c r="H77" s="21">
        <f t="shared" ref="H77:H82" si="44">+F77*C77/31*29</f>
        <v>6548.39</v>
      </c>
      <c r="I77" s="21">
        <f t="shared" ref="I77:I82" si="45">+F77*C77</f>
        <v>7000</v>
      </c>
      <c r="J77" s="37">
        <f t="shared" ref="J77:J82" si="46">+F77*C77</f>
        <v>7000</v>
      </c>
      <c r="K77" s="21">
        <v>0</v>
      </c>
      <c r="L77" s="21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</row>
    <row r="78" spans="2:19" s="78" customFormat="1" ht="15" customHeight="1">
      <c r="B78" s="53"/>
      <c r="C78" s="19">
        <v>1</v>
      </c>
      <c r="D78" s="132" t="s">
        <v>59</v>
      </c>
      <c r="E78" s="216" t="s">
        <v>69</v>
      </c>
      <c r="F78" s="20">
        <v>7000</v>
      </c>
      <c r="G78" s="21">
        <f t="shared" si="43"/>
        <v>20548.39</v>
      </c>
      <c r="H78" s="21">
        <f t="shared" si="44"/>
        <v>6548.39</v>
      </c>
      <c r="I78" s="21">
        <f t="shared" si="45"/>
        <v>7000</v>
      </c>
      <c r="J78" s="37">
        <f t="shared" si="46"/>
        <v>7000</v>
      </c>
      <c r="K78" s="21">
        <v>0</v>
      </c>
      <c r="L78" s="21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</row>
    <row r="79" spans="2:19" s="78" customFormat="1" ht="15" customHeight="1">
      <c r="B79" s="53"/>
      <c r="C79" s="19">
        <v>1</v>
      </c>
      <c r="D79" s="132" t="s">
        <v>59</v>
      </c>
      <c r="E79" s="216" t="s">
        <v>69</v>
      </c>
      <c r="F79" s="20">
        <v>7000</v>
      </c>
      <c r="G79" s="21">
        <f t="shared" si="43"/>
        <v>20548.39</v>
      </c>
      <c r="H79" s="21">
        <f t="shared" si="44"/>
        <v>6548.39</v>
      </c>
      <c r="I79" s="21">
        <f t="shared" si="45"/>
        <v>7000</v>
      </c>
      <c r="J79" s="37">
        <f t="shared" si="46"/>
        <v>7000</v>
      </c>
      <c r="K79" s="21">
        <v>0</v>
      </c>
      <c r="L79" s="21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</row>
    <row r="80" spans="2:19" s="78" customFormat="1" ht="15" customHeight="1">
      <c r="B80" s="53"/>
      <c r="C80" s="19">
        <v>1</v>
      </c>
      <c r="D80" s="132" t="s">
        <v>59</v>
      </c>
      <c r="E80" s="216" t="s">
        <v>61</v>
      </c>
      <c r="F80" s="20">
        <v>7000</v>
      </c>
      <c r="G80" s="21">
        <f t="shared" si="43"/>
        <v>20548.39</v>
      </c>
      <c r="H80" s="21">
        <f t="shared" si="44"/>
        <v>6548.39</v>
      </c>
      <c r="I80" s="21">
        <f t="shared" si="45"/>
        <v>7000</v>
      </c>
      <c r="J80" s="37">
        <f t="shared" si="46"/>
        <v>7000</v>
      </c>
      <c r="K80" s="21">
        <v>0</v>
      </c>
      <c r="L80" s="21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</row>
    <row r="81" spans="2:19" s="78" customFormat="1" ht="15" customHeight="1">
      <c r="B81" s="53"/>
      <c r="C81" s="19">
        <v>1</v>
      </c>
      <c r="D81" s="132" t="s">
        <v>59</v>
      </c>
      <c r="E81" s="216" t="s">
        <v>61</v>
      </c>
      <c r="F81" s="20">
        <v>7000</v>
      </c>
      <c r="G81" s="21">
        <f t="shared" si="43"/>
        <v>20548.39</v>
      </c>
      <c r="H81" s="21">
        <f t="shared" si="44"/>
        <v>6548.39</v>
      </c>
      <c r="I81" s="21">
        <f t="shared" si="45"/>
        <v>7000</v>
      </c>
      <c r="J81" s="37">
        <f t="shared" si="46"/>
        <v>7000</v>
      </c>
      <c r="K81" s="21">
        <v>0</v>
      </c>
      <c r="L81" s="21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</row>
    <row r="82" spans="2:19" s="78" customFormat="1" ht="15" customHeight="1">
      <c r="B82" s="53"/>
      <c r="C82" s="19">
        <v>1</v>
      </c>
      <c r="D82" s="132" t="s">
        <v>59</v>
      </c>
      <c r="E82" s="216" t="s">
        <v>61</v>
      </c>
      <c r="F82" s="20">
        <v>7000</v>
      </c>
      <c r="G82" s="21">
        <f t="shared" si="43"/>
        <v>20548.39</v>
      </c>
      <c r="H82" s="21">
        <f t="shared" si="44"/>
        <v>6548.39</v>
      </c>
      <c r="I82" s="21">
        <f t="shared" si="45"/>
        <v>7000</v>
      </c>
      <c r="J82" s="37">
        <f t="shared" si="46"/>
        <v>7000</v>
      </c>
      <c r="K82" s="21">
        <v>0</v>
      </c>
      <c r="L82" s="21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</row>
    <row r="83" spans="2:19" s="78" customFormat="1" ht="15" customHeight="1">
      <c r="B83" s="53"/>
      <c r="C83" s="19">
        <v>1</v>
      </c>
      <c r="D83" s="132" t="s">
        <v>59</v>
      </c>
      <c r="E83" s="216" t="s">
        <v>61</v>
      </c>
      <c r="F83" s="20">
        <v>7000</v>
      </c>
      <c r="G83" s="21">
        <f t="shared" ref="G83:G103" si="47">SUM(H83:S83)</f>
        <v>20548.39</v>
      </c>
      <c r="H83" s="21">
        <f t="shared" si="6"/>
        <v>6548.39</v>
      </c>
      <c r="I83" s="21">
        <f t="shared" si="7"/>
        <v>7000</v>
      </c>
      <c r="J83" s="37">
        <f t="shared" si="8"/>
        <v>7000</v>
      </c>
      <c r="K83" s="21">
        <v>0</v>
      </c>
      <c r="L83" s="21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</row>
    <row r="84" spans="2:19" s="78" customFormat="1" ht="15" customHeight="1">
      <c r="B84" s="53"/>
      <c r="C84" s="19">
        <v>1</v>
      </c>
      <c r="D84" s="132" t="s">
        <v>59</v>
      </c>
      <c r="E84" s="216" t="s">
        <v>69</v>
      </c>
      <c r="F84" s="20">
        <v>6000</v>
      </c>
      <c r="G84" s="21">
        <f t="shared" si="47"/>
        <v>17612.900000000001</v>
      </c>
      <c r="H84" s="21">
        <f t="shared" si="6"/>
        <v>5612.9</v>
      </c>
      <c r="I84" s="21">
        <f t="shared" si="7"/>
        <v>6000</v>
      </c>
      <c r="J84" s="37">
        <f t="shared" si="8"/>
        <v>6000</v>
      </c>
      <c r="K84" s="21">
        <v>0</v>
      </c>
      <c r="L84" s="21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</row>
    <row r="85" spans="2:19" s="78" customFormat="1" ht="15" customHeight="1">
      <c r="B85" s="53"/>
      <c r="C85" s="19">
        <v>1</v>
      </c>
      <c r="D85" s="132" t="s">
        <v>59</v>
      </c>
      <c r="E85" s="216" t="s">
        <v>69</v>
      </c>
      <c r="F85" s="20">
        <v>6000</v>
      </c>
      <c r="G85" s="21">
        <f t="shared" ref="G85:G91" si="48">SUM(H85:S85)</f>
        <v>17612.900000000001</v>
      </c>
      <c r="H85" s="21">
        <f t="shared" ref="H85:H91" si="49">+F85*C85/31*29</f>
        <v>5612.9</v>
      </c>
      <c r="I85" s="21">
        <f t="shared" ref="I85:I91" si="50">+F85*C85</f>
        <v>6000</v>
      </c>
      <c r="J85" s="37">
        <f t="shared" ref="J85:J91" si="51">+F85*C85</f>
        <v>6000</v>
      </c>
      <c r="K85" s="21">
        <v>0</v>
      </c>
      <c r="L85" s="21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</row>
    <row r="86" spans="2:19" s="78" customFormat="1" ht="15" customHeight="1">
      <c r="B86" s="53"/>
      <c r="C86" s="19">
        <v>1</v>
      </c>
      <c r="D86" s="132" t="s">
        <v>59</v>
      </c>
      <c r="E86" s="216" t="s">
        <v>69</v>
      </c>
      <c r="F86" s="20">
        <v>6000</v>
      </c>
      <c r="G86" s="21">
        <f t="shared" si="48"/>
        <v>17612.900000000001</v>
      </c>
      <c r="H86" s="21">
        <f t="shared" si="49"/>
        <v>5612.9</v>
      </c>
      <c r="I86" s="21">
        <f t="shared" si="50"/>
        <v>6000</v>
      </c>
      <c r="J86" s="37">
        <f t="shared" si="51"/>
        <v>6000</v>
      </c>
      <c r="K86" s="21">
        <v>0</v>
      </c>
      <c r="L86" s="21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</row>
    <row r="87" spans="2:19" s="78" customFormat="1" ht="15" customHeight="1">
      <c r="B87" s="53"/>
      <c r="C87" s="19">
        <v>1</v>
      </c>
      <c r="D87" s="132" t="s">
        <v>59</v>
      </c>
      <c r="E87" s="216" t="s">
        <v>62</v>
      </c>
      <c r="F87" s="20">
        <v>6000</v>
      </c>
      <c r="G87" s="21">
        <f t="shared" si="48"/>
        <v>17612.900000000001</v>
      </c>
      <c r="H87" s="21">
        <f t="shared" si="49"/>
        <v>5612.9</v>
      </c>
      <c r="I87" s="21">
        <f t="shared" si="50"/>
        <v>6000</v>
      </c>
      <c r="J87" s="37">
        <f t="shared" si="51"/>
        <v>6000</v>
      </c>
      <c r="K87" s="21">
        <v>0</v>
      </c>
      <c r="L87" s="21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</row>
    <row r="88" spans="2:19" s="78" customFormat="1" ht="15" customHeight="1">
      <c r="B88" s="53"/>
      <c r="C88" s="19">
        <v>1</v>
      </c>
      <c r="D88" s="132" t="s">
        <v>59</v>
      </c>
      <c r="E88" s="216" t="s">
        <v>69</v>
      </c>
      <c r="F88" s="20">
        <v>6000</v>
      </c>
      <c r="G88" s="21">
        <f t="shared" si="48"/>
        <v>17612.900000000001</v>
      </c>
      <c r="H88" s="21">
        <f t="shared" si="49"/>
        <v>5612.9</v>
      </c>
      <c r="I88" s="21">
        <f t="shared" si="50"/>
        <v>6000</v>
      </c>
      <c r="J88" s="37">
        <f t="shared" si="51"/>
        <v>6000</v>
      </c>
      <c r="K88" s="21">
        <v>0</v>
      </c>
      <c r="L88" s="21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</row>
    <row r="89" spans="2:19" s="78" customFormat="1" ht="15" customHeight="1">
      <c r="B89" s="53"/>
      <c r="C89" s="19">
        <v>1</v>
      </c>
      <c r="D89" s="132" t="s">
        <v>59</v>
      </c>
      <c r="E89" s="216" t="s">
        <v>69</v>
      </c>
      <c r="F89" s="20">
        <v>6000</v>
      </c>
      <c r="G89" s="21">
        <f t="shared" si="48"/>
        <v>17612.900000000001</v>
      </c>
      <c r="H89" s="21">
        <f t="shared" si="49"/>
        <v>5612.9</v>
      </c>
      <c r="I89" s="21">
        <f t="shared" si="50"/>
        <v>6000</v>
      </c>
      <c r="J89" s="37">
        <f t="shared" si="51"/>
        <v>6000</v>
      </c>
      <c r="K89" s="21">
        <v>0</v>
      </c>
      <c r="L89" s="21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</row>
    <row r="90" spans="2:19" s="78" customFormat="1" ht="15" customHeight="1">
      <c r="B90" s="53"/>
      <c r="C90" s="19">
        <v>1</v>
      </c>
      <c r="D90" s="132" t="s">
        <v>59</v>
      </c>
      <c r="E90" s="216" t="s">
        <v>61</v>
      </c>
      <c r="F90" s="20">
        <v>6000</v>
      </c>
      <c r="G90" s="21">
        <f t="shared" si="48"/>
        <v>17612.900000000001</v>
      </c>
      <c r="H90" s="21">
        <f t="shared" si="49"/>
        <v>5612.9</v>
      </c>
      <c r="I90" s="21">
        <f t="shared" si="50"/>
        <v>6000</v>
      </c>
      <c r="J90" s="37">
        <f t="shared" si="51"/>
        <v>6000</v>
      </c>
      <c r="K90" s="21">
        <v>0</v>
      </c>
      <c r="L90" s="21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</row>
    <row r="91" spans="2:19" s="78" customFormat="1" ht="15" customHeight="1">
      <c r="B91" s="53"/>
      <c r="C91" s="19">
        <v>1</v>
      </c>
      <c r="D91" s="132" t="s">
        <v>59</v>
      </c>
      <c r="E91" s="216" t="s">
        <v>61</v>
      </c>
      <c r="F91" s="20">
        <v>6000</v>
      </c>
      <c r="G91" s="21">
        <f t="shared" si="48"/>
        <v>17612.900000000001</v>
      </c>
      <c r="H91" s="21">
        <f t="shared" si="49"/>
        <v>5612.9</v>
      </c>
      <c r="I91" s="21">
        <f t="shared" si="50"/>
        <v>6000</v>
      </c>
      <c r="J91" s="37">
        <f t="shared" si="51"/>
        <v>6000</v>
      </c>
      <c r="K91" s="21">
        <v>0</v>
      </c>
      <c r="L91" s="21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</row>
    <row r="92" spans="2:19" s="78" customFormat="1" ht="15" customHeight="1">
      <c r="B92" s="53"/>
      <c r="C92" s="19">
        <v>1</v>
      </c>
      <c r="D92" s="132" t="s">
        <v>59</v>
      </c>
      <c r="E92" s="216" t="s">
        <v>62</v>
      </c>
      <c r="F92" s="20">
        <v>6000</v>
      </c>
      <c r="G92" s="21">
        <f t="shared" si="47"/>
        <v>17612.900000000001</v>
      </c>
      <c r="H92" s="21">
        <f t="shared" si="6"/>
        <v>5612.9</v>
      </c>
      <c r="I92" s="21">
        <f t="shared" si="7"/>
        <v>6000</v>
      </c>
      <c r="J92" s="37">
        <f t="shared" si="8"/>
        <v>6000</v>
      </c>
      <c r="K92" s="21">
        <v>0</v>
      </c>
      <c r="L92" s="21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</row>
    <row r="93" spans="2:19" s="78" customFormat="1" ht="15" customHeight="1">
      <c r="B93" s="53"/>
      <c r="C93" s="19">
        <v>0</v>
      </c>
      <c r="D93" s="132" t="s">
        <v>136</v>
      </c>
      <c r="E93" s="216" t="s">
        <v>61</v>
      </c>
      <c r="F93" s="20">
        <v>6000</v>
      </c>
      <c r="G93" s="21">
        <f t="shared" ref="G93" si="52">SUM(H93:S93)</f>
        <v>5612.9</v>
      </c>
      <c r="H93" s="21">
        <v>5612.9</v>
      </c>
      <c r="I93" s="21">
        <v>0</v>
      </c>
      <c r="J93" s="37">
        <v>0</v>
      </c>
      <c r="K93" s="21">
        <v>0</v>
      </c>
      <c r="L93" s="21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</row>
    <row r="94" spans="2:19" s="78" customFormat="1" ht="15" customHeight="1">
      <c r="B94" s="53"/>
      <c r="C94" s="19">
        <v>1</v>
      </c>
      <c r="D94" s="132" t="s">
        <v>59</v>
      </c>
      <c r="E94" s="216" t="s">
        <v>69</v>
      </c>
      <c r="F94" s="20">
        <v>5500</v>
      </c>
      <c r="G94" s="21">
        <f t="shared" si="47"/>
        <v>16145.16</v>
      </c>
      <c r="H94" s="21">
        <f t="shared" si="6"/>
        <v>5145.16</v>
      </c>
      <c r="I94" s="21">
        <f t="shared" si="7"/>
        <v>5500</v>
      </c>
      <c r="J94" s="37">
        <f t="shared" si="8"/>
        <v>5500</v>
      </c>
      <c r="K94" s="21">
        <v>0</v>
      </c>
      <c r="L94" s="21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</row>
    <row r="95" spans="2:19" s="78" customFormat="1" ht="15" customHeight="1">
      <c r="B95" s="53"/>
      <c r="C95" s="19">
        <v>1</v>
      </c>
      <c r="D95" s="132" t="s">
        <v>59</v>
      </c>
      <c r="E95" s="216" t="s">
        <v>69</v>
      </c>
      <c r="F95" s="20">
        <v>5500</v>
      </c>
      <c r="G95" s="21">
        <f t="shared" ref="G95:G98" si="53">SUM(H95:S95)</f>
        <v>16145.16</v>
      </c>
      <c r="H95" s="21">
        <f t="shared" ref="H95:H97" si="54">+F95*C95/31*29</f>
        <v>5145.16</v>
      </c>
      <c r="I95" s="21">
        <f t="shared" ref="I95:I97" si="55">+F95*C95</f>
        <v>5500</v>
      </c>
      <c r="J95" s="37">
        <f t="shared" ref="J95:J97" si="56">+F95*C95</f>
        <v>5500</v>
      </c>
      <c r="K95" s="21">
        <v>0</v>
      </c>
      <c r="L95" s="21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</row>
    <row r="96" spans="2:19" s="78" customFormat="1" ht="15" customHeight="1">
      <c r="B96" s="53"/>
      <c r="C96" s="19">
        <v>1</v>
      </c>
      <c r="D96" s="132" t="s">
        <v>59</v>
      </c>
      <c r="E96" s="216" t="s">
        <v>69</v>
      </c>
      <c r="F96" s="20">
        <v>5000</v>
      </c>
      <c r="G96" s="21">
        <f t="shared" si="53"/>
        <v>14677.42</v>
      </c>
      <c r="H96" s="21">
        <f t="shared" si="54"/>
        <v>4677.42</v>
      </c>
      <c r="I96" s="21">
        <f t="shared" si="55"/>
        <v>5000</v>
      </c>
      <c r="J96" s="37">
        <f t="shared" si="56"/>
        <v>5000</v>
      </c>
      <c r="K96" s="21">
        <v>0</v>
      </c>
      <c r="L96" s="21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</row>
    <row r="97" spans="2:283" s="78" customFormat="1" ht="15" customHeight="1">
      <c r="B97" s="53"/>
      <c r="C97" s="19">
        <v>1</v>
      </c>
      <c r="D97" s="132" t="s">
        <v>59</v>
      </c>
      <c r="E97" s="216" t="s">
        <v>61</v>
      </c>
      <c r="F97" s="20">
        <v>5000</v>
      </c>
      <c r="G97" s="21">
        <f t="shared" si="53"/>
        <v>14677.42</v>
      </c>
      <c r="H97" s="21">
        <f t="shared" si="54"/>
        <v>4677.42</v>
      </c>
      <c r="I97" s="21">
        <f t="shared" si="55"/>
        <v>5000</v>
      </c>
      <c r="J97" s="37">
        <f t="shared" si="56"/>
        <v>5000</v>
      </c>
      <c r="K97" s="21">
        <v>0</v>
      </c>
      <c r="L97" s="21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</row>
    <row r="98" spans="2:283" s="78" customFormat="1" ht="15" customHeight="1">
      <c r="B98" s="53"/>
      <c r="C98" s="253">
        <v>1</v>
      </c>
      <c r="D98" s="132" t="s">
        <v>111</v>
      </c>
      <c r="E98" s="216" t="s">
        <v>61</v>
      </c>
      <c r="F98" s="20">
        <v>5000</v>
      </c>
      <c r="G98" s="21">
        <f t="shared" si="53"/>
        <v>7321.43</v>
      </c>
      <c r="H98" s="21">
        <v>0</v>
      </c>
      <c r="I98" s="21">
        <v>0</v>
      </c>
      <c r="J98" s="21">
        <f>178.571428571429*13+5000</f>
        <v>7321.43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</row>
    <row r="99" spans="2:283" s="78" customFormat="1" ht="15" customHeight="1">
      <c r="B99" s="53"/>
      <c r="C99" s="253">
        <v>1</v>
      </c>
      <c r="D99" s="132" t="s">
        <v>111</v>
      </c>
      <c r="E99" s="216" t="s">
        <v>61</v>
      </c>
      <c r="F99" s="20">
        <v>5000</v>
      </c>
      <c r="G99" s="21">
        <f t="shared" ref="G99" si="57">SUM(H99:S99)</f>
        <v>7321.43</v>
      </c>
      <c r="H99" s="21">
        <v>0</v>
      </c>
      <c r="I99" s="21">
        <v>0</v>
      </c>
      <c r="J99" s="21">
        <f>178.571428571429*13+5000</f>
        <v>7321.43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</row>
    <row r="100" spans="2:283" s="78" customFormat="1" ht="15" customHeight="1">
      <c r="B100" s="53"/>
      <c r="C100" s="19">
        <v>1</v>
      </c>
      <c r="D100" s="132" t="s">
        <v>59</v>
      </c>
      <c r="E100" s="216" t="s">
        <v>61</v>
      </c>
      <c r="F100" s="20">
        <v>4500</v>
      </c>
      <c r="G100" s="21">
        <f t="shared" si="47"/>
        <v>13209.68</v>
      </c>
      <c r="H100" s="21">
        <f t="shared" si="6"/>
        <v>4209.68</v>
      </c>
      <c r="I100" s="21">
        <f t="shared" si="7"/>
        <v>4500</v>
      </c>
      <c r="J100" s="37">
        <f t="shared" si="8"/>
        <v>4500</v>
      </c>
      <c r="K100" s="21">
        <v>0</v>
      </c>
      <c r="L100" s="21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</row>
    <row r="101" spans="2:283" s="78" customFormat="1" ht="15" customHeight="1">
      <c r="B101" s="53"/>
      <c r="C101" s="253">
        <v>1</v>
      </c>
      <c r="D101" s="132" t="s">
        <v>116</v>
      </c>
      <c r="E101" s="216" t="s">
        <v>61</v>
      </c>
      <c r="F101" s="20">
        <v>3500</v>
      </c>
      <c r="G101" s="21">
        <f t="shared" si="47"/>
        <v>3500</v>
      </c>
      <c r="H101" s="21">
        <v>0</v>
      </c>
      <c r="I101" s="21">
        <v>0</v>
      </c>
      <c r="J101" s="21">
        <v>3500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</row>
    <row r="102" spans="2:283" s="78" customFormat="1" ht="15" customHeight="1">
      <c r="B102" s="53"/>
      <c r="C102" s="253">
        <v>1</v>
      </c>
      <c r="D102" s="132" t="s">
        <v>116</v>
      </c>
      <c r="E102" s="216" t="s">
        <v>61</v>
      </c>
      <c r="F102" s="20">
        <v>3500</v>
      </c>
      <c r="G102" s="21">
        <f t="shared" si="47"/>
        <v>3500</v>
      </c>
      <c r="H102" s="21">
        <v>0</v>
      </c>
      <c r="I102" s="21">
        <v>0</v>
      </c>
      <c r="J102" s="21">
        <v>3500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</row>
    <row r="103" spans="2:283" s="78" customFormat="1" ht="15" customHeight="1">
      <c r="B103" s="53"/>
      <c r="C103" s="253">
        <v>1</v>
      </c>
      <c r="D103" s="132" t="s">
        <v>116</v>
      </c>
      <c r="E103" s="216" t="s">
        <v>61</v>
      </c>
      <c r="F103" s="20">
        <v>3500</v>
      </c>
      <c r="G103" s="21">
        <f t="shared" si="47"/>
        <v>3500</v>
      </c>
      <c r="H103" s="21">
        <v>0</v>
      </c>
      <c r="I103" s="21">
        <v>0</v>
      </c>
      <c r="J103" s="21">
        <v>3500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</row>
    <row r="104" spans="2:283" s="74" customFormat="1">
      <c r="B104" s="13"/>
      <c r="C104" s="19"/>
      <c r="D104" s="150"/>
      <c r="E104" s="277" t="s">
        <v>24</v>
      </c>
      <c r="F104" s="278"/>
      <c r="G104" s="37">
        <f xml:space="preserve"> 6834000-(SUM(G22:G103))</f>
        <v>4946452.72</v>
      </c>
      <c r="H104" s="16"/>
      <c r="I104" s="16"/>
      <c r="J104" s="16"/>
      <c r="K104" s="16"/>
      <c r="L104" s="16"/>
      <c r="M104" s="16"/>
      <c r="N104" s="16"/>
      <c r="O104" s="16"/>
      <c r="P104" s="18"/>
      <c r="Q104" s="18"/>
      <c r="R104" s="16"/>
      <c r="S104" s="16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  <c r="CY104" s="99"/>
      <c r="CZ104" s="99"/>
      <c r="DA104" s="99"/>
      <c r="DB104" s="99"/>
      <c r="DC104" s="99"/>
      <c r="DD104" s="99"/>
      <c r="DE104" s="99"/>
      <c r="DF104" s="99"/>
      <c r="DG104" s="99"/>
      <c r="DH104" s="99"/>
      <c r="DI104" s="99"/>
      <c r="DJ104" s="99"/>
      <c r="DK104" s="99"/>
      <c r="DL104" s="99"/>
      <c r="DM104" s="99"/>
      <c r="DN104" s="99"/>
      <c r="DO104" s="99"/>
      <c r="DP104" s="99"/>
      <c r="DQ104" s="99"/>
      <c r="DR104" s="99"/>
      <c r="DS104" s="99"/>
      <c r="DT104" s="99"/>
      <c r="DU104" s="99"/>
      <c r="DV104" s="99"/>
      <c r="DW104" s="99"/>
      <c r="DX104" s="99"/>
      <c r="DY104" s="99"/>
      <c r="DZ104" s="99"/>
      <c r="EA104" s="99"/>
      <c r="EB104" s="99"/>
      <c r="EC104" s="99"/>
      <c r="ED104" s="99"/>
      <c r="EE104" s="99"/>
      <c r="EF104" s="99"/>
      <c r="EG104" s="99"/>
      <c r="EH104" s="99"/>
      <c r="EI104" s="99"/>
      <c r="EJ104" s="99"/>
      <c r="EK104" s="99"/>
      <c r="EL104" s="99"/>
      <c r="EM104" s="99"/>
      <c r="EN104" s="99"/>
      <c r="EO104" s="99"/>
      <c r="EP104" s="99"/>
      <c r="EQ104" s="99"/>
      <c r="ER104" s="99"/>
      <c r="ES104" s="99"/>
      <c r="ET104" s="99"/>
      <c r="EU104" s="99"/>
      <c r="EV104" s="99"/>
      <c r="EW104" s="99"/>
      <c r="EX104" s="99"/>
      <c r="EY104" s="99"/>
      <c r="EZ104" s="99"/>
      <c r="FA104" s="99"/>
      <c r="FB104" s="99"/>
      <c r="FC104" s="99"/>
      <c r="FD104" s="99"/>
      <c r="FE104" s="99"/>
      <c r="FF104" s="99"/>
      <c r="FG104" s="99"/>
      <c r="FH104" s="99"/>
      <c r="FI104" s="99"/>
      <c r="FJ104" s="99"/>
      <c r="FK104" s="99"/>
      <c r="FL104" s="99"/>
      <c r="FM104" s="99"/>
      <c r="FN104" s="99"/>
      <c r="FO104" s="99"/>
      <c r="FP104" s="99"/>
      <c r="FQ104" s="99"/>
      <c r="FR104" s="99"/>
      <c r="FS104" s="99"/>
      <c r="FT104" s="99"/>
      <c r="FU104" s="99"/>
      <c r="FV104" s="99"/>
      <c r="FW104" s="99"/>
      <c r="FX104" s="99"/>
      <c r="FY104" s="99"/>
      <c r="FZ104" s="99"/>
      <c r="GA104" s="99"/>
      <c r="GB104" s="99"/>
      <c r="GC104" s="99"/>
      <c r="GD104" s="99"/>
      <c r="GE104" s="99"/>
      <c r="GF104" s="99"/>
      <c r="GG104" s="99"/>
      <c r="GH104" s="99"/>
      <c r="GI104" s="99"/>
      <c r="GJ104" s="99"/>
      <c r="GK104" s="99"/>
      <c r="GL104" s="99"/>
      <c r="GM104" s="99"/>
      <c r="GN104" s="99"/>
      <c r="GO104" s="99"/>
      <c r="GP104" s="99"/>
      <c r="GQ104" s="99"/>
      <c r="GR104" s="99"/>
      <c r="GS104" s="99"/>
      <c r="GT104" s="99"/>
      <c r="GU104" s="99"/>
      <c r="GV104" s="99"/>
      <c r="GW104" s="99"/>
      <c r="GX104" s="99"/>
      <c r="GY104" s="99"/>
      <c r="GZ104" s="99"/>
      <c r="HA104" s="99"/>
      <c r="HB104" s="99"/>
      <c r="HC104" s="99"/>
      <c r="HD104" s="99"/>
      <c r="HE104" s="99"/>
      <c r="HF104" s="99"/>
      <c r="HG104" s="99"/>
      <c r="HH104" s="99"/>
      <c r="HI104" s="99"/>
      <c r="HJ104" s="99"/>
      <c r="HK104" s="99"/>
      <c r="HL104" s="99"/>
      <c r="HM104" s="99"/>
      <c r="HN104" s="99"/>
      <c r="HO104" s="99"/>
      <c r="HP104" s="99"/>
      <c r="HQ104" s="99"/>
      <c r="HR104" s="99"/>
      <c r="HS104" s="99"/>
      <c r="HT104" s="99"/>
      <c r="HU104" s="99"/>
      <c r="HV104" s="99"/>
      <c r="HW104" s="99"/>
      <c r="HX104" s="99"/>
      <c r="HY104" s="99"/>
      <c r="HZ104" s="99"/>
      <c r="IA104" s="99"/>
      <c r="IB104" s="99"/>
      <c r="IC104" s="99"/>
      <c r="ID104" s="99"/>
      <c r="IE104" s="99"/>
      <c r="IF104" s="99"/>
      <c r="IG104" s="99"/>
      <c r="IH104" s="99"/>
      <c r="II104" s="99"/>
      <c r="IJ104" s="99"/>
      <c r="IK104" s="99"/>
      <c r="IL104" s="99"/>
      <c r="IM104" s="99"/>
      <c r="IN104" s="99"/>
      <c r="IO104" s="99"/>
      <c r="IP104" s="99"/>
      <c r="IQ104" s="99"/>
      <c r="IR104" s="99"/>
      <c r="IS104" s="99"/>
      <c r="IT104" s="99"/>
      <c r="IU104" s="99"/>
      <c r="IV104" s="99"/>
      <c r="IW104" s="99"/>
      <c r="IX104" s="99"/>
      <c r="IY104" s="99"/>
      <c r="IZ104" s="99"/>
      <c r="JA104" s="99"/>
      <c r="JB104" s="99"/>
      <c r="JC104" s="99"/>
      <c r="JD104" s="99"/>
      <c r="JE104" s="99"/>
      <c r="JF104" s="99"/>
      <c r="JG104" s="99"/>
      <c r="JH104" s="99"/>
      <c r="JI104" s="99"/>
      <c r="JJ104" s="99"/>
      <c r="JK104" s="99"/>
      <c r="JL104" s="99"/>
      <c r="JM104" s="99"/>
      <c r="JN104" s="99"/>
      <c r="JO104" s="99"/>
      <c r="JP104" s="99"/>
      <c r="JQ104" s="99"/>
      <c r="JR104" s="99"/>
      <c r="JS104" s="99"/>
      <c r="JT104" s="99"/>
      <c r="JU104" s="99"/>
      <c r="JV104" s="99"/>
      <c r="JW104" s="99"/>
    </row>
    <row r="105" spans="2:283" s="74" customFormat="1">
      <c r="B105" s="247"/>
      <c r="C105" s="98"/>
      <c r="D105" s="151"/>
      <c r="E105" s="213"/>
      <c r="F105" s="87"/>
      <c r="G105" s="88"/>
      <c r="H105" s="89"/>
      <c r="I105" s="89"/>
      <c r="J105" s="89"/>
      <c r="K105" s="89"/>
      <c r="L105" s="89"/>
      <c r="M105" s="89"/>
      <c r="N105" s="89"/>
      <c r="O105" s="89"/>
      <c r="P105" s="26"/>
      <c r="Q105" s="26"/>
      <c r="R105" s="89"/>
      <c r="S105" s="250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  <c r="CY105" s="99"/>
      <c r="CZ105" s="99"/>
      <c r="DA105" s="99"/>
      <c r="DB105" s="99"/>
      <c r="DC105" s="99"/>
      <c r="DD105" s="99"/>
      <c r="DE105" s="99"/>
      <c r="DF105" s="99"/>
      <c r="DG105" s="99"/>
      <c r="DH105" s="99"/>
      <c r="DI105" s="99"/>
      <c r="DJ105" s="99"/>
      <c r="DK105" s="99"/>
      <c r="DL105" s="99"/>
      <c r="DM105" s="99"/>
      <c r="DN105" s="99"/>
      <c r="DO105" s="99"/>
      <c r="DP105" s="99"/>
      <c r="DQ105" s="99"/>
      <c r="DR105" s="99"/>
      <c r="DS105" s="99"/>
      <c r="DT105" s="99"/>
      <c r="DU105" s="99"/>
      <c r="DV105" s="99"/>
      <c r="DW105" s="99"/>
      <c r="DX105" s="99"/>
      <c r="DY105" s="99"/>
      <c r="DZ105" s="99"/>
      <c r="EA105" s="99"/>
      <c r="EB105" s="99"/>
      <c r="EC105" s="99"/>
      <c r="ED105" s="99"/>
      <c r="EE105" s="99"/>
      <c r="EF105" s="99"/>
      <c r="EG105" s="99"/>
      <c r="EH105" s="99"/>
      <c r="EI105" s="99"/>
      <c r="EJ105" s="99"/>
      <c r="EK105" s="99"/>
      <c r="EL105" s="99"/>
      <c r="EM105" s="99"/>
      <c r="EN105" s="99"/>
      <c r="EO105" s="99"/>
      <c r="EP105" s="99"/>
      <c r="EQ105" s="99"/>
      <c r="ER105" s="99"/>
      <c r="ES105" s="99"/>
      <c r="ET105" s="99"/>
      <c r="EU105" s="99"/>
      <c r="EV105" s="99"/>
      <c r="EW105" s="99"/>
      <c r="EX105" s="99"/>
      <c r="EY105" s="99"/>
      <c r="EZ105" s="99"/>
      <c r="FA105" s="99"/>
      <c r="FB105" s="99"/>
      <c r="FC105" s="99"/>
      <c r="FD105" s="99"/>
      <c r="FE105" s="99"/>
      <c r="FF105" s="99"/>
      <c r="FG105" s="99"/>
      <c r="FH105" s="99"/>
      <c r="FI105" s="99"/>
      <c r="FJ105" s="99"/>
      <c r="FK105" s="99"/>
      <c r="FL105" s="99"/>
      <c r="FM105" s="99"/>
      <c r="FN105" s="99"/>
      <c r="FO105" s="99"/>
      <c r="FP105" s="99"/>
      <c r="FQ105" s="99"/>
      <c r="FR105" s="99"/>
      <c r="FS105" s="99"/>
      <c r="FT105" s="99"/>
      <c r="FU105" s="99"/>
      <c r="FV105" s="99"/>
      <c r="FW105" s="99"/>
      <c r="FX105" s="99"/>
      <c r="FY105" s="99"/>
      <c r="FZ105" s="99"/>
      <c r="GA105" s="99"/>
      <c r="GB105" s="99"/>
      <c r="GC105" s="99"/>
      <c r="GD105" s="99"/>
      <c r="GE105" s="99"/>
      <c r="GF105" s="99"/>
      <c r="GG105" s="99"/>
      <c r="GH105" s="99"/>
      <c r="GI105" s="99"/>
      <c r="GJ105" s="99"/>
      <c r="GK105" s="99"/>
      <c r="GL105" s="99"/>
      <c r="GM105" s="99"/>
      <c r="GN105" s="99"/>
      <c r="GO105" s="99"/>
      <c r="GP105" s="99"/>
      <c r="GQ105" s="99"/>
      <c r="GR105" s="99"/>
      <c r="GS105" s="99"/>
      <c r="GT105" s="99"/>
      <c r="GU105" s="99"/>
      <c r="GV105" s="99"/>
      <c r="GW105" s="99"/>
      <c r="GX105" s="99"/>
      <c r="GY105" s="99"/>
      <c r="GZ105" s="99"/>
      <c r="HA105" s="99"/>
      <c r="HB105" s="99"/>
      <c r="HC105" s="99"/>
      <c r="HD105" s="99"/>
      <c r="HE105" s="99"/>
      <c r="HF105" s="99"/>
      <c r="HG105" s="99"/>
      <c r="HH105" s="99"/>
      <c r="HI105" s="99"/>
      <c r="HJ105" s="99"/>
      <c r="HK105" s="99"/>
      <c r="HL105" s="99"/>
      <c r="HM105" s="99"/>
      <c r="HN105" s="99"/>
      <c r="HO105" s="99"/>
      <c r="HP105" s="99"/>
      <c r="HQ105" s="99"/>
      <c r="HR105" s="99"/>
      <c r="HS105" s="99"/>
      <c r="HT105" s="99"/>
      <c r="HU105" s="99"/>
      <c r="HV105" s="99"/>
      <c r="HW105" s="99"/>
      <c r="HX105" s="99"/>
      <c r="HY105" s="99"/>
      <c r="HZ105" s="99"/>
      <c r="IA105" s="99"/>
      <c r="IB105" s="99"/>
      <c r="IC105" s="99"/>
      <c r="ID105" s="99"/>
      <c r="IE105" s="99"/>
      <c r="IF105" s="99"/>
      <c r="IG105" s="99"/>
      <c r="IH105" s="99"/>
      <c r="II105" s="99"/>
      <c r="IJ105" s="99"/>
      <c r="IK105" s="99"/>
      <c r="IL105" s="99"/>
      <c r="IM105" s="99"/>
      <c r="IN105" s="99"/>
      <c r="IO105" s="99"/>
      <c r="IP105" s="99"/>
      <c r="IQ105" s="99"/>
      <c r="IR105" s="99"/>
      <c r="IS105" s="99"/>
      <c r="IT105" s="99"/>
      <c r="IU105" s="99"/>
      <c r="IV105" s="99"/>
      <c r="IW105" s="99"/>
      <c r="IX105" s="99"/>
      <c r="IY105" s="99"/>
      <c r="IZ105" s="99"/>
      <c r="JA105" s="99"/>
      <c r="JB105" s="99"/>
      <c r="JC105" s="99"/>
      <c r="JD105" s="99"/>
      <c r="JE105" s="99"/>
      <c r="JF105" s="99"/>
      <c r="JG105" s="99"/>
      <c r="JH105" s="99"/>
      <c r="JI105" s="99"/>
      <c r="JJ105" s="99"/>
      <c r="JK105" s="99"/>
      <c r="JL105" s="99"/>
      <c r="JM105" s="99"/>
      <c r="JN105" s="99"/>
      <c r="JO105" s="99"/>
      <c r="JP105" s="99"/>
      <c r="JQ105" s="99"/>
      <c r="JR105" s="99"/>
      <c r="JS105" s="99"/>
      <c r="JT105" s="99"/>
      <c r="JU105" s="99"/>
      <c r="JV105" s="99"/>
      <c r="JW105" s="99"/>
    </row>
    <row r="106" spans="2:283">
      <c r="B106" s="273" t="s">
        <v>27</v>
      </c>
      <c r="C106" s="90"/>
      <c r="D106" s="152"/>
      <c r="E106" s="217"/>
      <c r="F106" s="82" t="s">
        <v>23</v>
      </c>
      <c r="G106" s="80">
        <f>G107+G108</f>
        <v>294000</v>
      </c>
      <c r="H106" s="85"/>
      <c r="I106" s="85"/>
      <c r="J106" s="85"/>
      <c r="K106" s="85"/>
      <c r="L106" s="85"/>
      <c r="M106" s="85"/>
      <c r="N106" s="85"/>
      <c r="O106" s="91"/>
      <c r="P106" s="85"/>
      <c r="Q106" s="85"/>
      <c r="R106" s="85"/>
      <c r="S106" s="85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  <c r="EM106" s="78"/>
      <c r="EN106" s="78"/>
      <c r="EO106" s="78"/>
      <c r="EP106" s="78"/>
      <c r="EQ106" s="78"/>
      <c r="ER106" s="78"/>
      <c r="ES106" s="78"/>
      <c r="ET106" s="78"/>
      <c r="EU106" s="78"/>
      <c r="EV106" s="78"/>
      <c r="EW106" s="78"/>
      <c r="EX106" s="78"/>
      <c r="EY106" s="78"/>
      <c r="EZ106" s="78"/>
      <c r="FA106" s="78"/>
      <c r="FB106" s="78"/>
      <c r="FC106" s="78"/>
      <c r="FD106" s="78"/>
      <c r="FE106" s="78"/>
      <c r="FF106" s="78"/>
      <c r="FG106" s="78"/>
      <c r="FH106" s="78"/>
      <c r="FI106" s="78"/>
      <c r="FJ106" s="78"/>
      <c r="FK106" s="78"/>
      <c r="FL106" s="78"/>
      <c r="FM106" s="78"/>
      <c r="FN106" s="78"/>
      <c r="FO106" s="78"/>
      <c r="FP106" s="78"/>
      <c r="FQ106" s="78"/>
      <c r="FR106" s="78"/>
      <c r="FS106" s="78"/>
      <c r="FT106" s="78"/>
      <c r="FU106" s="78"/>
      <c r="FV106" s="78"/>
      <c r="FW106" s="78"/>
      <c r="FX106" s="78"/>
      <c r="FY106" s="78"/>
      <c r="FZ106" s="78"/>
      <c r="GA106" s="78"/>
      <c r="GB106" s="78"/>
      <c r="GC106" s="78"/>
      <c r="GD106" s="78"/>
      <c r="GE106" s="78"/>
      <c r="GF106" s="78"/>
      <c r="GG106" s="78"/>
      <c r="GH106" s="78"/>
      <c r="GI106" s="78"/>
      <c r="GJ106" s="78"/>
      <c r="GK106" s="78"/>
      <c r="GL106" s="78"/>
      <c r="GM106" s="78"/>
      <c r="GN106" s="78"/>
      <c r="GO106" s="78"/>
      <c r="GP106" s="78"/>
      <c r="GQ106" s="78"/>
      <c r="GR106" s="78"/>
      <c r="GS106" s="78"/>
      <c r="GT106" s="78"/>
      <c r="GU106" s="78"/>
      <c r="GV106" s="78"/>
      <c r="GW106" s="78"/>
      <c r="GX106" s="78"/>
      <c r="GY106" s="78"/>
      <c r="GZ106" s="78"/>
      <c r="HA106" s="78"/>
      <c r="HB106" s="78"/>
      <c r="HC106" s="78"/>
      <c r="HD106" s="78"/>
      <c r="HE106" s="78"/>
      <c r="HF106" s="78"/>
      <c r="HG106" s="78"/>
      <c r="HH106" s="78"/>
      <c r="HI106" s="78"/>
      <c r="HJ106" s="78"/>
      <c r="HK106" s="78"/>
      <c r="HL106" s="78"/>
      <c r="HM106" s="78"/>
      <c r="HN106" s="78"/>
      <c r="HO106" s="78"/>
      <c r="HP106" s="78"/>
      <c r="HQ106" s="78"/>
      <c r="HR106" s="78"/>
      <c r="HS106" s="78"/>
      <c r="HT106" s="78"/>
      <c r="HU106" s="78"/>
      <c r="HV106" s="78"/>
      <c r="HW106" s="78"/>
      <c r="HX106" s="78"/>
      <c r="HY106" s="78"/>
      <c r="HZ106" s="78"/>
      <c r="IA106" s="78"/>
      <c r="IB106" s="78"/>
      <c r="IC106" s="78"/>
      <c r="ID106" s="78"/>
      <c r="IE106" s="78"/>
      <c r="IF106" s="78"/>
      <c r="IG106" s="78"/>
      <c r="IH106" s="78"/>
      <c r="II106" s="78"/>
      <c r="IJ106" s="78"/>
      <c r="IK106" s="78"/>
      <c r="IL106" s="78"/>
      <c r="IM106" s="78"/>
      <c r="IN106" s="78"/>
      <c r="IO106" s="78"/>
      <c r="IP106" s="78"/>
      <c r="IQ106" s="78"/>
      <c r="IR106" s="78"/>
      <c r="IS106" s="78"/>
      <c r="IT106" s="78"/>
      <c r="IU106" s="78"/>
      <c r="IV106" s="78"/>
      <c r="IW106" s="78"/>
      <c r="IX106" s="78"/>
      <c r="IY106" s="78"/>
      <c r="IZ106" s="78"/>
      <c r="JA106" s="78"/>
      <c r="JB106" s="78"/>
      <c r="JC106" s="78"/>
      <c r="JD106" s="78"/>
      <c r="JE106" s="78"/>
      <c r="JF106" s="78"/>
      <c r="JG106" s="78"/>
      <c r="JH106" s="78"/>
      <c r="JI106" s="78"/>
      <c r="JJ106" s="78"/>
      <c r="JK106" s="78"/>
      <c r="JL106" s="78"/>
      <c r="JM106" s="78"/>
      <c r="JN106" s="78"/>
      <c r="JO106" s="78"/>
      <c r="JP106" s="78"/>
      <c r="JQ106" s="78"/>
      <c r="JR106" s="78"/>
      <c r="JS106" s="78"/>
      <c r="JT106" s="78"/>
      <c r="JU106" s="78"/>
      <c r="JV106" s="78"/>
      <c r="JW106" s="78"/>
    </row>
    <row r="107" spans="2:283">
      <c r="B107" s="274"/>
      <c r="C107" s="22"/>
      <c r="D107" s="153"/>
      <c r="E107" s="153"/>
      <c r="F107" s="82" t="s">
        <v>50</v>
      </c>
      <c r="G107" s="80">
        <f>G109</f>
        <v>102536.29</v>
      </c>
      <c r="H107" s="24"/>
      <c r="I107" s="24"/>
      <c r="J107" s="24"/>
      <c r="K107" s="24"/>
      <c r="L107" s="24"/>
      <c r="M107" s="24"/>
      <c r="N107" s="24"/>
      <c r="O107" s="25"/>
      <c r="P107" s="24"/>
      <c r="Q107" s="25"/>
      <c r="R107" s="24"/>
      <c r="S107" s="24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  <c r="EO107" s="78"/>
      <c r="EP107" s="78"/>
      <c r="EQ107" s="78"/>
      <c r="ER107" s="78"/>
      <c r="ES107" s="78"/>
      <c r="ET107" s="78"/>
      <c r="EU107" s="78"/>
      <c r="EV107" s="78"/>
      <c r="EW107" s="78"/>
      <c r="EX107" s="78"/>
      <c r="EY107" s="78"/>
      <c r="EZ107" s="78"/>
      <c r="FA107" s="78"/>
      <c r="FB107" s="78"/>
      <c r="FC107" s="78"/>
      <c r="FD107" s="78"/>
      <c r="FE107" s="78"/>
      <c r="FF107" s="78"/>
      <c r="FG107" s="78"/>
      <c r="FH107" s="78"/>
      <c r="FI107" s="78"/>
      <c r="FJ107" s="78"/>
      <c r="FK107" s="78"/>
      <c r="FL107" s="78"/>
      <c r="FM107" s="78"/>
      <c r="FN107" s="78"/>
      <c r="FO107" s="78"/>
      <c r="FP107" s="78"/>
      <c r="FQ107" s="78"/>
      <c r="FR107" s="78"/>
      <c r="FS107" s="78"/>
      <c r="FT107" s="78"/>
      <c r="FU107" s="78"/>
      <c r="FV107" s="78"/>
      <c r="FW107" s="78"/>
      <c r="FX107" s="78"/>
      <c r="FY107" s="78"/>
      <c r="FZ107" s="78"/>
      <c r="GA107" s="78"/>
      <c r="GB107" s="78"/>
      <c r="GC107" s="78"/>
      <c r="GD107" s="78"/>
      <c r="GE107" s="78"/>
      <c r="GF107" s="78"/>
      <c r="GG107" s="78"/>
      <c r="GH107" s="78"/>
      <c r="GI107" s="78"/>
      <c r="GJ107" s="78"/>
      <c r="GK107" s="78"/>
      <c r="GL107" s="78"/>
      <c r="GM107" s="78"/>
      <c r="GN107" s="78"/>
      <c r="GO107" s="78"/>
      <c r="GP107" s="78"/>
      <c r="GQ107" s="78"/>
      <c r="GR107" s="78"/>
      <c r="GS107" s="78"/>
      <c r="GT107" s="78"/>
      <c r="GU107" s="78"/>
      <c r="GV107" s="78"/>
      <c r="GW107" s="78"/>
      <c r="GX107" s="78"/>
      <c r="GY107" s="78"/>
      <c r="GZ107" s="78"/>
      <c r="HA107" s="78"/>
      <c r="HB107" s="78"/>
      <c r="HC107" s="78"/>
      <c r="HD107" s="78"/>
      <c r="HE107" s="78"/>
      <c r="HF107" s="78"/>
      <c r="HG107" s="78"/>
      <c r="HH107" s="78"/>
      <c r="HI107" s="78"/>
      <c r="HJ107" s="78"/>
      <c r="HK107" s="78"/>
      <c r="HL107" s="78"/>
      <c r="HM107" s="78"/>
      <c r="HN107" s="78"/>
      <c r="HO107" s="78"/>
      <c r="HP107" s="78"/>
      <c r="HQ107" s="78"/>
      <c r="HR107" s="78"/>
      <c r="HS107" s="78"/>
      <c r="HT107" s="78"/>
      <c r="HU107" s="78"/>
      <c r="HV107" s="78"/>
      <c r="HW107" s="78"/>
      <c r="HX107" s="78"/>
      <c r="HY107" s="78"/>
      <c r="HZ107" s="78"/>
      <c r="IA107" s="78"/>
      <c r="IB107" s="78"/>
      <c r="IC107" s="78"/>
      <c r="ID107" s="78"/>
      <c r="IE107" s="78"/>
      <c r="IF107" s="78"/>
      <c r="IG107" s="78"/>
      <c r="IH107" s="78"/>
      <c r="II107" s="78"/>
      <c r="IJ107" s="78"/>
      <c r="IK107" s="78"/>
      <c r="IL107" s="78"/>
      <c r="IM107" s="78"/>
      <c r="IN107" s="78"/>
      <c r="IO107" s="78"/>
      <c r="IP107" s="78"/>
      <c r="IQ107" s="78"/>
      <c r="IR107" s="78"/>
      <c r="IS107" s="78"/>
      <c r="IT107" s="78"/>
      <c r="IU107" s="78"/>
      <c r="IV107" s="78"/>
      <c r="IW107" s="78"/>
      <c r="IX107" s="78"/>
      <c r="IY107" s="78"/>
      <c r="IZ107" s="78"/>
      <c r="JA107" s="78"/>
      <c r="JB107" s="78"/>
      <c r="JC107" s="78"/>
      <c r="JD107" s="78"/>
      <c r="JE107" s="78"/>
      <c r="JF107" s="78"/>
      <c r="JG107" s="78"/>
      <c r="JH107" s="78"/>
      <c r="JI107" s="78"/>
      <c r="JJ107" s="78"/>
      <c r="JK107" s="78"/>
      <c r="JL107" s="78"/>
      <c r="JM107" s="78"/>
      <c r="JN107" s="78"/>
      <c r="JO107" s="78"/>
      <c r="JP107" s="78"/>
      <c r="JQ107" s="78"/>
      <c r="JR107" s="78"/>
      <c r="JS107" s="78"/>
      <c r="JT107" s="78"/>
      <c r="JU107" s="78"/>
      <c r="JV107" s="78"/>
      <c r="JW107" s="78"/>
    </row>
    <row r="108" spans="2:283" ht="30">
      <c r="B108" s="274"/>
      <c r="C108" s="22"/>
      <c r="D108" s="153"/>
      <c r="E108" s="153"/>
      <c r="F108" s="82" t="s">
        <v>24</v>
      </c>
      <c r="G108" s="80">
        <f>G118</f>
        <v>191463.71</v>
      </c>
      <c r="H108" s="24"/>
      <c r="I108" s="24"/>
      <c r="J108" s="24"/>
      <c r="K108" s="24"/>
      <c r="L108" s="24"/>
      <c r="M108" s="24"/>
      <c r="N108" s="24"/>
      <c r="O108" s="25"/>
      <c r="P108" s="24"/>
      <c r="Q108" s="25"/>
      <c r="R108" s="24"/>
      <c r="S108" s="24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  <c r="EJ108" s="78"/>
      <c r="EK108" s="78"/>
      <c r="EL108" s="78"/>
      <c r="EM108" s="78"/>
      <c r="EN108" s="78"/>
      <c r="EO108" s="78"/>
      <c r="EP108" s="78"/>
      <c r="EQ108" s="78"/>
      <c r="ER108" s="78"/>
      <c r="ES108" s="78"/>
      <c r="ET108" s="78"/>
      <c r="EU108" s="78"/>
      <c r="EV108" s="78"/>
      <c r="EW108" s="78"/>
      <c r="EX108" s="78"/>
      <c r="EY108" s="78"/>
      <c r="EZ108" s="78"/>
      <c r="FA108" s="78"/>
      <c r="FB108" s="78"/>
      <c r="FC108" s="78"/>
      <c r="FD108" s="78"/>
      <c r="FE108" s="78"/>
      <c r="FF108" s="78"/>
      <c r="FG108" s="78"/>
      <c r="FH108" s="78"/>
      <c r="FI108" s="78"/>
      <c r="FJ108" s="78"/>
      <c r="FK108" s="78"/>
      <c r="FL108" s="78"/>
      <c r="FM108" s="78"/>
      <c r="FN108" s="78"/>
      <c r="FO108" s="78"/>
      <c r="FP108" s="78"/>
      <c r="FQ108" s="78"/>
      <c r="FR108" s="78"/>
      <c r="FS108" s="78"/>
      <c r="FT108" s="78"/>
      <c r="FU108" s="78"/>
      <c r="FV108" s="78"/>
      <c r="FW108" s="78"/>
      <c r="FX108" s="78"/>
      <c r="FY108" s="78"/>
      <c r="FZ108" s="78"/>
      <c r="GA108" s="78"/>
      <c r="GB108" s="78"/>
      <c r="GC108" s="78"/>
      <c r="GD108" s="78"/>
      <c r="GE108" s="78"/>
      <c r="GF108" s="78"/>
      <c r="GG108" s="78"/>
      <c r="GH108" s="78"/>
      <c r="GI108" s="78"/>
      <c r="GJ108" s="78"/>
      <c r="GK108" s="78"/>
      <c r="GL108" s="78"/>
      <c r="GM108" s="78"/>
      <c r="GN108" s="78"/>
      <c r="GO108" s="78"/>
      <c r="GP108" s="78"/>
      <c r="GQ108" s="78"/>
      <c r="GR108" s="78"/>
      <c r="GS108" s="78"/>
      <c r="GT108" s="78"/>
      <c r="GU108" s="78"/>
      <c r="GV108" s="78"/>
      <c r="GW108" s="78"/>
      <c r="GX108" s="78"/>
      <c r="GY108" s="78"/>
      <c r="GZ108" s="78"/>
      <c r="HA108" s="78"/>
      <c r="HB108" s="78"/>
      <c r="HC108" s="78"/>
      <c r="HD108" s="78"/>
      <c r="HE108" s="78"/>
      <c r="HF108" s="78"/>
      <c r="HG108" s="78"/>
      <c r="HH108" s="78"/>
      <c r="HI108" s="78"/>
      <c r="HJ108" s="78"/>
      <c r="HK108" s="78"/>
      <c r="HL108" s="78"/>
      <c r="HM108" s="78"/>
      <c r="HN108" s="78"/>
      <c r="HO108" s="78"/>
      <c r="HP108" s="78"/>
      <c r="HQ108" s="78"/>
      <c r="HR108" s="78"/>
      <c r="HS108" s="78"/>
      <c r="HT108" s="78"/>
      <c r="HU108" s="78"/>
      <c r="HV108" s="78"/>
      <c r="HW108" s="78"/>
      <c r="HX108" s="78"/>
      <c r="HY108" s="78"/>
      <c r="HZ108" s="78"/>
      <c r="IA108" s="78"/>
      <c r="IB108" s="78"/>
      <c r="IC108" s="78"/>
      <c r="ID108" s="78"/>
      <c r="IE108" s="78"/>
      <c r="IF108" s="78"/>
      <c r="IG108" s="78"/>
      <c r="IH108" s="78"/>
      <c r="II108" s="78"/>
      <c r="IJ108" s="78"/>
      <c r="IK108" s="78"/>
      <c r="IL108" s="78"/>
      <c r="IM108" s="78"/>
      <c r="IN108" s="78"/>
      <c r="IO108" s="78"/>
      <c r="IP108" s="78"/>
      <c r="IQ108" s="78"/>
      <c r="IR108" s="78"/>
      <c r="IS108" s="78"/>
      <c r="IT108" s="78"/>
      <c r="IU108" s="78"/>
      <c r="IV108" s="78"/>
      <c r="IW108" s="78"/>
      <c r="IX108" s="78"/>
      <c r="IY108" s="78"/>
      <c r="IZ108" s="78"/>
      <c r="JA108" s="78"/>
      <c r="JB108" s="78"/>
      <c r="JC108" s="78"/>
      <c r="JD108" s="78"/>
      <c r="JE108" s="78"/>
      <c r="JF108" s="78"/>
      <c r="JG108" s="78"/>
      <c r="JH108" s="78"/>
      <c r="JI108" s="78"/>
      <c r="JJ108" s="78"/>
      <c r="JK108" s="78"/>
      <c r="JL108" s="78"/>
      <c r="JM108" s="78"/>
      <c r="JN108" s="78"/>
      <c r="JO108" s="78"/>
      <c r="JP108" s="78"/>
      <c r="JQ108" s="78"/>
      <c r="JR108" s="78"/>
      <c r="JS108" s="78"/>
      <c r="JT108" s="78"/>
      <c r="JU108" s="78"/>
      <c r="JV108" s="78"/>
      <c r="JW108" s="78"/>
    </row>
    <row r="109" spans="2:283" ht="29.25">
      <c r="B109" s="29" t="s">
        <v>76</v>
      </c>
      <c r="C109" s="9">
        <f>SUM(C110:C117)</f>
        <v>8</v>
      </c>
      <c r="D109" s="149"/>
      <c r="E109" s="149"/>
      <c r="F109" s="30"/>
      <c r="G109" s="31">
        <f t="shared" ref="G109:M109" si="58">SUM(G110:G117)</f>
        <v>102536.29</v>
      </c>
      <c r="H109" s="31">
        <f t="shared" si="58"/>
        <v>26661.29</v>
      </c>
      <c r="I109" s="31">
        <f t="shared" si="58"/>
        <v>28500</v>
      </c>
      <c r="J109" s="31">
        <f t="shared" si="58"/>
        <v>47375</v>
      </c>
      <c r="K109" s="31">
        <f t="shared" si="58"/>
        <v>0</v>
      </c>
      <c r="L109" s="31">
        <f t="shared" si="58"/>
        <v>0</v>
      </c>
      <c r="M109" s="31">
        <f t="shared" si="58"/>
        <v>0</v>
      </c>
      <c r="N109" s="31">
        <f t="shared" ref="N109:S109" si="59">SUM(N110:N118)</f>
        <v>0</v>
      </c>
      <c r="O109" s="31">
        <f t="shared" si="59"/>
        <v>0</v>
      </c>
      <c r="P109" s="31">
        <f t="shared" si="59"/>
        <v>0</v>
      </c>
      <c r="Q109" s="31">
        <f t="shared" si="59"/>
        <v>0</v>
      </c>
      <c r="R109" s="31">
        <f t="shared" si="59"/>
        <v>0</v>
      </c>
      <c r="S109" s="31">
        <f t="shared" si="59"/>
        <v>0</v>
      </c>
      <c r="T109" s="61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  <c r="EO109" s="78"/>
      <c r="EP109" s="78"/>
      <c r="EQ109" s="78"/>
      <c r="ER109" s="78"/>
      <c r="ES109" s="78"/>
      <c r="ET109" s="78"/>
      <c r="EU109" s="78"/>
      <c r="EV109" s="78"/>
      <c r="EW109" s="78"/>
      <c r="EX109" s="78"/>
      <c r="EY109" s="78"/>
      <c r="EZ109" s="78"/>
      <c r="FA109" s="78"/>
      <c r="FB109" s="78"/>
      <c r="FC109" s="78"/>
      <c r="FD109" s="78"/>
      <c r="FE109" s="78"/>
      <c r="FF109" s="78"/>
      <c r="FG109" s="78"/>
      <c r="FH109" s="78"/>
      <c r="FI109" s="78"/>
      <c r="FJ109" s="78"/>
      <c r="FK109" s="78"/>
      <c r="FL109" s="78"/>
      <c r="FM109" s="78"/>
      <c r="FN109" s="78"/>
      <c r="FO109" s="78"/>
      <c r="FP109" s="78"/>
      <c r="FQ109" s="78"/>
      <c r="FR109" s="78"/>
      <c r="FS109" s="78"/>
      <c r="FT109" s="78"/>
      <c r="FU109" s="78"/>
      <c r="FV109" s="78"/>
      <c r="FW109" s="78"/>
      <c r="FX109" s="78"/>
      <c r="FY109" s="78"/>
      <c r="FZ109" s="78"/>
      <c r="GA109" s="78"/>
      <c r="GB109" s="78"/>
      <c r="GC109" s="78"/>
      <c r="GD109" s="78"/>
      <c r="GE109" s="78"/>
      <c r="GF109" s="78"/>
      <c r="GG109" s="78"/>
      <c r="GH109" s="78"/>
      <c r="GI109" s="78"/>
      <c r="GJ109" s="78"/>
      <c r="GK109" s="78"/>
      <c r="GL109" s="78"/>
      <c r="GM109" s="78"/>
      <c r="GN109" s="78"/>
      <c r="GO109" s="78"/>
      <c r="GP109" s="78"/>
      <c r="GQ109" s="78"/>
      <c r="GR109" s="78"/>
      <c r="GS109" s="78"/>
      <c r="GT109" s="78"/>
      <c r="GU109" s="78"/>
      <c r="GV109" s="78"/>
      <c r="GW109" s="78"/>
      <c r="GX109" s="78"/>
      <c r="GY109" s="78"/>
      <c r="GZ109" s="78"/>
      <c r="HA109" s="78"/>
      <c r="HB109" s="78"/>
      <c r="HC109" s="78"/>
      <c r="HD109" s="78"/>
      <c r="HE109" s="78"/>
      <c r="HF109" s="78"/>
      <c r="HG109" s="78"/>
      <c r="HH109" s="78"/>
      <c r="HI109" s="78"/>
      <c r="HJ109" s="78"/>
      <c r="HK109" s="78"/>
      <c r="HL109" s="78"/>
      <c r="HM109" s="78"/>
      <c r="HN109" s="78"/>
      <c r="HO109" s="78"/>
      <c r="HP109" s="78"/>
      <c r="HQ109" s="78"/>
      <c r="HR109" s="78"/>
      <c r="HS109" s="78"/>
      <c r="HT109" s="78"/>
      <c r="HU109" s="78"/>
      <c r="HV109" s="78"/>
      <c r="HW109" s="78"/>
      <c r="HX109" s="78"/>
      <c r="HY109" s="78"/>
      <c r="HZ109" s="78"/>
      <c r="IA109" s="78"/>
      <c r="IB109" s="78"/>
      <c r="IC109" s="78"/>
      <c r="ID109" s="78"/>
      <c r="IE109" s="78"/>
      <c r="IF109" s="78"/>
      <c r="IG109" s="78"/>
      <c r="IH109" s="78"/>
      <c r="II109" s="78"/>
      <c r="IJ109" s="78"/>
      <c r="IK109" s="78"/>
      <c r="IL109" s="78"/>
      <c r="IM109" s="78"/>
      <c r="IN109" s="78"/>
      <c r="IO109" s="78"/>
      <c r="IP109" s="78"/>
      <c r="IQ109" s="78"/>
      <c r="IR109" s="78"/>
      <c r="IS109" s="78"/>
      <c r="IT109" s="78"/>
      <c r="IU109" s="78"/>
      <c r="IV109" s="78"/>
      <c r="IW109" s="78"/>
      <c r="IX109" s="78"/>
      <c r="IY109" s="78"/>
      <c r="IZ109" s="78"/>
      <c r="JA109" s="78"/>
      <c r="JB109" s="78"/>
      <c r="JC109" s="78"/>
      <c r="JD109" s="78"/>
      <c r="JE109" s="78"/>
      <c r="JF109" s="78"/>
      <c r="JG109" s="78"/>
      <c r="JH109" s="78"/>
      <c r="JI109" s="78"/>
      <c r="JJ109" s="78"/>
      <c r="JK109" s="78"/>
      <c r="JL109" s="78"/>
      <c r="JM109" s="78"/>
      <c r="JN109" s="78"/>
      <c r="JO109" s="78"/>
      <c r="JP109" s="78"/>
      <c r="JQ109" s="78"/>
      <c r="JR109" s="78"/>
      <c r="JS109" s="78"/>
      <c r="JT109" s="78"/>
      <c r="JU109" s="78"/>
      <c r="JV109" s="78"/>
      <c r="JW109" s="78"/>
    </row>
    <row r="110" spans="2:283" s="78" customFormat="1" ht="15" customHeight="1">
      <c r="B110" s="53"/>
      <c r="C110" s="19">
        <v>1</v>
      </c>
      <c r="D110" s="132" t="s">
        <v>59</v>
      </c>
      <c r="E110" s="216" t="s">
        <v>60</v>
      </c>
      <c r="F110" s="125">
        <v>10000</v>
      </c>
      <c r="G110" s="21">
        <f t="shared" ref="G110:G112" si="60">SUM(H110:S110)</f>
        <v>29354.84</v>
      </c>
      <c r="H110" s="21">
        <f>+F110*C110/31*29</f>
        <v>9354.84</v>
      </c>
      <c r="I110" s="21">
        <f>+F110*C110</f>
        <v>10000</v>
      </c>
      <c r="J110" s="37">
        <f>+F110*C110</f>
        <v>10000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</row>
    <row r="111" spans="2:283" s="78" customFormat="1" ht="15" customHeight="1">
      <c r="B111" s="53"/>
      <c r="C111" s="19">
        <v>1</v>
      </c>
      <c r="D111" s="132" t="s">
        <v>59</v>
      </c>
      <c r="E111" s="216" t="s">
        <v>61</v>
      </c>
      <c r="F111" s="125">
        <v>7000</v>
      </c>
      <c r="G111" s="21">
        <f t="shared" si="60"/>
        <v>20548.39</v>
      </c>
      <c r="H111" s="21">
        <f t="shared" ref="H111:H112" si="61">+F111*C111/31*29</f>
        <v>6548.39</v>
      </c>
      <c r="I111" s="21">
        <f t="shared" ref="I111:I112" si="62">+F111*C111</f>
        <v>7000</v>
      </c>
      <c r="J111" s="37">
        <f t="shared" ref="J111:J112" si="63">+F111*C111</f>
        <v>7000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</row>
    <row r="112" spans="2:283" s="78" customFormat="1" ht="15" customHeight="1">
      <c r="B112" s="136"/>
      <c r="C112" s="19">
        <v>1</v>
      </c>
      <c r="D112" s="132" t="s">
        <v>59</v>
      </c>
      <c r="E112" s="216" t="s">
        <v>61</v>
      </c>
      <c r="F112" s="21">
        <v>6000</v>
      </c>
      <c r="G112" s="21">
        <f t="shared" si="60"/>
        <v>17612.900000000001</v>
      </c>
      <c r="H112" s="21">
        <f t="shared" si="61"/>
        <v>5612.9</v>
      </c>
      <c r="I112" s="21">
        <f t="shared" si="62"/>
        <v>6000</v>
      </c>
      <c r="J112" s="37">
        <f t="shared" si="63"/>
        <v>6000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</row>
    <row r="113" spans="2:283" s="78" customFormat="1" ht="15" customHeight="1">
      <c r="B113" s="53"/>
      <c r="C113" s="19">
        <v>1</v>
      </c>
      <c r="D113" s="132" t="s">
        <v>59</v>
      </c>
      <c r="E113" s="216" t="s">
        <v>61</v>
      </c>
      <c r="F113" s="125">
        <v>5500</v>
      </c>
      <c r="G113" s="21">
        <f>SUM(H113:S113)</f>
        <v>16145.16</v>
      </c>
      <c r="H113" s="21">
        <f>+F113*C113/31*29</f>
        <v>5145.16</v>
      </c>
      <c r="I113" s="21">
        <f>+F113*C113</f>
        <v>5500</v>
      </c>
      <c r="J113" s="37">
        <f>+F113*C113</f>
        <v>5500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</row>
    <row r="114" spans="2:283" s="78" customFormat="1" ht="15" customHeight="1">
      <c r="B114" s="53"/>
      <c r="C114" s="253">
        <v>1</v>
      </c>
      <c r="D114" s="132" t="s">
        <v>111</v>
      </c>
      <c r="E114" s="216" t="s">
        <v>61</v>
      </c>
      <c r="F114" s="20">
        <v>3500</v>
      </c>
      <c r="G114" s="21">
        <f t="shared" ref="G114:G115" si="64">SUM(H114:S114)</f>
        <v>5125</v>
      </c>
      <c r="H114" s="21">
        <v>0</v>
      </c>
      <c r="I114" s="21">
        <v>0</v>
      </c>
      <c r="J114" s="21">
        <f>125*13+3500</f>
        <v>5125</v>
      </c>
      <c r="K114" s="37"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</row>
    <row r="115" spans="2:283" s="78" customFormat="1" ht="15" customHeight="1">
      <c r="B115" s="53"/>
      <c r="C115" s="253">
        <v>1</v>
      </c>
      <c r="D115" s="132" t="s">
        <v>111</v>
      </c>
      <c r="E115" s="216" t="s">
        <v>61</v>
      </c>
      <c r="F115" s="20">
        <v>3500</v>
      </c>
      <c r="G115" s="21">
        <f t="shared" si="64"/>
        <v>5125</v>
      </c>
      <c r="H115" s="21">
        <v>0</v>
      </c>
      <c r="I115" s="21">
        <v>0</v>
      </c>
      <c r="J115" s="21">
        <f t="shared" ref="J115:J116" si="65">125*13+3500</f>
        <v>5125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</row>
    <row r="116" spans="2:283" s="78" customFormat="1" ht="15" customHeight="1">
      <c r="B116" s="53"/>
      <c r="C116" s="253">
        <v>1</v>
      </c>
      <c r="D116" s="132" t="s">
        <v>111</v>
      </c>
      <c r="E116" s="216" t="s">
        <v>61</v>
      </c>
      <c r="F116" s="20">
        <v>3500</v>
      </c>
      <c r="G116" s="21">
        <f>SUM(H116:S116)</f>
        <v>5125</v>
      </c>
      <c r="H116" s="21">
        <v>0</v>
      </c>
      <c r="I116" s="21">
        <v>0</v>
      </c>
      <c r="J116" s="21">
        <f t="shared" si="65"/>
        <v>5125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</row>
    <row r="117" spans="2:283" s="78" customFormat="1" ht="15" customHeight="1">
      <c r="B117" s="53"/>
      <c r="C117" s="253">
        <v>1</v>
      </c>
      <c r="D117" s="132" t="s">
        <v>116</v>
      </c>
      <c r="E117" s="216" t="s">
        <v>61</v>
      </c>
      <c r="F117" s="20">
        <v>3500</v>
      </c>
      <c r="G117" s="21">
        <f t="shared" ref="G117" si="66">SUM(H117:S117)</f>
        <v>3500</v>
      </c>
      <c r="H117" s="21">
        <v>0</v>
      </c>
      <c r="I117" s="21">
        <v>0</v>
      </c>
      <c r="J117" s="21">
        <v>3500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</row>
    <row r="118" spans="2:283" ht="12" customHeight="1">
      <c r="B118" s="13"/>
      <c r="C118" s="14"/>
      <c r="D118" s="150"/>
      <c r="E118" s="277" t="s">
        <v>24</v>
      </c>
      <c r="F118" s="278"/>
      <c r="G118" s="16">
        <f>294000-SUM(G110:G117)</f>
        <v>191463.71</v>
      </c>
      <c r="H118" s="17"/>
      <c r="I118" s="17"/>
      <c r="J118" s="17"/>
      <c r="K118" s="37"/>
      <c r="L118" s="17"/>
      <c r="M118" s="95"/>
      <c r="N118" s="17"/>
      <c r="O118" s="17"/>
      <c r="P118" s="17"/>
      <c r="Q118" s="17"/>
      <c r="R118" s="17"/>
      <c r="S118" s="16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/>
      <c r="EG118" s="78"/>
      <c r="EH118" s="78"/>
      <c r="EI118" s="78"/>
      <c r="EJ118" s="78"/>
      <c r="EK118" s="78"/>
      <c r="EL118" s="78"/>
      <c r="EM118" s="78"/>
      <c r="EN118" s="78"/>
      <c r="EO118" s="78"/>
      <c r="EP118" s="78"/>
      <c r="EQ118" s="78"/>
      <c r="ER118" s="78"/>
      <c r="ES118" s="78"/>
      <c r="ET118" s="78"/>
      <c r="EU118" s="78"/>
      <c r="EV118" s="78"/>
      <c r="EW118" s="78"/>
      <c r="EX118" s="78"/>
      <c r="EY118" s="78"/>
      <c r="EZ118" s="78"/>
      <c r="FA118" s="78"/>
      <c r="FB118" s="78"/>
      <c r="FC118" s="78"/>
      <c r="FD118" s="78"/>
      <c r="FE118" s="78"/>
      <c r="FF118" s="78"/>
      <c r="FG118" s="78"/>
      <c r="FH118" s="78"/>
      <c r="FI118" s="78"/>
      <c r="FJ118" s="78"/>
      <c r="FK118" s="78"/>
      <c r="FL118" s="78"/>
      <c r="FM118" s="78"/>
      <c r="FN118" s="78"/>
      <c r="FO118" s="78"/>
      <c r="FP118" s="78"/>
      <c r="FQ118" s="78"/>
      <c r="FR118" s="78"/>
      <c r="FS118" s="78"/>
      <c r="FT118" s="78"/>
      <c r="FU118" s="78"/>
      <c r="FV118" s="78"/>
      <c r="FW118" s="78"/>
      <c r="FX118" s="78"/>
      <c r="FY118" s="78"/>
      <c r="FZ118" s="78"/>
      <c r="GA118" s="78"/>
      <c r="GB118" s="78"/>
      <c r="GC118" s="78"/>
      <c r="GD118" s="78"/>
      <c r="GE118" s="78"/>
      <c r="GF118" s="78"/>
      <c r="GG118" s="78"/>
      <c r="GH118" s="78"/>
      <c r="GI118" s="78"/>
      <c r="GJ118" s="78"/>
      <c r="GK118" s="78"/>
      <c r="GL118" s="78"/>
      <c r="GM118" s="78"/>
      <c r="GN118" s="78"/>
      <c r="GO118" s="78"/>
      <c r="GP118" s="78"/>
      <c r="GQ118" s="78"/>
      <c r="GR118" s="78"/>
      <c r="GS118" s="78"/>
      <c r="GT118" s="78"/>
      <c r="GU118" s="78"/>
      <c r="GV118" s="78"/>
      <c r="GW118" s="78"/>
      <c r="GX118" s="78"/>
      <c r="GY118" s="78"/>
      <c r="GZ118" s="78"/>
      <c r="HA118" s="78"/>
      <c r="HB118" s="78"/>
      <c r="HC118" s="78"/>
      <c r="HD118" s="78"/>
      <c r="HE118" s="78"/>
      <c r="HF118" s="78"/>
      <c r="HG118" s="78"/>
      <c r="HH118" s="78"/>
      <c r="HI118" s="78"/>
      <c r="HJ118" s="78"/>
      <c r="HK118" s="78"/>
      <c r="HL118" s="78"/>
      <c r="HM118" s="78"/>
      <c r="HN118" s="78"/>
      <c r="HO118" s="78"/>
      <c r="HP118" s="78"/>
      <c r="HQ118" s="78"/>
      <c r="HR118" s="78"/>
      <c r="HS118" s="78"/>
      <c r="HT118" s="78"/>
      <c r="HU118" s="78"/>
      <c r="HV118" s="78"/>
      <c r="HW118" s="78"/>
      <c r="HX118" s="78"/>
      <c r="HY118" s="78"/>
      <c r="HZ118" s="78"/>
      <c r="IA118" s="78"/>
      <c r="IB118" s="78"/>
      <c r="IC118" s="78"/>
      <c r="ID118" s="78"/>
      <c r="IE118" s="78"/>
      <c r="IF118" s="78"/>
      <c r="IG118" s="78"/>
      <c r="IH118" s="78"/>
      <c r="II118" s="78"/>
      <c r="IJ118" s="78"/>
      <c r="IK118" s="78"/>
      <c r="IL118" s="78"/>
      <c r="IM118" s="78"/>
      <c r="IN118" s="78"/>
      <c r="IO118" s="78"/>
      <c r="IP118" s="78"/>
      <c r="IQ118" s="78"/>
      <c r="IR118" s="78"/>
      <c r="IS118" s="78"/>
      <c r="IT118" s="78"/>
      <c r="IU118" s="78"/>
      <c r="IV118" s="78"/>
      <c r="IW118" s="78"/>
      <c r="IX118" s="78"/>
      <c r="IY118" s="78"/>
      <c r="IZ118" s="78"/>
      <c r="JA118" s="78"/>
      <c r="JB118" s="78"/>
      <c r="JC118" s="78"/>
      <c r="JD118" s="78"/>
      <c r="JE118" s="78"/>
      <c r="JF118" s="78"/>
      <c r="JG118" s="78"/>
      <c r="JH118" s="78"/>
      <c r="JI118" s="78"/>
      <c r="JJ118" s="78"/>
      <c r="JK118" s="78"/>
      <c r="JL118" s="78"/>
      <c r="JM118" s="78"/>
      <c r="JN118" s="78"/>
      <c r="JO118" s="78"/>
      <c r="JP118" s="78"/>
      <c r="JQ118" s="78"/>
      <c r="JR118" s="78"/>
      <c r="JS118" s="78"/>
      <c r="JT118" s="78"/>
      <c r="JU118" s="78"/>
      <c r="JV118" s="78"/>
      <c r="JW118" s="78"/>
    </row>
    <row r="119" spans="2:283">
      <c r="B119" s="247"/>
      <c r="C119" s="86"/>
      <c r="D119" s="151"/>
      <c r="E119" s="213"/>
      <c r="F119" s="93"/>
      <c r="G119" s="89"/>
      <c r="H119" s="88"/>
      <c r="I119" s="88"/>
      <c r="J119" s="88"/>
      <c r="K119" s="96"/>
      <c r="L119" s="88"/>
      <c r="M119" s="88"/>
      <c r="N119" s="88"/>
      <c r="O119" s="88"/>
      <c r="P119" s="88"/>
      <c r="Q119" s="88"/>
      <c r="R119" s="88"/>
      <c r="S119" s="250"/>
      <c r="T119" s="74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78"/>
      <c r="EA119" s="78"/>
      <c r="EB119" s="78"/>
      <c r="EC119" s="78"/>
      <c r="ED119" s="78"/>
      <c r="EE119" s="78"/>
      <c r="EF119" s="78"/>
      <c r="EG119" s="78"/>
      <c r="EH119" s="78"/>
      <c r="EI119" s="78"/>
      <c r="EJ119" s="78"/>
      <c r="EK119" s="78"/>
      <c r="EL119" s="78"/>
      <c r="EM119" s="78"/>
      <c r="EN119" s="78"/>
      <c r="EO119" s="78"/>
      <c r="EP119" s="78"/>
      <c r="EQ119" s="78"/>
      <c r="ER119" s="78"/>
      <c r="ES119" s="78"/>
      <c r="ET119" s="78"/>
      <c r="EU119" s="78"/>
      <c r="EV119" s="78"/>
      <c r="EW119" s="78"/>
      <c r="EX119" s="78"/>
      <c r="EY119" s="78"/>
      <c r="EZ119" s="78"/>
      <c r="FA119" s="78"/>
      <c r="FB119" s="78"/>
      <c r="FC119" s="78"/>
      <c r="FD119" s="78"/>
      <c r="FE119" s="78"/>
      <c r="FF119" s="78"/>
      <c r="FG119" s="78"/>
      <c r="FH119" s="78"/>
      <c r="FI119" s="78"/>
      <c r="FJ119" s="78"/>
      <c r="FK119" s="78"/>
      <c r="FL119" s="78"/>
      <c r="FM119" s="78"/>
      <c r="FN119" s="78"/>
      <c r="FO119" s="78"/>
      <c r="FP119" s="78"/>
      <c r="FQ119" s="78"/>
      <c r="FR119" s="78"/>
      <c r="FS119" s="78"/>
      <c r="FT119" s="78"/>
      <c r="FU119" s="78"/>
      <c r="FV119" s="78"/>
      <c r="FW119" s="78"/>
      <c r="FX119" s="78"/>
      <c r="FY119" s="78"/>
      <c r="FZ119" s="78"/>
      <c r="GA119" s="78"/>
      <c r="GB119" s="78"/>
      <c r="GC119" s="78"/>
      <c r="GD119" s="78"/>
      <c r="GE119" s="78"/>
      <c r="GF119" s="78"/>
      <c r="GG119" s="78"/>
      <c r="GH119" s="78"/>
      <c r="GI119" s="78"/>
      <c r="GJ119" s="78"/>
      <c r="GK119" s="78"/>
      <c r="GL119" s="78"/>
      <c r="GM119" s="78"/>
      <c r="GN119" s="78"/>
      <c r="GO119" s="78"/>
      <c r="GP119" s="78"/>
      <c r="GQ119" s="78"/>
      <c r="GR119" s="78"/>
      <c r="GS119" s="78"/>
      <c r="GT119" s="78"/>
      <c r="GU119" s="78"/>
      <c r="GV119" s="78"/>
      <c r="GW119" s="78"/>
      <c r="GX119" s="78"/>
      <c r="GY119" s="78"/>
      <c r="GZ119" s="78"/>
      <c r="HA119" s="78"/>
      <c r="HB119" s="78"/>
      <c r="HC119" s="78"/>
      <c r="HD119" s="78"/>
      <c r="HE119" s="78"/>
      <c r="HF119" s="78"/>
      <c r="HG119" s="78"/>
      <c r="HH119" s="78"/>
      <c r="HI119" s="78"/>
      <c r="HJ119" s="78"/>
      <c r="HK119" s="78"/>
      <c r="HL119" s="78"/>
      <c r="HM119" s="78"/>
      <c r="HN119" s="78"/>
      <c r="HO119" s="78"/>
      <c r="HP119" s="78"/>
      <c r="HQ119" s="78"/>
      <c r="HR119" s="78"/>
      <c r="HS119" s="78"/>
      <c r="HT119" s="78"/>
      <c r="HU119" s="78"/>
      <c r="HV119" s="78"/>
      <c r="HW119" s="78"/>
      <c r="HX119" s="78"/>
      <c r="HY119" s="78"/>
      <c r="HZ119" s="78"/>
      <c r="IA119" s="78"/>
      <c r="IB119" s="78"/>
      <c r="IC119" s="78"/>
      <c r="ID119" s="78"/>
      <c r="IE119" s="78"/>
      <c r="IF119" s="78"/>
      <c r="IG119" s="78"/>
      <c r="IH119" s="78"/>
      <c r="II119" s="78"/>
      <c r="IJ119" s="78"/>
      <c r="IK119" s="78"/>
      <c r="IL119" s="78"/>
      <c r="IM119" s="78"/>
      <c r="IN119" s="78"/>
      <c r="IO119" s="78"/>
      <c r="IP119" s="78"/>
      <c r="IQ119" s="78"/>
      <c r="IR119" s="78"/>
      <c r="IS119" s="78"/>
      <c r="IT119" s="78"/>
      <c r="IU119" s="78"/>
      <c r="IV119" s="78"/>
      <c r="IW119" s="78"/>
      <c r="IX119" s="78"/>
      <c r="IY119" s="78"/>
      <c r="IZ119" s="78"/>
      <c r="JA119" s="78"/>
      <c r="JB119" s="78"/>
      <c r="JC119" s="78"/>
      <c r="JD119" s="78"/>
      <c r="JE119" s="78"/>
      <c r="JF119" s="78"/>
      <c r="JG119" s="78"/>
      <c r="JH119" s="78"/>
      <c r="JI119" s="78"/>
      <c r="JJ119" s="78"/>
      <c r="JK119" s="78"/>
      <c r="JL119" s="78"/>
      <c r="JM119" s="78"/>
      <c r="JN119" s="78"/>
      <c r="JO119" s="78"/>
      <c r="JP119" s="78"/>
      <c r="JQ119" s="78"/>
      <c r="JR119" s="78"/>
      <c r="JS119" s="78"/>
      <c r="JT119" s="78"/>
      <c r="JU119" s="78"/>
      <c r="JV119" s="78"/>
      <c r="JW119" s="78"/>
    </row>
    <row r="120" spans="2:283">
      <c r="B120" s="273" t="s">
        <v>28</v>
      </c>
      <c r="C120" s="92"/>
      <c r="D120" s="154"/>
      <c r="E120" s="217"/>
      <c r="F120" s="97" t="s">
        <v>23</v>
      </c>
      <c r="G120" s="80">
        <f>G121+G122</f>
        <v>2694000</v>
      </c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  <c r="DV120" s="78"/>
      <c r="DW120" s="78"/>
      <c r="DX120" s="78"/>
      <c r="DY120" s="78"/>
      <c r="DZ120" s="78"/>
      <c r="EA120" s="78"/>
      <c r="EB120" s="78"/>
      <c r="EC120" s="78"/>
      <c r="ED120" s="78"/>
      <c r="EE120" s="78"/>
      <c r="EF120" s="78"/>
      <c r="EG120" s="78"/>
      <c r="EH120" s="78"/>
      <c r="EI120" s="78"/>
      <c r="EJ120" s="78"/>
      <c r="EK120" s="78"/>
      <c r="EL120" s="78"/>
      <c r="EM120" s="78"/>
      <c r="EN120" s="78"/>
      <c r="EO120" s="78"/>
      <c r="EP120" s="78"/>
      <c r="EQ120" s="78"/>
      <c r="ER120" s="78"/>
      <c r="ES120" s="78"/>
      <c r="ET120" s="78"/>
      <c r="EU120" s="78"/>
      <c r="EV120" s="78"/>
      <c r="EW120" s="78"/>
      <c r="EX120" s="78"/>
      <c r="EY120" s="78"/>
      <c r="EZ120" s="78"/>
      <c r="FA120" s="78"/>
      <c r="FB120" s="78"/>
      <c r="FC120" s="78"/>
      <c r="FD120" s="78"/>
      <c r="FE120" s="78"/>
      <c r="FF120" s="78"/>
      <c r="FG120" s="78"/>
      <c r="FH120" s="78"/>
      <c r="FI120" s="78"/>
      <c r="FJ120" s="78"/>
      <c r="FK120" s="78"/>
      <c r="FL120" s="78"/>
      <c r="FM120" s="78"/>
      <c r="FN120" s="78"/>
      <c r="FO120" s="78"/>
      <c r="FP120" s="78"/>
      <c r="FQ120" s="78"/>
      <c r="FR120" s="78"/>
      <c r="FS120" s="78"/>
      <c r="FT120" s="78"/>
      <c r="FU120" s="78"/>
      <c r="FV120" s="78"/>
      <c r="FW120" s="78"/>
      <c r="FX120" s="78"/>
      <c r="FY120" s="78"/>
      <c r="FZ120" s="78"/>
      <c r="GA120" s="78"/>
      <c r="GB120" s="78"/>
      <c r="GC120" s="78"/>
      <c r="GD120" s="78"/>
      <c r="GE120" s="78"/>
      <c r="GF120" s="78"/>
      <c r="GG120" s="78"/>
      <c r="GH120" s="78"/>
      <c r="GI120" s="78"/>
      <c r="GJ120" s="78"/>
      <c r="GK120" s="78"/>
      <c r="GL120" s="78"/>
      <c r="GM120" s="78"/>
      <c r="GN120" s="78"/>
      <c r="GO120" s="78"/>
      <c r="GP120" s="78"/>
      <c r="GQ120" s="78"/>
      <c r="GR120" s="78"/>
      <c r="GS120" s="78"/>
      <c r="GT120" s="78"/>
      <c r="GU120" s="78"/>
      <c r="GV120" s="78"/>
      <c r="GW120" s="78"/>
      <c r="GX120" s="78"/>
      <c r="GY120" s="78"/>
      <c r="GZ120" s="78"/>
      <c r="HA120" s="78"/>
      <c r="HB120" s="78"/>
      <c r="HC120" s="78"/>
      <c r="HD120" s="78"/>
      <c r="HE120" s="78"/>
      <c r="HF120" s="78"/>
      <c r="HG120" s="78"/>
      <c r="HH120" s="78"/>
      <c r="HI120" s="78"/>
      <c r="HJ120" s="78"/>
      <c r="HK120" s="78"/>
      <c r="HL120" s="78"/>
      <c r="HM120" s="78"/>
      <c r="HN120" s="78"/>
      <c r="HO120" s="78"/>
      <c r="HP120" s="78"/>
      <c r="HQ120" s="78"/>
      <c r="HR120" s="78"/>
      <c r="HS120" s="78"/>
      <c r="HT120" s="78"/>
      <c r="HU120" s="78"/>
      <c r="HV120" s="78"/>
      <c r="HW120" s="78"/>
      <c r="HX120" s="78"/>
      <c r="HY120" s="78"/>
      <c r="HZ120" s="78"/>
      <c r="IA120" s="78"/>
      <c r="IB120" s="78"/>
      <c r="IC120" s="78"/>
      <c r="ID120" s="78"/>
      <c r="IE120" s="78"/>
      <c r="IF120" s="78"/>
      <c r="IG120" s="78"/>
      <c r="IH120" s="78"/>
      <c r="II120" s="78"/>
      <c r="IJ120" s="78"/>
      <c r="IK120" s="78"/>
      <c r="IL120" s="78"/>
      <c r="IM120" s="78"/>
      <c r="IN120" s="78"/>
      <c r="IO120" s="78"/>
      <c r="IP120" s="78"/>
      <c r="IQ120" s="78"/>
      <c r="IR120" s="78"/>
      <c r="IS120" s="78"/>
      <c r="IT120" s="78"/>
      <c r="IU120" s="78"/>
      <c r="IV120" s="78"/>
      <c r="IW120" s="78"/>
      <c r="IX120" s="78"/>
      <c r="IY120" s="78"/>
      <c r="IZ120" s="78"/>
      <c r="JA120" s="78"/>
      <c r="JB120" s="78"/>
      <c r="JC120" s="78"/>
      <c r="JD120" s="78"/>
      <c r="JE120" s="78"/>
      <c r="JF120" s="78"/>
      <c r="JG120" s="78"/>
      <c r="JH120" s="78"/>
      <c r="JI120" s="78"/>
      <c r="JJ120" s="78"/>
      <c r="JK120" s="78"/>
      <c r="JL120" s="78"/>
      <c r="JM120" s="78"/>
      <c r="JN120" s="78"/>
      <c r="JO120" s="78"/>
      <c r="JP120" s="78"/>
      <c r="JQ120" s="78"/>
      <c r="JR120" s="78"/>
      <c r="JS120" s="78"/>
      <c r="JT120" s="78"/>
      <c r="JU120" s="78"/>
      <c r="JV120" s="78"/>
      <c r="JW120" s="78"/>
    </row>
    <row r="121" spans="2:283">
      <c r="B121" s="274"/>
      <c r="C121" s="6"/>
      <c r="D121" s="147"/>
      <c r="E121" s="218"/>
      <c r="F121" s="82" t="s">
        <v>50</v>
      </c>
      <c r="G121" s="80">
        <f>G123</f>
        <v>650903.79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/>
      <c r="EG121" s="78"/>
      <c r="EH121" s="78"/>
      <c r="EI121" s="78"/>
      <c r="EJ121" s="78"/>
      <c r="EK121" s="78"/>
      <c r="EL121" s="78"/>
      <c r="EM121" s="78"/>
      <c r="EN121" s="78"/>
      <c r="EO121" s="78"/>
      <c r="EP121" s="78"/>
      <c r="EQ121" s="78"/>
      <c r="ER121" s="78"/>
      <c r="ES121" s="78"/>
      <c r="ET121" s="78"/>
      <c r="EU121" s="78"/>
      <c r="EV121" s="78"/>
      <c r="EW121" s="78"/>
      <c r="EX121" s="78"/>
      <c r="EY121" s="78"/>
      <c r="EZ121" s="78"/>
      <c r="FA121" s="78"/>
      <c r="FB121" s="78"/>
      <c r="FC121" s="78"/>
      <c r="FD121" s="78"/>
      <c r="FE121" s="78"/>
      <c r="FF121" s="78"/>
      <c r="FG121" s="78"/>
      <c r="FH121" s="78"/>
      <c r="FI121" s="78"/>
      <c r="FJ121" s="78"/>
      <c r="FK121" s="78"/>
      <c r="FL121" s="78"/>
      <c r="FM121" s="78"/>
      <c r="FN121" s="78"/>
      <c r="FO121" s="78"/>
      <c r="FP121" s="78"/>
      <c r="FQ121" s="78"/>
      <c r="FR121" s="78"/>
      <c r="FS121" s="78"/>
      <c r="FT121" s="78"/>
      <c r="FU121" s="78"/>
      <c r="FV121" s="78"/>
      <c r="FW121" s="78"/>
      <c r="FX121" s="78"/>
      <c r="FY121" s="78"/>
      <c r="FZ121" s="78"/>
      <c r="GA121" s="78"/>
      <c r="GB121" s="78"/>
      <c r="GC121" s="78"/>
      <c r="GD121" s="78"/>
      <c r="GE121" s="78"/>
      <c r="GF121" s="78"/>
      <c r="GG121" s="78"/>
      <c r="GH121" s="78"/>
      <c r="GI121" s="78"/>
      <c r="GJ121" s="78"/>
      <c r="GK121" s="78"/>
      <c r="GL121" s="78"/>
      <c r="GM121" s="78"/>
      <c r="GN121" s="78"/>
      <c r="GO121" s="78"/>
      <c r="GP121" s="78"/>
      <c r="GQ121" s="78"/>
      <c r="GR121" s="78"/>
      <c r="GS121" s="78"/>
      <c r="GT121" s="78"/>
      <c r="GU121" s="78"/>
      <c r="GV121" s="78"/>
      <c r="GW121" s="78"/>
      <c r="GX121" s="78"/>
      <c r="GY121" s="78"/>
      <c r="GZ121" s="78"/>
      <c r="HA121" s="78"/>
      <c r="HB121" s="78"/>
      <c r="HC121" s="78"/>
      <c r="HD121" s="78"/>
      <c r="HE121" s="78"/>
      <c r="HF121" s="78"/>
      <c r="HG121" s="78"/>
      <c r="HH121" s="78"/>
      <c r="HI121" s="78"/>
      <c r="HJ121" s="78"/>
      <c r="HK121" s="78"/>
      <c r="HL121" s="78"/>
      <c r="HM121" s="78"/>
      <c r="HN121" s="78"/>
      <c r="HO121" s="78"/>
      <c r="HP121" s="78"/>
      <c r="HQ121" s="78"/>
      <c r="HR121" s="78"/>
      <c r="HS121" s="78"/>
      <c r="HT121" s="78"/>
      <c r="HU121" s="78"/>
      <c r="HV121" s="78"/>
      <c r="HW121" s="78"/>
      <c r="HX121" s="78"/>
      <c r="HY121" s="78"/>
      <c r="HZ121" s="78"/>
      <c r="IA121" s="78"/>
      <c r="IB121" s="78"/>
      <c r="IC121" s="78"/>
      <c r="ID121" s="78"/>
      <c r="IE121" s="78"/>
      <c r="IF121" s="78"/>
      <c r="IG121" s="78"/>
      <c r="IH121" s="78"/>
      <c r="II121" s="78"/>
      <c r="IJ121" s="78"/>
      <c r="IK121" s="78"/>
      <c r="IL121" s="78"/>
      <c r="IM121" s="78"/>
      <c r="IN121" s="78"/>
      <c r="IO121" s="78"/>
      <c r="IP121" s="78"/>
      <c r="IQ121" s="78"/>
      <c r="IR121" s="78"/>
      <c r="IS121" s="78"/>
      <c r="IT121" s="78"/>
      <c r="IU121" s="78"/>
      <c r="IV121" s="78"/>
      <c r="IW121" s="78"/>
      <c r="IX121" s="78"/>
      <c r="IY121" s="78"/>
      <c r="IZ121" s="78"/>
      <c r="JA121" s="78"/>
      <c r="JB121" s="78"/>
      <c r="JC121" s="78"/>
      <c r="JD121" s="78"/>
      <c r="JE121" s="78"/>
      <c r="JF121" s="78"/>
      <c r="JG121" s="78"/>
      <c r="JH121" s="78"/>
      <c r="JI121" s="78"/>
      <c r="JJ121" s="78"/>
      <c r="JK121" s="78"/>
      <c r="JL121" s="78"/>
      <c r="JM121" s="78"/>
      <c r="JN121" s="78"/>
      <c r="JO121" s="78"/>
      <c r="JP121" s="78"/>
      <c r="JQ121" s="78"/>
      <c r="JR121" s="78"/>
      <c r="JS121" s="78"/>
      <c r="JT121" s="78"/>
      <c r="JU121" s="78"/>
      <c r="JV121" s="78"/>
      <c r="JW121" s="78"/>
    </row>
    <row r="122" spans="2:283" ht="30">
      <c r="B122" s="274"/>
      <c r="C122" s="6"/>
      <c r="D122" s="147"/>
      <c r="E122" s="218"/>
      <c r="F122" s="82" t="s">
        <v>24</v>
      </c>
      <c r="G122" s="80">
        <f>G152+G160+G164+G169+G174</f>
        <v>2043096.21</v>
      </c>
      <c r="H122" s="7"/>
      <c r="I122" s="7"/>
      <c r="J122" s="7"/>
      <c r="K122" s="7"/>
      <c r="L122" s="7"/>
      <c r="M122" s="7"/>
      <c r="N122" s="7"/>
      <c r="O122" s="61"/>
      <c r="P122" s="7"/>
      <c r="Q122" s="7"/>
      <c r="R122" s="7"/>
      <c r="S122" s="7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/>
      <c r="EG122" s="78"/>
      <c r="EH122" s="78"/>
      <c r="EI122" s="78"/>
      <c r="EJ122" s="78"/>
      <c r="EK122" s="78"/>
      <c r="EL122" s="78"/>
      <c r="EM122" s="78"/>
      <c r="EN122" s="78"/>
      <c r="EO122" s="78"/>
      <c r="EP122" s="78"/>
      <c r="EQ122" s="78"/>
      <c r="ER122" s="78"/>
      <c r="ES122" s="78"/>
      <c r="ET122" s="78"/>
      <c r="EU122" s="78"/>
      <c r="EV122" s="78"/>
      <c r="EW122" s="78"/>
      <c r="EX122" s="78"/>
      <c r="EY122" s="78"/>
      <c r="EZ122" s="78"/>
      <c r="FA122" s="78"/>
      <c r="FB122" s="78"/>
      <c r="FC122" s="78"/>
      <c r="FD122" s="78"/>
      <c r="FE122" s="78"/>
      <c r="FF122" s="78"/>
      <c r="FG122" s="78"/>
      <c r="FH122" s="78"/>
      <c r="FI122" s="78"/>
      <c r="FJ122" s="78"/>
      <c r="FK122" s="78"/>
      <c r="FL122" s="78"/>
      <c r="FM122" s="78"/>
      <c r="FN122" s="78"/>
      <c r="FO122" s="78"/>
      <c r="FP122" s="78"/>
      <c r="FQ122" s="78"/>
      <c r="FR122" s="78"/>
      <c r="FS122" s="78"/>
      <c r="FT122" s="78"/>
      <c r="FU122" s="78"/>
      <c r="FV122" s="78"/>
      <c r="FW122" s="78"/>
      <c r="FX122" s="78"/>
      <c r="FY122" s="78"/>
      <c r="FZ122" s="78"/>
      <c r="GA122" s="78"/>
      <c r="GB122" s="78"/>
      <c r="GC122" s="78"/>
      <c r="GD122" s="78"/>
      <c r="GE122" s="78"/>
      <c r="GF122" s="78"/>
      <c r="GG122" s="78"/>
      <c r="GH122" s="78"/>
      <c r="GI122" s="78"/>
      <c r="GJ122" s="78"/>
      <c r="GK122" s="78"/>
      <c r="GL122" s="78"/>
      <c r="GM122" s="78"/>
      <c r="GN122" s="78"/>
      <c r="GO122" s="78"/>
      <c r="GP122" s="78"/>
      <c r="GQ122" s="78"/>
      <c r="GR122" s="78"/>
      <c r="GS122" s="78"/>
      <c r="GT122" s="78"/>
      <c r="GU122" s="78"/>
      <c r="GV122" s="78"/>
      <c r="GW122" s="78"/>
      <c r="GX122" s="78"/>
      <c r="GY122" s="78"/>
      <c r="GZ122" s="78"/>
      <c r="HA122" s="78"/>
      <c r="HB122" s="78"/>
      <c r="HC122" s="78"/>
      <c r="HD122" s="78"/>
      <c r="HE122" s="78"/>
      <c r="HF122" s="78"/>
      <c r="HG122" s="78"/>
      <c r="HH122" s="78"/>
      <c r="HI122" s="78"/>
      <c r="HJ122" s="78"/>
      <c r="HK122" s="78"/>
      <c r="HL122" s="78"/>
      <c r="HM122" s="78"/>
      <c r="HN122" s="78"/>
      <c r="HO122" s="78"/>
      <c r="HP122" s="78"/>
      <c r="HQ122" s="78"/>
      <c r="HR122" s="78"/>
      <c r="HS122" s="78"/>
      <c r="HT122" s="78"/>
      <c r="HU122" s="78"/>
      <c r="HV122" s="78"/>
      <c r="HW122" s="78"/>
      <c r="HX122" s="78"/>
      <c r="HY122" s="78"/>
      <c r="HZ122" s="78"/>
      <c r="IA122" s="78"/>
      <c r="IB122" s="78"/>
      <c r="IC122" s="78"/>
      <c r="ID122" s="78"/>
      <c r="IE122" s="78"/>
      <c r="IF122" s="78"/>
      <c r="IG122" s="78"/>
      <c r="IH122" s="78"/>
      <c r="II122" s="78"/>
      <c r="IJ122" s="78"/>
      <c r="IK122" s="78"/>
      <c r="IL122" s="78"/>
      <c r="IM122" s="78"/>
      <c r="IN122" s="78"/>
      <c r="IO122" s="78"/>
      <c r="IP122" s="78"/>
      <c r="IQ122" s="78"/>
      <c r="IR122" s="78"/>
      <c r="IS122" s="78"/>
      <c r="IT122" s="78"/>
      <c r="IU122" s="78"/>
      <c r="IV122" s="78"/>
      <c r="IW122" s="78"/>
      <c r="IX122" s="78"/>
      <c r="IY122" s="78"/>
      <c r="IZ122" s="78"/>
      <c r="JA122" s="78"/>
      <c r="JB122" s="78"/>
      <c r="JC122" s="78"/>
      <c r="JD122" s="78"/>
      <c r="JE122" s="78"/>
      <c r="JF122" s="78"/>
      <c r="JG122" s="78"/>
      <c r="JH122" s="78"/>
      <c r="JI122" s="78"/>
      <c r="JJ122" s="78"/>
      <c r="JK122" s="78"/>
      <c r="JL122" s="78"/>
      <c r="JM122" s="78"/>
      <c r="JN122" s="78"/>
      <c r="JO122" s="78"/>
      <c r="JP122" s="78"/>
      <c r="JQ122" s="78"/>
      <c r="JR122" s="78"/>
      <c r="JS122" s="78"/>
      <c r="JT122" s="78"/>
      <c r="JU122" s="78"/>
      <c r="JV122" s="78"/>
      <c r="JW122" s="78"/>
    </row>
    <row r="123" spans="2:283" ht="30" thickBot="1">
      <c r="B123" s="62" t="s">
        <v>77</v>
      </c>
      <c r="C123" s="6">
        <f>C125+C153+C161+C165+C170</f>
        <v>35</v>
      </c>
      <c r="D123" s="147"/>
      <c r="E123" s="212"/>
      <c r="F123" s="7"/>
      <c r="G123" s="10">
        <f t="shared" ref="G123:S123" si="67">+G171+G154+G126+G162+G166</f>
        <v>650903.79</v>
      </c>
      <c r="H123" s="10">
        <f t="shared" si="67"/>
        <v>202064.5</v>
      </c>
      <c r="I123" s="10">
        <f t="shared" si="67"/>
        <v>216000</v>
      </c>
      <c r="J123" s="10">
        <f t="shared" si="67"/>
        <v>232839.29</v>
      </c>
      <c r="K123" s="10">
        <f t="shared" si="67"/>
        <v>0</v>
      </c>
      <c r="L123" s="10">
        <f t="shared" si="67"/>
        <v>0</v>
      </c>
      <c r="M123" s="10">
        <f t="shared" si="67"/>
        <v>0</v>
      </c>
      <c r="N123" s="10">
        <f t="shared" si="67"/>
        <v>0</v>
      </c>
      <c r="O123" s="10">
        <f t="shared" si="67"/>
        <v>0</v>
      </c>
      <c r="P123" s="10">
        <f t="shared" si="67"/>
        <v>0</v>
      </c>
      <c r="Q123" s="10">
        <f t="shared" si="67"/>
        <v>0</v>
      </c>
      <c r="R123" s="10">
        <f t="shared" si="67"/>
        <v>0</v>
      </c>
      <c r="S123" s="10">
        <f t="shared" si="67"/>
        <v>0</v>
      </c>
      <c r="T123" s="61"/>
      <c r="U123" s="61"/>
      <c r="V123" s="61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  <c r="EM123" s="78"/>
      <c r="EN123" s="78"/>
      <c r="EO123" s="78"/>
      <c r="EP123" s="78"/>
      <c r="EQ123" s="78"/>
      <c r="ER123" s="78"/>
      <c r="ES123" s="78"/>
      <c r="ET123" s="78"/>
      <c r="EU123" s="78"/>
      <c r="EV123" s="78"/>
      <c r="EW123" s="78"/>
      <c r="EX123" s="78"/>
      <c r="EY123" s="78"/>
      <c r="EZ123" s="78"/>
      <c r="FA123" s="78"/>
      <c r="FB123" s="78"/>
      <c r="FC123" s="78"/>
      <c r="FD123" s="78"/>
      <c r="FE123" s="78"/>
      <c r="FF123" s="78"/>
      <c r="FG123" s="78"/>
      <c r="FH123" s="78"/>
      <c r="FI123" s="78"/>
      <c r="FJ123" s="78"/>
      <c r="FK123" s="78"/>
      <c r="FL123" s="78"/>
      <c r="FM123" s="78"/>
      <c r="FN123" s="78"/>
      <c r="FO123" s="78"/>
      <c r="FP123" s="78"/>
      <c r="FQ123" s="78"/>
      <c r="FR123" s="78"/>
      <c r="FS123" s="78"/>
      <c r="FT123" s="78"/>
      <c r="FU123" s="78"/>
      <c r="FV123" s="78"/>
      <c r="FW123" s="78"/>
      <c r="FX123" s="78"/>
      <c r="FY123" s="78"/>
      <c r="FZ123" s="78"/>
      <c r="GA123" s="78"/>
      <c r="GB123" s="78"/>
      <c r="GC123" s="78"/>
      <c r="GD123" s="78"/>
      <c r="GE123" s="78"/>
      <c r="GF123" s="78"/>
      <c r="GG123" s="78"/>
      <c r="GH123" s="78"/>
      <c r="GI123" s="78"/>
      <c r="GJ123" s="78"/>
      <c r="GK123" s="78"/>
      <c r="GL123" s="78"/>
      <c r="GM123" s="78"/>
      <c r="GN123" s="78"/>
      <c r="GO123" s="78"/>
      <c r="GP123" s="78"/>
      <c r="GQ123" s="78"/>
      <c r="GR123" s="78"/>
      <c r="GS123" s="78"/>
      <c r="GT123" s="78"/>
      <c r="GU123" s="78"/>
      <c r="GV123" s="78"/>
      <c r="GW123" s="78"/>
      <c r="GX123" s="78"/>
      <c r="GY123" s="78"/>
      <c r="GZ123" s="78"/>
      <c r="HA123" s="78"/>
      <c r="HB123" s="78"/>
      <c r="HC123" s="78"/>
      <c r="HD123" s="78"/>
      <c r="HE123" s="78"/>
      <c r="HF123" s="78"/>
      <c r="HG123" s="78"/>
      <c r="HH123" s="78"/>
      <c r="HI123" s="78"/>
      <c r="HJ123" s="78"/>
      <c r="HK123" s="78"/>
      <c r="HL123" s="78"/>
      <c r="HM123" s="78"/>
      <c r="HN123" s="78"/>
      <c r="HO123" s="78"/>
      <c r="HP123" s="78"/>
      <c r="HQ123" s="78"/>
      <c r="HR123" s="78"/>
      <c r="HS123" s="78"/>
      <c r="HT123" s="78"/>
      <c r="HU123" s="78"/>
      <c r="HV123" s="78"/>
      <c r="HW123" s="78"/>
      <c r="HX123" s="78"/>
      <c r="HY123" s="78"/>
      <c r="HZ123" s="78"/>
      <c r="IA123" s="78"/>
      <c r="IB123" s="78"/>
      <c r="IC123" s="78"/>
      <c r="ID123" s="78"/>
      <c r="IE123" s="78"/>
      <c r="IF123" s="78"/>
      <c r="IG123" s="78"/>
      <c r="IH123" s="78"/>
      <c r="II123" s="78"/>
      <c r="IJ123" s="78"/>
      <c r="IK123" s="78"/>
      <c r="IL123" s="78"/>
      <c r="IM123" s="78"/>
      <c r="IN123" s="78"/>
      <c r="IO123" s="78"/>
      <c r="IP123" s="78"/>
      <c r="IQ123" s="78"/>
      <c r="IR123" s="78"/>
      <c r="IS123" s="78"/>
      <c r="IT123" s="78"/>
      <c r="IU123" s="78"/>
      <c r="IV123" s="78"/>
      <c r="IW123" s="78"/>
      <c r="IX123" s="78"/>
      <c r="IY123" s="78"/>
      <c r="IZ123" s="78"/>
      <c r="JA123" s="78"/>
      <c r="JB123" s="78"/>
      <c r="JC123" s="78"/>
      <c r="JD123" s="78"/>
      <c r="JE123" s="78"/>
      <c r="JF123" s="78"/>
      <c r="JG123" s="78"/>
      <c r="JH123" s="78"/>
      <c r="JI123" s="78"/>
      <c r="JJ123" s="78"/>
      <c r="JK123" s="78"/>
      <c r="JL123" s="78"/>
      <c r="JM123" s="78"/>
      <c r="JN123" s="78"/>
      <c r="JO123" s="78"/>
      <c r="JP123" s="78"/>
      <c r="JQ123" s="78"/>
      <c r="JR123" s="78"/>
      <c r="JS123" s="78"/>
      <c r="JT123" s="78"/>
      <c r="JU123" s="78"/>
      <c r="JV123" s="78"/>
      <c r="JW123" s="78"/>
    </row>
    <row r="124" spans="2:283" ht="15.75" thickTop="1">
      <c r="B124" s="34"/>
      <c r="C124" s="35"/>
      <c r="D124" s="155"/>
      <c r="E124" s="23"/>
      <c r="F124" s="43"/>
      <c r="G124" s="24"/>
      <c r="H124" s="24"/>
      <c r="I124" s="24"/>
      <c r="J124" s="24"/>
      <c r="K124" s="24"/>
      <c r="L124" s="24"/>
      <c r="M124" s="27"/>
      <c r="N124" s="61"/>
      <c r="O124" s="24"/>
      <c r="P124" s="24"/>
      <c r="Q124" s="24"/>
      <c r="R124" s="24"/>
      <c r="S124" s="24"/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/>
      <c r="EG124" s="78"/>
      <c r="EH124" s="78"/>
      <c r="EI124" s="78"/>
      <c r="EJ124" s="78"/>
      <c r="EK124" s="78"/>
      <c r="EL124" s="78"/>
      <c r="EM124" s="78"/>
      <c r="EN124" s="78"/>
      <c r="EO124" s="78"/>
      <c r="EP124" s="78"/>
      <c r="EQ124" s="78"/>
      <c r="ER124" s="78"/>
      <c r="ES124" s="78"/>
      <c r="ET124" s="78"/>
      <c r="EU124" s="78"/>
      <c r="EV124" s="78"/>
      <c r="EW124" s="78"/>
      <c r="EX124" s="78"/>
      <c r="EY124" s="78"/>
      <c r="EZ124" s="78"/>
      <c r="FA124" s="78"/>
      <c r="FB124" s="78"/>
      <c r="FC124" s="78"/>
      <c r="FD124" s="78"/>
      <c r="FE124" s="78"/>
      <c r="FF124" s="78"/>
      <c r="FG124" s="78"/>
      <c r="FH124" s="78"/>
      <c r="FI124" s="78"/>
      <c r="FJ124" s="78"/>
      <c r="FK124" s="78"/>
      <c r="FL124" s="78"/>
      <c r="FM124" s="78"/>
      <c r="FN124" s="78"/>
      <c r="FO124" s="78"/>
      <c r="FP124" s="78"/>
      <c r="FQ124" s="78"/>
      <c r="FR124" s="78"/>
      <c r="FS124" s="78"/>
      <c r="FT124" s="78"/>
      <c r="FU124" s="78"/>
      <c r="FV124" s="78"/>
      <c r="FW124" s="78"/>
      <c r="FX124" s="78"/>
      <c r="FY124" s="78"/>
      <c r="FZ124" s="78"/>
      <c r="GA124" s="78"/>
      <c r="GB124" s="78"/>
      <c r="GC124" s="78"/>
      <c r="GD124" s="78"/>
      <c r="GE124" s="78"/>
      <c r="GF124" s="78"/>
      <c r="GG124" s="78"/>
      <c r="GH124" s="78"/>
      <c r="GI124" s="78"/>
      <c r="GJ124" s="78"/>
      <c r="GK124" s="78"/>
      <c r="GL124" s="78"/>
      <c r="GM124" s="78"/>
      <c r="GN124" s="78"/>
      <c r="GO124" s="78"/>
      <c r="GP124" s="78"/>
      <c r="GQ124" s="78"/>
      <c r="GR124" s="78"/>
      <c r="GS124" s="78"/>
      <c r="GT124" s="78"/>
      <c r="GU124" s="78"/>
      <c r="GV124" s="78"/>
      <c r="GW124" s="78"/>
      <c r="GX124" s="78"/>
      <c r="GY124" s="78"/>
      <c r="GZ124" s="78"/>
      <c r="HA124" s="78"/>
      <c r="HB124" s="78"/>
      <c r="HC124" s="78"/>
      <c r="HD124" s="78"/>
      <c r="HE124" s="78"/>
      <c r="HF124" s="78"/>
      <c r="HG124" s="78"/>
      <c r="HH124" s="78"/>
      <c r="HI124" s="78"/>
      <c r="HJ124" s="78"/>
      <c r="HK124" s="78"/>
      <c r="HL124" s="78"/>
      <c r="HM124" s="78"/>
      <c r="HN124" s="78"/>
      <c r="HO124" s="78"/>
      <c r="HP124" s="78"/>
      <c r="HQ124" s="78"/>
      <c r="HR124" s="78"/>
      <c r="HS124" s="78"/>
      <c r="HT124" s="78"/>
      <c r="HU124" s="78"/>
      <c r="HV124" s="78"/>
      <c r="HW124" s="78"/>
      <c r="HX124" s="78"/>
      <c r="HY124" s="78"/>
      <c r="HZ124" s="78"/>
      <c r="IA124" s="78"/>
      <c r="IB124" s="78"/>
      <c r="IC124" s="78"/>
      <c r="ID124" s="78"/>
      <c r="IE124" s="78"/>
      <c r="IF124" s="78"/>
      <c r="IG124" s="78"/>
      <c r="IH124" s="78"/>
      <c r="II124" s="78"/>
      <c r="IJ124" s="78"/>
      <c r="IK124" s="78"/>
      <c r="IL124" s="78"/>
      <c r="IM124" s="78"/>
      <c r="IN124" s="78"/>
      <c r="IO124" s="78"/>
      <c r="IP124" s="78"/>
      <c r="IQ124" s="78"/>
      <c r="IR124" s="78"/>
      <c r="IS124" s="78"/>
      <c r="IT124" s="78"/>
      <c r="IU124" s="78"/>
      <c r="IV124" s="78"/>
      <c r="IW124" s="78"/>
      <c r="IX124" s="78"/>
      <c r="IY124" s="78"/>
      <c r="IZ124" s="78"/>
      <c r="JA124" s="78"/>
      <c r="JB124" s="78"/>
      <c r="JC124" s="78"/>
      <c r="JD124" s="78"/>
      <c r="JE124" s="78"/>
      <c r="JF124" s="78"/>
      <c r="JG124" s="78"/>
      <c r="JH124" s="78"/>
      <c r="JI124" s="78"/>
      <c r="JJ124" s="78"/>
      <c r="JK124" s="78"/>
      <c r="JL124" s="78"/>
      <c r="JM124" s="78"/>
      <c r="JN124" s="78"/>
      <c r="JO124" s="78"/>
      <c r="JP124" s="78"/>
      <c r="JQ124" s="78"/>
      <c r="JR124" s="78"/>
      <c r="JS124" s="78"/>
      <c r="JT124" s="78"/>
      <c r="JU124" s="78"/>
      <c r="JV124" s="78"/>
      <c r="JW124" s="78"/>
    </row>
    <row r="125" spans="2:283" s="64" customFormat="1" ht="29.25" customHeight="1">
      <c r="B125" s="279" t="s">
        <v>78</v>
      </c>
      <c r="C125" s="281">
        <f>SUM(C127:C151)</f>
        <v>25</v>
      </c>
      <c r="D125" s="156"/>
      <c r="E125" s="219"/>
      <c r="F125" s="49"/>
      <c r="G125" s="49"/>
      <c r="H125" s="49"/>
      <c r="I125" s="49"/>
      <c r="J125" s="49"/>
      <c r="K125" s="49"/>
      <c r="L125" s="49"/>
      <c r="M125" s="70"/>
      <c r="N125" s="49"/>
      <c r="O125" s="49"/>
      <c r="P125" s="49"/>
      <c r="Q125" s="49"/>
      <c r="R125" s="49"/>
      <c r="S125" s="49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8"/>
      <c r="DF125" s="78"/>
      <c r="DG125" s="78"/>
      <c r="DH125" s="78"/>
      <c r="DI125" s="78"/>
      <c r="DJ125" s="78"/>
      <c r="DK125" s="78"/>
      <c r="DL125" s="78"/>
      <c r="DM125" s="78"/>
      <c r="DN125" s="78"/>
      <c r="DO125" s="78"/>
      <c r="DP125" s="78"/>
      <c r="DQ125" s="78"/>
      <c r="DR125" s="78"/>
      <c r="DS125" s="78"/>
      <c r="DT125" s="78"/>
      <c r="DU125" s="78"/>
      <c r="DV125" s="78"/>
      <c r="DW125" s="78"/>
      <c r="DX125" s="78"/>
      <c r="DY125" s="78"/>
      <c r="DZ125" s="78"/>
      <c r="EA125" s="78"/>
      <c r="EB125" s="78"/>
      <c r="EC125" s="78"/>
      <c r="ED125" s="78"/>
      <c r="EE125" s="78"/>
      <c r="EF125" s="78"/>
      <c r="EG125" s="78"/>
      <c r="EH125" s="78"/>
      <c r="EI125" s="78"/>
      <c r="EJ125" s="78"/>
      <c r="EK125" s="78"/>
      <c r="EL125" s="78"/>
      <c r="EM125" s="78"/>
      <c r="EN125" s="78"/>
      <c r="EO125" s="78"/>
      <c r="EP125" s="78"/>
      <c r="EQ125" s="78"/>
      <c r="ER125" s="78"/>
      <c r="ES125" s="78"/>
      <c r="ET125" s="78"/>
      <c r="EU125" s="78"/>
      <c r="EV125" s="78"/>
      <c r="EW125" s="78"/>
      <c r="EX125" s="78"/>
      <c r="EY125" s="78"/>
      <c r="EZ125" s="78"/>
      <c r="FA125" s="78"/>
      <c r="FB125" s="78"/>
      <c r="FC125" s="78"/>
      <c r="FD125" s="78"/>
      <c r="FE125" s="78"/>
      <c r="FF125" s="78"/>
      <c r="FG125" s="78"/>
      <c r="FH125" s="78"/>
      <c r="FI125" s="78"/>
      <c r="FJ125" s="78"/>
      <c r="FK125" s="78"/>
      <c r="FL125" s="78"/>
      <c r="FM125" s="78"/>
      <c r="FN125" s="78"/>
      <c r="FO125" s="78"/>
      <c r="FP125" s="78"/>
      <c r="FQ125" s="78"/>
      <c r="FR125" s="78"/>
      <c r="FS125" s="78"/>
      <c r="FT125" s="78"/>
      <c r="FU125" s="78"/>
      <c r="FV125" s="78"/>
      <c r="FW125" s="78"/>
      <c r="FX125" s="78"/>
      <c r="FY125" s="78"/>
      <c r="FZ125" s="78"/>
      <c r="GA125" s="78"/>
      <c r="GB125" s="78"/>
      <c r="GC125" s="78"/>
      <c r="GD125" s="78"/>
      <c r="GE125" s="78"/>
      <c r="GF125" s="78"/>
      <c r="GG125" s="78"/>
      <c r="GH125" s="78"/>
      <c r="GI125" s="78"/>
      <c r="GJ125" s="78"/>
      <c r="GK125" s="78"/>
      <c r="GL125" s="78"/>
      <c r="GM125" s="78"/>
      <c r="GN125" s="78"/>
      <c r="GO125" s="78"/>
      <c r="GP125" s="78"/>
      <c r="GQ125" s="78"/>
      <c r="GR125" s="78"/>
      <c r="GS125" s="78"/>
      <c r="GT125" s="78"/>
      <c r="GU125" s="78"/>
      <c r="GV125" s="78"/>
      <c r="GW125" s="78"/>
      <c r="GX125" s="78"/>
      <c r="GY125" s="78"/>
      <c r="GZ125" s="78"/>
      <c r="HA125" s="78"/>
      <c r="HB125" s="78"/>
      <c r="HC125" s="78"/>
      <c r="HD125" s="78"/>
      <c r="HE125" s="78"/>
      <c r="HF125" s="78"/>
      <c r="HG125" s="78"/>
      <c r="HH125" s="78"/>
      <c r="HI125" s="78"/>
      <c r="HJ125" s="78"/>
      <c r="HK125" s="78"/>
      <c r="HL125" s="78"/>
      <c r="HM125" s="78"/>
      <c r="HN125" s="78"/>
      <c r="HO125" s="78"/>
      <c r="HP125" s="78"/>
      <c r="HQ125" s="78"/>
      <c r="HR125" s="78"/>
      <c r="HS125" s="78"/>
      <c r="HT125" s="78"/>
      <c r="HU125" s="78"/>
      <c r="HV125" s="78"/>
      <c r="HW125" s="78"/>
      <c r="HX125" s="78"/>
      <c r="HY125" s="78"/>
      <c r="HZ125" s="78"/>
      <c r="IA125" s="78"/>
      <c r="IB125" s="78"/>
      <c r="IC125" s="78"/>
      <c r="ID125" s="78"/>
      <c r="IE125" s="78"/>
      <c r="IF125" s="78"/>
      <c r="IG125" s="78"/>
      <c r="IH125" s="78"/>
      <c r="II125" s="78"/>
      <c r="IJ125" s="78"/>
      <c r="IK125" s="78"/>
      <c r="IL125" s="78"/>
      <c r="IM125" s="78"/>
      <c r="IN125" s="78"/>
      <c r="IO125" s="78"/>
      <c r="IP125" s="78"/>
      <c r="IQ125" s="78"/>
      <c r="IR125" s="78"/>
      <c r="IS125" s="78"/>
      <c r="IT125" s="78"/>
      <c r="IU125" s="78"/>
      <c r="IV125" s="78"/>
      <c r="IW125" s="78"/>
      <c r="IX125" s="78"/>
      <c r="IY125" s="78"/>
      <c r="IZ125" s="78"/>
      <c r="JA125" s="78"/>
      <c r="JB125" s="78"/>
      <c r="JC125" s="78"/>
      <c r="JD125" s="78"/>
      <c r="JE125" s="78"/>
      <c r="JF125" s="78"/>
      <c r="JG125" s="78"/>
      <c r="JH125" s="78"/>
      <c r="JI125" s="78"/>
      <c r="JJ125" s="78"/>
      <c r="JK125" s="78"/>
      <c r="JL125" s="78"/>
      <c r="JM125" s="78"/>
      <c r="JN125" s="78"/>
      <c r="JO125" s="78"/>
      <c r="JP125" s="78"/>
      <c r="JQ125" s="78"/>
      <c r="JR125" s="78"/>
      <c r="JS125" s="78"/>
      <c r="JT125" s="78"/>
      <c r="JU125" s="78"/>
      <c r="JV125" s="78"/>
      <c r="JW125" s="78"/>
    </row>
    <row r="126" spans="2:283">
      <c r="B126" s="280"/>
      <c r="C126" s="282"/>
      <c r="D126" s="153"/>
      <c r="E126" s="218"/>
      <c r="F126" s="60"/>
      <c r="G126" s="11">
        <f t="shared" ref="G126:M126" si="68">SUM(G127:G151)</f>
        <v>471839.29</v>
      </c>
      <c r="H126" s="36">
        <f t="shared" si="68"/>
        <v>145000</v>
      </c>
      <c r="I126" s="36">
        <f t="shared" si="68"/>
        <v>155000</v>
      </c>
      <c r="J126" s="36">
        <f t="shared" si="68"/>
        <v>171839.29</v>
      </c>
      <c r="K126" s="36">
        <f t="shared" si="68"/>
        <v>0</v>
      </c>
      <c r="L126" s="36">
        <f t="shared" si="68"/>
        <v>0</v>
      </c>
      <c r="M126" s="36">
        <f t="shared" si="68"/>
        <v>0</v>
      </c>
      <c r="N126" s="36">
        <f>SUM(N127:N150)</f>
        <v>0</v>
      </c>
      <c r="O126" s="36">
        <f>SUM(O127:O150)</f>
        <v>0</v>
      </c>
      <c r="P126" s="36">
        <f>SUM(P127:P150)</f>
        <v>0</v>
      </c>
      <c r="Q126" s="36">
        <f>SUM(Q127:Q150)</f>
        <v>0</v>
      </c>
      <c r="R126" s="36">
        <f>SUM(R127:R150)</f>
        <v>0</v>
      </c>
      <c r="S126" s="36">
        <f>SUM(S127:S152)</f>
        <v>0</v>
      </c>
      <c r="T126" s="61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78"/>
      <c r="DJ126" s="78"/>
      <c r="DK126" s="78"/>
      <c r="DL126" s="78"/>
      <c r="DM126" s="78"/>
      <c r="DN126" s="78"/>
      <c r="DO126" s="78"/>
      <c r="DP126" s="78"/>
      <c r="DQ126" s="78"/>
      <c r="DR126" s="78"/>
      <c r="DS126" s="78"/>
      <c r="DT126" s="78"/>
      <c r="DU126" s="78"/>
      <c r="DV126" s="78"/>
      <c r="DW126" s="78"/>
      <c r="DX126" s="78"/>
      <c r="DY126" s="78"/>
      <c r="DZ126" s="78"/>
      <c r="EA126" s="78"/>
      <c r="EB126" s="78"/>
      <c r="EC126" s="78"/>
      <c r="ED126" s="78"/>
      <c r="EE126" s="78"/>
      <c r="EF126" s="78"/>
      <c r="EG126" s="78"/>
      <c r="EH126" s="78"/>
      <c r="EI126" s="78"/>
      <c r="EJ126" s="78"/>
      <c r="EK126" s="78"/>
      <c r="EL126" s="78"/>
      <c r="EM126" s="78"/>
      <c r="EN126" s="78"/>
      <c r="EO126" s="78"/>
      <c r="EP126" s="78"/>
      <c r="EQ126" s="78"/>
      <c r="ER126" s="78"/>
      <c r="ES126" s="78"/>
      <c r="ET126" s="78"/>
      <c r="EU126" s="78"/>
      <c r="EV126" s="78"/>
      <c r="EW126" s="78"/>
      <c r="EX126" s="78"/>
      <c r="EY126" s="78"/>
      <c r="EZ126" s="78"/>
      <c r="FA126" s="78"/>
      <c r="FB126" s="78"/>
      <c r="FC126" s="78"/>
      <c r="FD126" s="78"/>
      <c r="FE126" s="78"/>
      <c r="FF126" s="78"/>
      <c r="FG126" s="78"/>
      <c r="FH126" s="78"/>
      <c r="FI126" s="78"/>
      <c r="FJ126" s="78"/>
      <c r="FK126" s="78"/>
      <c r="FL126" s="78"/>
      <c r="FM126" s="78"/>
      <c r="FN126" s="78"/>
      <c r="FO126" s="78"/>
      <c r="FP126" s="78"/>
      <c r="FQ126" s="78"/>
      <c r="FR126" s="78"/>
      <c r="FS126" s="78"/>
      <c r="FT126" s="78"/>
      <c r="FU126" s="78"/>
      <c r="FV126" s="78"/>
      <c r="FW126" s="78"/>
      <c r="FX126" s="78"/>
      <c r="FY126" s="78"/>
      <c r="FZ126" s="78"/>
      <c r="GA126" s="78"/>
      <c r="GB126" s="78"/>
      <c r="GC126" s="78"/>
      <c r="GD126" s="78"/>
      <c r="GE126" s="78"/>
      <c r="GF126" s="78"/>
      <c r="GG126" s="78"/>
      <c r="GH126" s="78"/>
      <c r="GI126" s="78"/>
      <c r="GJ126" s="78"/>
      <c r="GK126" s="78"/>
      <c r="GL126" s="78"/>
      <c r="GM126" s="78"/>
      <c r="GN126" s="78"/>
      <c r="GO126" s="78"/>
      <c r="GP126" s="78"/>
      <c r="GQ126" s="78"/>
      <c r="GR126" s="78"/>
      <c r="GS126" s="78"/>
      <c r="GT126" s="78"/>
      <c r="GU126" s="78"/>
      <c r="GV126" s="78"/>
      <c r="GW126" s="78"/>
      <c r="GX126" s="78"/>
      <c r="GY126" s="78"/>
      <c r="GZ126" s="78"/>
      <c r="HA126" s="78"/>
      <c r="HB126" s="78"/>
      <c r="HC126" s="78"/>
      <c r="HD126" s="78"/>
      <c r="HE126" s="78"/>
      <c r="HF126" s="78"/>
      <c r="HG126" s="78"/>
      <c r="HH126" s="78"/>
      <c r="HI126" s="78"/>
      <c r="HJ126" s="78"/>
      <c r="HK126" s="78"/>
      <c r="HL126" s="78"/>
      <c r="HM126" s="78"/>
      <c r="HN126" s="78"/>
      <c r="HO126" s="78"/>
      <c r="HP126" s="78"/>
      <c r="HQ126" s="78"/>
      <c r="HR126" s="78"/>
      <c r="HS126" s="78"/>
      <c r="HT126" s="78"/>
      <c r="HU126" s="78"/>
      <c r="HV126" s="78"/>
      <c r="HW126" s="78"/>
      <c r="HX126" s="78"/>
      <c r="HY126" s="78"/>
      <c r="HZ126" s="78"/>
      <c r="IA126" s="78"/>
      <c r="IB126" s="78"/>
      <c r="IC126" s="78"/>
      <c r="ID126" s="78"/>
      <c r="IE126" s="78"/>
      <c r="IF126" s="78"/>
      <c r="IG126" s="78"/>
      <c r="IH126" s="78"/>
      <c r="II126" s="78"/>
      <c r="IJ126" s="78"/>
      <c r="IK126" s="78"/>
      <c r="IL126" s="78"/>
      <c r="IM126" s="78"/>
      <c r="IN126" s="78"/>
      <c r="IO126" s="78"/>
      <c r="IP126" s="78"/>
      <c r="IQ126" s="78"/>
      <c r="IR126" s="78"/>
      <c r="IS126" s="78"/>
      <c r="IT126" s="78"/>
      <c r="IU126" s="78"/>
      <c r="IV126" s="78"/>
      <c r="IW126" s="78"/>
      <c r="IX126" s="78"/>
      <c r="IY126" s="78"/>
      <c r="IZ126" s="78"/>
      <c r="JA126" s="78"/>
      <c r="JB126" s="78"/>
      <c r="JC126" s="78"/>
      <c r="JD126" s="78"/>
      <c r="JE126" s="78"/>
      <c r="JF126" s="78"/>
      <c r="JG126" s="78"/>
      <c r="JH126" s="78"/>
      <c r="JI126" s="78"/>
      <c r="JJ126" s="78"/>
      <c r="JK126" s="78"/>
      <c r="JL126" s="78"/>
      <c r="JM126" s="78"/>
      <c r="JN126" s="78"/>
      <c r="JO126" s="78"/>
      <c r="JP126" s="78"/>
      <c r="JQ126" s="78"/>
      <c r="JR126" s="78"/>
      <c r="JS126" s="78"/>
      <c r="JT126" s="78"/>
      <c r="JU126" s="78"/>
      <c r="JV126" s="78"/>
      <c r="JW126" s="78"/>
    </row>
    <row r="127" spans="2:283" s="78" customFormat="1" ht="15" customHeight="1">
      <c r="B127" s="53"/>
      <c r="C127" s="19">
        <v>1</v>
      </c>
      <c r="D127" s="132" t="s">
        <v>59</v>
      </c>
      <c r="E127" s="216" t="s">
        <v>62</v>
      </c>
      <c r="F127" s="125">
        <v>14000</v>
      </c>
      <c r="G127" s="21">
        <f t="shared" ref="G127" si="69">SUM(H127:S127)</f>
        <v>41096.769999999997</v>
      </c>
      <c r="H127" s="21">
        <f t="shared" ref="H127:H150" si="70">+F127*C127/31*29</f>
        <v>13096.77</v>
      </c>
      <c r="I127" s="21">
        <f t="shared" ref="I127:I150" si="71">+F127*C127</f>
        <v>14000</v>
      </c>
      <c r="J127" s="37">
        <f t="shared" ref="J127:J150" si="72">+F127*C127</f>
        <v>14000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</row>
    <row r="128" spans="2:283" s="78" customFormat="1" ht="15" customHeight="1">
      <c r="B128" s="53"/>
      <c r="C128" s="19">
        <v>1</v>
      </c>
      <c r="D128" s="132" t="s">
        <v>59</v>
      </c>
      <c r="E128" s="216" t="s">
        <v>62</v>
      </c>
      <c r="F128" s="125">
        <v>10000</v>
      </c>
      <c r="G128" s="21">
        <f t="shared" ref="G128" si="73">SUM(H128:S128)</f>
        <v>29354.84</v>
      </c>
      <c r="H128" s="21">
        <f t="shared" si="70"/>
        <v>9354.84</v>
      </c>
      <c r="I128" s="21">
        <f t="shared" si="71"/>
        <v>10000</v>
      </c>
      <c r="J128" s="37">
        <f t="shared" si="72"/>
        <v>10000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</row>
    <row r="129" spans="2:19" s="78" customFormat="1" ht="15" customHeight="1">
      <c r="B129" s="53"/>
      <c r="C129" s="19">
        <v>1</v>
      </c>
      <c r="D129" s="132" t="s">
        <v>59</v>
      </c>
      <c r="E129" s="216" t="s">
        <v>62</v>
      </c>
      <c r="F129" s="125">
        <v>10000</v>
      </c>
      <c r="G129" s="21">
        <f t="shared" ref="G129:G130" si="74">SUM(H129:S129)</f>
        <v>29354.84</v>
      </c>
      <c r="H129" s="21">
        <f t="shared" ref="H129:H130" si="75">+F129*C129/31*29</f>
        <v>9354.84</v>
      </c>
      <c r="I129" s="21">
        <f t="shared" ref="I129:I130" si="76">+F129*C129</f>
        <v>10000</v>
      </c>
      <c r="J129" s="37">
        <f t="shared" ref="J129:J130" si="77">+F129*C129</f>
        <v>10000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</row>
    <row r="130" spans="2:19" s="78" customFormat="1" ht="15" customHeight="1">
      <c r="B130" s="53"/>
      <c r="C130" s="19">
        <v>1</v>
      </c>
      <c r="D130" s="132" t="s">
        <v>59</v>
      </c>
      <c r="E130" s="216" t="s">
        <v>62</v>
      </c>
      <c r="F130" s="125">
        <v>10000</v>
      </c>
      <c r="G130" s="21">
        <f t="shared" si="74"/>
        <v>29354.84</v>
      </c>
      <c r="H130" s="21">
        <f t="shared" si="75"/>
        <v>9354.84</v>
      </c>
      <c r="I130" s="21">
        <f t="shared" si="76"/>
        <v>10000</v>
      </c>
      <c r="J130" s="37">
        <f t="shared" si="77"/>
        <v>10000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</row>
    <row r="131" spans="2:19" s="78" customFormat="1" ht="15" customHeight="1">
      <c r="B131" s="53"/>
      <c r="C131" s="19">
        <v>1</v>
      </c>
      <c r="D131" s="132" t="s">
        <v>59</v>
      </c>
      <c r="E131" s="216" t="s">
        <v>62</v>
      </c>
      <c r="F131" s="125">
        <v>8000</v>
      </c>
      <c r="G131" s="21">
        <f t="shared" ref="G131:G151" si="78">SUM(H131:S131)</f>
        <v>23483.87</v>
      </c>
      <c r="H131" s="21">
        <f t="shared" si="70"/>
        <v>7483.87</v>
      </c>
      <c r="I131" s="21">
        <f t="shared" si="71"/>
        <v>8000</v>
      </c>
      <c r="J131" s="37">
        <f t="shared" si="72"/>
        <v>8000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</row>
    <row r="132" spans="2:19" s="78" customFormat="1" ht="15" customHeight="1">
      <c r="B132" s="53"/>
      <c r="C132" s="19">
        <v>1</v>
      </c>
      <c r="D132" s="132" t="s">
        <v>59</v>
      </c>
      <c r="E132" s="216" t="s">
        <v>62</v>
      </c>
      <c r="F132" s="125">
        <v>8000</v>
      </c>
      <c r="G132" s="21">
        <f t="shared" ref="G132:G134" si="79">SUM(H132:S132)</f>
        <v>23483.87</v>
      </c>
      <c r="H132" s="21">
        <f t="shared" ref="H132:H133" si="80">+F132*C132/31*29</f>
        <v>7483.87</v>
      </c>
      <c r="I132" s="21">
        <f t="shared" ref="I132:I133" si="81">+F132*C132</f>
        <v>8000</v>
      </c>
      <c r="J132" s="37">
        <f t="shared" ref="J132:J133" si="82">+F132*C132</f>
        <v>8000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</row>
    <row r="133" spans="2:19" s="78" customFormat="1" ht="15" customHeight="1">
      <c r="B133" s="53"/>
      <c r="C133" s="19">
        <v>1</v>
      </c>
      <c r="D133" s="132" t="s">
        <v>59</v>
      </c>
      <c r="E133" s="216" t="s">
        <v>62</v>
      </c>
      <c r="F133" s="125">
        <v>8000</v>
      </c>
      <c r="G133" s="21">
        <f t="shared" si="79"/>
        <v>23483.87</v>
      </c>
      <c r="H133" s="21">
        <f t="shared" si="80"/>
        <v>7483.87</v>
      </c>
      <c r="I133" s="21">
        <f t="shared" si="81"/>
        <v>8000</v>
      </c>
      <c r="J133" s="37">
        <f t="shared" si="82"/>
        <v>8000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</row>
    <row r="134" spans="2:19" s="78" customFormat="1" ht="15" customHeight="1">
      <c r="B134" s="53"/>
      <c r="C134" s="253">
        <v>1</v>
      </c>
      <c r="D134" s="132" t="s">
        <v>111</v>
      </c>
      <c r="E134" s="216" t="s">
        <v>61</v>
      </c>
      <c r="F134" s="20">
        <v>8000</v>
      </c>
      <c r="G134" s="21">
        <f t="shared" si="79"/>
        <v>11714.29</v>
      </c>
      <c r="H134" s="21">
        <v>0</v>
      </c>
      <c r="I134" s="21">
        <v>0</v>
      </c>
      <c r="J134" s="21">
        <f>285.714285714286*13+8000</f>
        <v>11714.29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</row>
    <row r="135" spans="2:19" s="78" customFormat="1" ht="15" customHeight="1">
      <c r="B135" s="53"/>
      <c r="C135" s="19">
        <v>1</v>
      </c>
      <c r="D135" s="132" t="s">
        <v>59</v>
      </c>
      <c r="E135" s="216" t="s">
        <v>61</v>
      </c>
      <c r="F135" s="125">
        <v>7000</v>
      </c>
      <c r="G135" s="21">
        <f t="shared" si="78"/>
        <v>20548.39</v>
      </c>
      <c r="H135" s="21">
        <f t="shared" si="70"/>
        <v>6548.39</v>
      </c>
      <c r="I135" s="21">
        <f t="shared" si="71"/>
        <v>7000</v>
      </c>
      <c r="J135" s="37">
        <f t="shared" si="72"/>
        <v>7000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</row>
    <row r="136" spans="2:19" s="78" customFormat="1" ht="15" customHeight="1">
      <c r="B136" s="53"/>
      <c r="C136" s="19">
        <v>1</v>
      </c>
      <c r="D136" s="132" t="s">
        <v>59</v>
      </c>
      <c r="E136" s="216" t="s">
        <v>61</v>
      </c>
      <c r="F136" s="125">
        <v>7000</v>
      </c>
      <c r="G136" s="21">
        <f t="shared" ref="G136" si="83">SUM(H136:S136)</f>
        <v>20548.39</v>
      </c>
      <c r="H136" s="21">
        <f t="shared" ref="H136" si="84">+F136*C136/31*29</f>
        <v>6548.39</v>
      </c>
      <c r="I136" s="21">
        <f t="shared" ref="I136" si="85">+F136*C136</f>
        <v>7000</v>
      </c>
      <c r="J136" s="37">
        <f t="shared" ref="J136" si="86">+F136*C136</f>
        <v>7000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</row>
    <row r="137" spans="2:19" s="78" customFormat="1" ht="15" customHeight="1">
      <c r="B137" s="53"/>
      <c r="C137" s="19">
        <v>1</v>
      </c>
      <c r="D137" s="132" t="s">
        <v>59</v>
      </c>
      <c r="E137" s="216" t="s">
        <v>61</v>
      </c>
      <c r="F137" s="125">
        <v>6000</v>
      </c>
      <c r="G137" s="21">
        <f t="shared" si="78"/>
        <v>17612.900000000001</v>
      </c>
      <c r="H137" s="21">
        <f t="shared" si="70"/>
        <v>5612.9</v>
      </c>
      <c r="I137" s="21">
        <f t="shared" si="71"/>
        <v>6000</v>
      </c>
      <c r="J137" s="37">
        <f t="shared" si="72"/>
        <v>6000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</row>
    <row r="138" spans="2:19" s="78" customFormat="1" ht="15" customHeight="1">
      <c r="B138" s="53"/>
      <c r="C138" s="19">
        <v>1</v>
      </c>
      <c r="D138" s="132" t="s">
        <v>59</v>
      </c>
      <c r="E138" s="216" t="s">
        <v>61</v>
      </c>
      <c r="F138" s="125">
        <v>6000</v>
      </c>
      <c r="G138" s="21">
        <f t="shared" ref="G138:G142" si="87">SUM(H138:S138)</f>
        <v>17612.900000000001</v>
      </c>
      <c r="H138" s="21">
        <f t="shared" ref="H138:H142" si="88">+F138*C138/31*29</f>
        <v>5612.9</v>
      </c>
      <c r="I138" s="21">
        <f t="shared" ref="I138:I142" si="89">+F138*C138</f>
        <v>6000</v>
      </c>
      <c r="J138" s="37">
        <f t="shared" ref="J138:J142" si="90">+F138*C138</f>
        <v>6000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</row>
    <row r="139" spans="2:19" s="78" customFormat="1" ht="15" customHeight="1">
      <c r="B139" s="53"/>
      <c r="C139" s="19">
        <v>1</v>
      </c>
      <c r="D139" s="132" t="s">
        <v>59</v>
      </c>
      <c r="E139" s="216" t="s">
        <v>61</v>
      </c>
      <c r="F139" s="125">
        <v>6000</v>
      </c>
      <c r="G139" s="21">
        <f t="shared" si="87"/>
        <v>17612.900000000001</v>
      </c>
      <c r="H139" s="21">
        <f t="shared" si="88"/>
        <v>5612.9</v>
      </c>
      <c r="I139" s="21">
        <f t="shared" si="89"/>
        <v>6000</v>
      </c>
      <c r="J139" s="37">
        <f t="shared" si="90"/>
        <v>6000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</row>
    <row r="140" spans="2:19" s="78" customFormat="1" ht="15" customHeight="1">
      <c r="B140" s="53"/>
      <c r="C140" s="19">
        <v>1</v>
      </c>
      <c r="D140" s="132" t="s">
        <v>59</v>
      </c>
      <c r="E140" s="216" t="s">
        <v>61</v>
      </c>
      <c r="F140" s="125">
        <v>6000</v>
      </c>
      <c r="G140" s="21">
        <f t="shared" si="87"/>
        <v>17612.900000000001</v>
      </c>
      <c r="H140" s="21">
        <f t="shared" si="88"/>
        <v>5612.9</v>
      </c>
      <c r="I140" s="21">
        <f t="shared" si="89"/>
        <v>6000</v>
      </c>
      <c r="J140" s="37">
        <f t="shared" si="90"/>
        <v>6000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</row>
    <row r="141" spans="2:19" s="78" customFormat="1" ht="15" customHeight="1">
      <c r="B141" s="53"/>
      <c r="C141" s="19">
        <v>1</v>
      </c>
      <c r="D141" s="132" t="s">
        <v>59</v>
      </c>
      <c r="E141" s="216" t="s">
        <v>61</v>
      </c>
      <c r="F141" s="125">
        <v>6000</v>
      </c>
      <c r="G141" s="21">
        <f t="shared" si="87"/>
        <v>17612.900000000001</v>
      </c>
      <c r="H141" s="21">
        <f t="shared" si="88"/>
        <v>5612.9</v>
      </c>
      <c r="I141" s="21">
        <f t="shared" si="89"/>
        <v>6000</v>
      </c>
      <c r="J141" s="37">
        <f t="shared" si="90"/>
        <v>6000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</row>
    <row r="142" spans="2:19" s="78" customFormat="1" ht="15" customHeight="1">
      <c r="B142" s="53"/>
      <c r="C142" s="19">
        <v>1</v>
      </c>
      <c r="D142" s="132" t="s">
        <v>59</v>
      </c>
      <c r="E142" s="216" t="s">
        <v>61</v>
      </c>
      <c r="F142" s="125">
        <v>6000</v>
      </c>
      <c r="G142" s="21">
        <f t="shared" si="87"/>
        <v>17612.900000000001</v>
      </c>
      <c r="H142" s="21">
        <f t="shared" si="88"/>
        <v>5612.9</v>
      </c>
      <c r="I142" s="21">
        <f t="shared" si="89"/>
        <v>6000</v>
      </c>
      <c r="J142" s="37">
        <f t="shared" si="90"/>
        <v>6000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</row>
    <row r="143" spans="2:19" s="78" customFormat="1" ht="15" customHeight="1">
      <c r="B143" s="53"/>
      <c r="C143" s="19">
        <v>1</v>
      </c>
      <c r="D143" s="132" t="s">
        <v>59</v>
      </c>
      <c r="E143" s="216" t="s">
        <v>61</v>
      </c>
      <c r="F143" s="125">
        <v>5000</v>
      </c>
      <c r="G143" s="21">
        <f t="shared" si="78"/>
        <v>14677.42</v>
      </c>
      <c r="H143" s="21">
        <f t="shared" si="70"/>
        <v>4677.42</v>
      </c>
      <c r="I143" s="21">
        <f t="shared" si="71"/>
        <v>5000</v>
      </c>
      <c r="J143" s="37">
        <f t="shared" si="72"/>
        <v>5000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</row>
    <row r="144" spans="2:19" s="78" customFormat="1" ht="15" customHeight="1">
      <c r="B144" s="53"/>
      <c r="C144" s="19">
        <v>1</v>
      </c>
      <c r="D144" s="132" t="s">
        <v>59</v>
      </c>
      <c r="E144" s="216" t="s">
        <v>61</v>
      </c>
      <c r="F144" s="125">
        <v>5000</v>
      </c>
      <c r="G144" s="21">
        <f t="shared" ref="G144:G149" si="91">SUM(H144:S144)</f>
        <v>14677.42</v>
      </c>
      <c r="H144" s="21">
        <f t="shared" ref="H144:H149" si="92">+F144*C144/31*29</f>
        <v>4677.42</v>
      </c>
      <c r="I144" s="21">
        <f t="shared" ref="I144:I149" si="93">+F144*C144</f>
        <v>5000</v>
      </c>
      <c r="J144" s="37">
        <f t="shared" ref="J144:J149" si="94">+F144*C144</f>
        <v>5000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</row>
    <row r="145" spans="2:283" s="78" customFormat="1" ht="15" customHeight="1">
      <c r="B145" s="53"/>
      <c r="C145" s="19">
        <v>1</v>
      </c>
      <c r="D145" s="132" t="s">
        <v>59</v>
      </c>
      <c r="E145" s="216" t="s">
        <v>61</v>
      </c>
      <c r="F145" s="125">
        <v>4500</v>
      </c>
      <c r="G145" s="21">
        <f t="shared" si="91"/>
        <v>13209.68</v>
      </c>
      <c r="H145" s="21">
        <f t="shared" si="92"/>
        <v>4209.68</v>
      </c>
      <c r="I145" s="21">
        <f t="shared" si="93"/>
        <v>4500</v>
      </c>
      <c r="J145" s="37">
        <f t="shared" si="94"/>
        <v>4500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</row>
    <row r="146" spans="2:283" s="78" customFormat="1" ht="15" customHeight="1">
      <c r="B146" s="53"/>
      <c r="C146" s="19">
        <v>1</v>
      </c>
      <c r="D146" s="132" t="s">
        <v>59</v>
      </c>
      <c r="E146" s="216" t="s">
        <v>61</v>
      </c>
      <c r="F146" s="125">
        <v>4500</v>
      </c>
      <c r="G146" s="21">
        <f t="shared" si="91"/>
        <v>13209.68</v>
      </c>
      <c r="H146" s="21">
        <f t="shared" si="92"/>
        <v>4209.68</v>
      </c>
      <c r="I146" s="21">
        <f t="shared" si="93"/>
        <v>4500</v>
      </c>
      <c r="J146" s="37">
        <f t="shared" si="94"/>
        <v>4500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</row>
    <row r="147" spans="2:283" s="78" customFormat="1" ht="15" customHeight="1">
      <c r="B147" s="53"/>
      <c r="C147" s="19">
        <v>1</v>
      </c>
      <c r="D147" s="132" t="s">
        <v>59</v>
      </c>
      <c r="E147" s="216" t="s">
        <v>61</v>
      </c>
      <c r="F147" s="125">
        <v>4500</v>
      </c>
      <c r="G147" s="21">
        <f t="shared" si="91"/>
        <v>13209.68</v>
      </c>
      <c r="H147" s="21">
        <f t="shared" si="92"/>
        <v>4209.68</v>
      </c>
      <c r="I147" s="21">
        <f t="shared" si="93"/>
        <v>4500</v>
      </c>
      <c r="J147" s="37">
        <f t="shared" si="94"/>
        <v>4500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</row>
    <row r="148" spans="2:283" s="78" customFormat="1" ht="15" customHeight="1">
      <c r="B148" s="53"/>
      <c r="C148" s="19">
        <v>1</v>
      </c>
      <c r="D148" s="132" t="s">
        <v>59</v>
      </c>
      <c r="E148" s="216" t="s">
        <v>61</v>
      </c>
      <c r="F148" s="125">
        <v>4500</v>
      </c>
      <c r="G148" s="21">
        <f t="shared" si="91"/>
        <v>13209.68</v>
      </c>
      <c r="H148" s="21">
        <f t="shared" si="92"/>
        <v>4209.68</v>
      </c>
      <c r="I148" s="21">
        <f t="shared" si="93"/>
        <v>4500</v>
      </c>
      <c r="J148" s="37">
        <f t="shared" si="94"/>
        <v>4500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</row>
    <row r="149" spans="2:283" s="78" customFormat="1" ht="15" customHeight="1">
      <c r="B149" s="53"/>
      <c r="C149" s="19">
        <v>1</v>
      </c>
      <c r="D149" s="132" t="s">
        <v>59</v>
      </c>
      <c r="E149" s="216" t="s">
        <v>61</v>
      </c>
      <c r="F149" s="125">
        <v>4500</v>
      </c>
      <c r="G149" s="21">
        <f t="shared" si="91"/>
        <v>13209.68</v>
      </c>
      <c r="H149" s="21">
        <f t="shared" si="92"/>
        <v>4209.68</v>
      </c>
      <c r="I149" s="21">
        <f t="shared" si="93"/>
        <v>4500</v>
      </c>
      <c r="J149" s="37">
        <f t="shared" si="94"/>
        <v>4500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</row>
    <row r="150" spans="2:283" s="78" customFormat="1" ht="15" customHeight="1">
      <c r="B150" s="53"/>
      <c r="C150" s="19">
        <v>1</v>
      </c>
      <c r="D150" s="132" t="s">
        <v>59</v>
      </c>
      <c r="E150" s="216" t="s">
        <v>61</v>
      </c>
      <c r="F150" s="125">
        <v>4500</v>
      </c>
      <c r="G150" s="21">
        <f t="shared" si="78"/>
        <v>13209.68</v>
      </c>
      <c r="H150" s="21">
        <f t="shared" si="70"/>
        <v>4209.68</v>
      </c>
      <c r="I150" s="21">
        <f t="shared" si="71"/>
        <v>4500</v>
      </c>
      <c r="J150" s="37">
        <f t="shared" si="72"/>
        <v>4500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</row>
    <row r="151" spans="2:283" s="78" customFormat="1" ht="15" customHeight="1">
      <c r="B151" s="53"/>
      <c r="C151" s="253">
        <v>1</v>
      </c>
      <c r="D151" s="132" t="s">
        <v>111</v>
      </c>
      <c r="E151" s="216" t="s">
        <v>61</v>
      </c>
      <c r="F151" s="20">
        <v>3500</v>
      </c>
      <c r="G151" s="21">
        <f t="shared" si="78"/>
        <v>5125</v>
      </c>
      <c r="H151" s="21">
        <v>0</v>
      </c>
      <c r="I151" s="21">
        <v>0</v>
      </c>
      <c r="J151" s="21">
        <f>125*13+3500</f>
        <v>5125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</row>
    <row r="152" spans="2:283" ht="30" customHeight="1">
      <c r="B152" s="38"/>
      <c r="C152" s="39"/>
      <c r="D152" s="157"/>
      <c r="E152" s="275" t="s">
        <v>24</v>
      </c>
      <c r="F152" s="276"/>
      <c r="G152" s="41">
        <f xml:space="preserve"> 2064000-SUM(G127:G151)</f>
        <v>1592160.71</v>
      </c>
      <c r="H152" s="40"/>
      <c r="I152" s="41"/>
      <c r="J152" s="40"/>
      <c r="K152" s="40"/>
      <c r="L152" s="40"/>
      <c r="M152" s="42"/>
      <c r="N152" s="40"/>
      <c r="O152" s="40"/>
      <c r="P152" s="40"/>
      <c r="Q152" s="40"/>
      <c r="R152" s="40"/>
      <c r="S152" s="40"/>
      <c r="T152" s="61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78"/>
      <c r="DO152" s="78"/>
      <c r="DP152" s="78"/>
      <c r="DQ152" s="78"/>
      <c r="DR152" s="78"/>
      <c r="DS152" s="78"/>
      <c r="DT152" s="78"/>
      <c r="DU152" s="78"/>
      <c r="DV152" s="78"/>
      <c r="DW152" s="78"/>
      <c r="DX152" s="78"/>
      <c r="DY152" s="78"/>
      <c r="DZ152" s="78"/>
      <c r="EA152" s="78"/>
      <c r="EB152" s="78"/>
      <c r="EC152" s="78"/>
      <c r="ED152" s="78"/>
      <c r="EE152" s="78"/>
      <c r="EF152" s="78"/>
      <c r="EG152" s="78"/>
      <c r="EH152" s="78"/>
      <c r="EI152" s="78"/>
      <c r="EJ152" s="78"/>
      <c r="EK152" s="78"/>
      <c r="EL152" s="78"/>
      <c r="EM152" s="78"/>
      <c r="EN152" s="78"/>
      <c r="EO152" s="78"/>
      <c r="EP152" s="78"/>
      <c r="EQ152" s="78"/>
      <c r="ER152" s="78"/>
      <c r="ES152" s="78"/>
      <c r="ET152" s="78"/>
      <c r="EU152" s="78"/>
      <c r="EV152" s="78"/>
      <c r="EW152" s="78"/>
      <c r="EX152" s="78"/>
      <c r="EY152" s="78"/>
      <c r="EZ152" s="78"/>
      <c r="FA152" s="78"/>
      <c r="FB152" s="78"/>
      <c r="FC152" s="78"/>
      <c r="FD152" s="78"/>
      <c r="FE152" s="78"/>
      <c r="FF152" s="78"/>
      <c r="FG152" s="78"/>
      <c r="FH152" s="78"/>
      <c r="FI152" s="78"/>
      <c r="FJ152" s="78"/>
      <c r="FK152" s="78"/>
      <c r="FL152" s="78"/>
      <c r="FM152" s="78"/>
      <c r="FN152" s="78"/>
      <c r="FO152" s="78"/>
      <c r="FP152" s="78"/>
      <c r="FQ152" s="78"/>
      <c r="FR152" s="78"/>
      <c r="FS152" s="78"/>
      <c r="FT152" s="78"/>
      <c r="FU152" s="78"/>
      <c r="FV152" s="78"/>
      <c r="FW152" s="78"/>
      <c r="FX152" s="78"/>
      <c r="FY152" s="78"/>
      <c r="FZ152" s="78"/>
      <c r="GA152" s="78"/>
      <c r="GB152" s="78"/>
      <c r="GC152" s="78"/>
      <c r="GD152" s="78"/>
      <c r="GE152" s="78"/>
      <c r="GF152" s="78"/>
      <c r="GG152" s="78"/>
      <c r="GH152" s="78"/>
      <c r="GI152" s="78"/>
      <c r="GJ152" s="78"/>
      <c r="GK152" s="78"/>
      <c r="GL152" s="78"/>
      <c r="GM152" s="78"/>
      <c r="GN152" s="78"/>
      <c r="GO152" s="78"/>
      <c r="GP152" s="78"/>
      <c r="GQ152" s="78"/>
      <c r="GR152" s="78"/>
      <c r="GS152" s="78"/>
      <c r="GT152" s="78"/>
      <c r="GU152" s="78"/>
      <c r="GV152" s="78"/>
      <c r="GW152" s="78"/>
      <c r="GX152" s="78"/>
      <c r="GY152" s="78"/>
      <c r="GZ152" s="78"/>
      <c r="HA152" s="78"/>
      <c r="HB152" s="78"/>
      <c r="HC152" s="78"/>
      <c r="HD152" s="78"/>
      <c r="HE152" s="78"/>
      <c r="HF152" s="78"/>
      <c r="HG152" s="78"/>
      <c r="HH152" s="78"/>
      <c r="HI152" s="78"/>
      <c r="HJ152" s="78"/>
      <c r="HK152" s="78"/>
      <c r="HL152" s="78"/>
      <c r="HM152" s="78"/>
      <c r="HN152" s="78"/>
      <c r="HO152" s="78"/>
      <c r="HP152" s="78"/>
      <c r="HQ152" s="78"/>
      <c r="HR152" s="78"/>
      <c r="HS152" s="78"/>
      <c r="HT152" s="78"/>
      <c r="HU152" s="78"/>
      <c r="HV152" s="78"/>
      <c r="HW152" s="78"/>
      <c r="HX152" s="78"/>
      <c r="HY152" s="78"/>
      <c r="HZ152" s="78"/>
      <c r="IA152" s="78"/>
      <c r="IB152" s="78"/>
      <c r="IC152" s="78"/>
      <c r="ID152" s="78"/>
      <c r="IE152" s="78"/>
      <c r="IF152" s="78"/>
      <c r="IG152" s="78"/>
      <c r="IH152" s="78"/>
      <c r="II152" s="78"/>
      <c r="IJ152" s="78"/>
      <c r="IK152" s="78"/>
      <c r="IL152" s="78"/>
      <c r="IM152" s="78"/>
      <c r="IN152" s="78"/>
      <c r="IO152" s="78"/>
      <c r="IP152" s="78"/>
      <c r="IQ152" s="78"/>
      <c r="IR152" s="78"/>
      <c r="IS152" s="78"/>
      <c r="IT152" s="78"/>
      <c r="IU152" s="78"/>
      <c r="IV152" s="78"/>
      <c r="IW152" s="78"/>
      <c r="IX152" s="78"/>
      <c r="IY152" s="78"/>
      <c r="IZ152" s="78"/>
      <c r="JA152" s="78"/>
      <c r="JB152" s="78"/>
      <c r="JC152" s="78"/>
      <c r="JD152" s="78"/>
      <c r="JE152" s="78"/>
      <c r="JF152" s="78"/>
      <c r="JG152" s="78"/>
      <c r="JH152" s="78"/>
      <c r="JI152" s="78"/>
      <c r="JJ152" s="78"/>
      <c r="JK152" s="78"/>
      <c r="JL152" s="78"/>
      <c r="JM152" s="78"/>
      <c r="JN152" s="78"/>
      <c r="JO152" s="78"/>
      <c r="JP152" s="78"/>
      <c r="JQ152" s="78"/>
      <c r="JR152" s="78"/>
      <c r="JS152" s="78"/>
      <c r="JT152" s="78"/>
      <c r="JU152" s="78"/>
      <c r="JV152" s="78"/>
      <c r="JW152" s="78"/>
    </row>
    <row r="153" spans="2:283" s="64" customFormat="1" ht="29.25">
      <c r="B153" s="68" t="s">
        <v>79</v>
      </c>
      <c r="C153" s="69">
        <f>SUM(C155:C159)</f>
        <v>5</v>
      </c>
      <c r="D153" s="156"/>
      <c r="E153" s="219"/>
      <c r="F153" s="49"/>
      <c r="G153" s="49"/>
      <c r="H153" s="49"/>
      <c r="I153" s="49"/>
      <c r="J153" s="49"/>
      <c r="K153" s="49"/>
      <c r="L153" s="49"/>
      <c r="M153" s="70"/>
      <c r="N153" s="49"/>
      <c r="O153" s="49"/>
      <c r="P153" s="49"/>
      <c r="Q153" s="49"/>
      <c r="R153" s="49"/>
      <c r="S153" s="49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8"/>
      <c r="DF153" s="78"/>
      <c r="DG153" s="78"/>
      <c r="DH153" s="78"/>
      <c r="DI153" s="78"/>
      <c r="DJ153" s="78"/>
      <c r="DK153" s="78"/>
      <c r="DL153" s="78"/>
      <c r="DM153" s="78"/>
      <c r="DN153" s="78"/>
      <c r="DO153" s="78"/>
      <c r="DP153" s="78"/>
      <c r="DQ153" s="78"/>
      <c r="DR153" s="78"/>
      <c r="DS153" s="78"/>
      <c r="DT153" s="78"/>
      <c r="DU153" s="78"/>
      <c r="DV153" s="78"/>
      <c r="DW153" s="78"/>
      <c r="DX153" s="78"/>
      <c r="DY153" s="78"/>
      <c r="DZ153" s="78"/>
      <c r="EA153" s="78"/>
      <c r="EB153" s="78"/>
      <c r="EC153" s="78"/>
      <c r="ED153" s="78"/>
      <c r="EE153" s="78"/>
      <c r="EF153" s="78"/>
      <c r="EG153" s="78"/>
      <c r="EH153" s="78"/>
      <c r="EI153" s="78"/>
      <c r="EJ153" s="78"/>
      <c r="EK153" s="78"/>
      <c r="EL153" s="78"/>
      <c r="EM153" s="78"/>
      <c r="EN153" s="78"/>
      <c r="EO153" s="78"/>
      <c r="EP153" s="78"/>
      <c r="EQ153" s="78"/>
      <c r="ER153" s="78"/>
      <c r="ES153" s="78"/>
      <c r="ET153" s="78"/>
      <c r="EU153" s="78"/>
      <c r="EV153" s="78"/>
      <c r="EW153" s="78"/>
      <c r="EX153" s="78"/>
      <c r="EY153" s="78"/>
      <c r="EZ153" s="78"/>
      <c r="FA153" s="78"/>
      <c r="FB153" s="78"/>
      <c r="FC153" s="78"/>
      <c r="FD153" s="78"/>
      <c r="FE153" s="78"/>
      <c r="FF153" s="78"/>
      <c r="FG153" s="78"/>
      <c r="FH153" s="78"/>
      <c r="FI153" s="78"/>
      <c r="FJ153" s="78"/>
      <c r="FK153" s="78"/>
      <c r="FL153" s="78"/>
      <c r="FM153" s="78"/>
      <c r="FN153" s="78"/>
      <c r="FO153" s="78"/>
      <c r="FP153" s="78"/>
      <c r="FQ153" s="78"/>
      <c r="FR153" s="78"/>
      <c r="FS153" s="78"/>
      <c r="FT153" s="78"/>
      <c r="FU153" s="78"/>
      <c r="FV153" s="78"/>
      <c r="FW153" s="78"/>
      <c r="FX153" s="78"/>
      <c r="FY153" s="78"/>
      <c r="FZ153" s="78"/>
      <c r="GA153" s="78"/>
      <c r="GB153" s="78"/>
      <c r="GC153" s="78"/>
      <c r="GD153" s="78"/>
      <c r="GE153" s="78"/>
      <c r="GF153" s="78"/>
      <c r="GG153" s="78"/>
      <c r="GH153" s="78"/>
      <c r="GI153" s="78"/>
      <c r="GJ153" s="78"/>
      <c r="GK153" s="78"/>
      <c r="GL153" s="78"/>
      <c r="GM153" s="78"/>
      <c r="GN153" s="78"/>
      <c r="GO153" s="78"/>
      <c r="GP153" s="78"/>
      <c r="GQ153" s="78"/>
      <c r="GR153" s="78"/>
      <c r="GS153" s="78"/>
      <c r="GT153" s="78"/>
      <c r="GU153" s="78"/>
      <c r="GV153" s="78"/>
      <c r="GW153" s="78"/>
      <c r="GX153" s="78"/>
      <c r="GY153" s="78"/>
      <c r="GZ153" s="78"/>
      <c r="HA153" s="78"/>
      <c r="HB153" s="78"/>
      <c r="HC153" s="78"/>
      <c r="HD153" s="78"/>
      <c r="HE153" s="78"/>
      <c r="HF153" s="78"/>
      <c r="HG153" s="78"/>
      <c r="HH153" s="78"/>
      <c r="HI153" s="78"/>
      <c r="HJ153" s="78"/>
      <c r="HK153" s="78"/>
      <c r="HL153" s="78"/>
      <c r="HM153" s="78"/>
      <c r="HN153" s="78"/>
      <c r="HO153" s="78"/>
      <c r="HP153" s="78"/>
      <c r="HQ153" s="78"/>
      <c r="HR153" s="78"/>
      <c r="HS153" s="78"/>
      <c r="HT153" s="78"/>
      <c r="HU153" s="78"/>
      <c r="HV153" s="78"/>
      <c r="HW153" s="78"/>
      <c r="HX153" s="78"/>
      <c r="HY153" s="78"/>
      <c r="HZ153" s="78"/>
      <c r="IA153" s="78"/>
      <c r="IB153" s="78"/>
      <c r="IC153" s="78"/>
      <c r="ID153" s="78"/>
      <c r="IE153" s="78"/>
      <c r="IF153" s="78"/>
      <c r="IG153" s="78"/>
      <c r="IH153" s="78"/>
      <c r="II153" s="78"/>
      <c r="IJ153" s="78"/>
      <c r="IK153" s="78"/>
      <c r="IL153" s="78"/>
      <c r="IM153" s="78"/>
      <c r="IN153" s="78"/>
      <c r="IO153" s="78"/>
      <c r="IP153" s="78"/>
      <c r="IQ153" s="78"/>
      <c r="IR153" s="78"/>
      <c r="IS153" s="78"/>
      <c r="IT153" s="78"/>
      <c r="IU153" s="78"/>
      <c r="IV153" s="78"/>
      <c r="IW153" s="78"/>
      <c r="IX153" s="78"/>
      <c r="IY153" s="78"/>
      <c r="IZ153" s="78"/>
      <c r="JA153" s="78"/>
      <c r="JB153" s="78"/>
      <c r="JC153" s="78"/>
      <c r="JD153" s="78"/>
      <c r="JE153" s="78"/>
      <c r="JF153" s="78"/>
      <c r="JG153" s="78"/>
      <c r="JH153" s="78"/>
      <c r="JI153" s="78"/>
      <c r="JJ153" s="78"/>
      <c r="JK153" s="78"/>
      <c r="JL153" s="78"/>
      <c r="JM153" s="78"/>
      <c r="JN153" s="78"/>
      <c r="JO153" s="78"/>
      <c r="JP153" s="78"/>
      <c r="JQ153" s="78"/>
      <c r="JR153" s="78"/>
      <c r="JS153" s="78"/>
      <c r="JT153" s="78"/>
      <c r="JU153" s="78"/>
      <c r="JV153" s="78"/>
      <c r="JW153" s="78"/>
    </row>
    <row r="154" spans="2:283">
      <c r="B154" s="34"/>
      <c r="C154" s="22"/>
      <c r="D154" s="153"/>
      <c r="E154" s="218"/>
      <c r="F154" s="7"/>
      <c r="G154" s="36">
        <f>SUM(G155:G159)</f>
        <v>88064.5</v>
      </c>
      <c r="H154" s="63">
        <f>SUM(H155:H159)</f>
        <v>28064.5</v>
      </c>
      <c r="I154" s="63">
        <f t="shared" ref="I154:S154" si="95">SUM(I155:I159)</f>
        <v>30000</v>
      </c>
      <c r="J154" s="63">
        <f t="shared" si="95"/>
        <v>30000</v>
      </c>
      <c r="K154" s="63">
        <f t="shared" si="95"/>
        <v>0</v>
      </c>
      <c r="L154" s="63">
        <f t="shared" si="95"/>
        <v>0</v>
      </c>
      <c r="M154" s="63">
        <f t="shared" si="95"/>
        <v>0</v>
      </c>
      <c r="N154" s="63">
        <f t="shared" si="95"/>
        <v>0</v>
      </c>
      <c r="O154" s="63">
        <f t="shared" si="95"/>
        <v>0</v>
      </c>
      <c r="P154" s="63">
        <f t="shared" si="95"/>
        <v>0</v>
      </c>
      <c r="Q154" s="63">
        <f t="shared" si="95"/>
        <v>0</v>
      </c>
      <c r="R154" s="63">
        <f t="shared" si="95"/>
        <v>0</v>
      </c>
      <c r="S154" s="63">
        <f t="shared" si="95"/>
        <v>0</v>
      </c>
      <c r="T154" s="61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  <c r="DG154" s="78"/>
      <c r="DH154" s="78"/>
      <c r="DI154" s="78"/>
      <c r="DJ154" s="78"/>
      <c r="DK154" s="78"/>
      <c r="DL154" s="78"/>
      <c r="DM154" s="78"/>
      <c r="DN154" s="78"/>
      <c r="DO154" s="78"/>
      <c r="DP154" s="78"/>
      <c r="DQ154" s="78"/>
      <c r="DR154" s="78"/>
      <c r="DS154" s="78"/>
      <c r="DT154" s="78"/>
      <c r="DU154" s="78"/>
      <c r="DV154" s="78"/>
      <c r="DW154" s="78"/>
      <c r="DX154" s="78"/>
      <c r="DY154" s="78"/>
      <c r="DZ154" s="78"/>
      <c r="EA154" s="78"/>
      <c r="EB154" s="78"/>
      <c r="EC154" s="78"/>
      <c r="ED154" s="78"/>
      <c r="EE154" s="78"/>
      <c r="EF154" s="78"/>
      <c r="EG154" s="78"/>
      <c r="EH154" s="78"/>
      <c r="EI154" s="78"/>
      <c r="EJ154" s="78"/>
      <c r="EK154" s="78"/>
      <c r="EL154" s="78"/>
      <c r="EM154" s="78"/>
      <c r="EN154" s="78"/>
      <c r="EO154" s="78"/>
      <c r="EP154" s="78"/>
      <c r="EQ154" s="78"/>
      <c r="ER154" s="78"/>
      <c r="ES154" s="78"/>
      <c r="ET154" s="78"/>
      <c r="EU154" s="78"/>
      <c r="EV154" s="78"/>
      <c r="EW154" s="78"/>
      <c r="EX154" s="78"/>
      <c r="EY154" s="78"/>
      <c r="EZ154" s="78"/>
      <c r="FA154" s="78"/>
      <c r="FB154" s="78"/>
      <c r="FC154" s="78"/>
      <c r="FD154" s="78"/>
      <c r="FE154" s="78"/>
      <c r="FF154" s="78"/>
      <c r="FG154" s="78"/>
      <c r="FH154" s="78"/>
      <c r="FI154" s="78"/>
      <c r="FJ154" s="78"/>
      <c r="FK154" s="78"/>
      <c r="FL154" s="78"/>
      <c r="FM154" s="78"/>
      <c r="FN154" s="78"/>
      <c r="FO154" s="78"/>
      <c r="FP154" s="78"/>
      <c r="FQ154" s="78"/>
      <c r="FR154" s="78"/>
      <c r="FS154" s="78"/>
      <c r="FT154" s="78"/>
      <c r="FU154" s="78"/>
      <c r="FV154" s="78"/>
      <c r="FW154" s="78"/>
      <c r="FX154" s="78"/>
      <c r="FY154" s="78"/>
      <c r="FZ154" s="78"/>
      <c r="GA154" s="78"/>
      <c r="GB154" s="78"/>
      <c r="GC154" s="78"/>
      <c r="GD154" s="78"/>
      <c r="GE154" s="78"/>
      <c r="GF154" s="78"/>
      <c r="GG154" s="78"/>
      <c r="GH154" s="78"/>
      <c r="GI154" s="78"/>
      <c r="GJ154" s="78"/>
      <c r="GK154" s="78"/>
      <c r="GL154" s="78"/>
      <c r="GM154" s="78"/>
      <c r="GN154" s="78"/>
      <c r="GO154" s="78"/>
      <c r="GP154" s="78"/>
      <c r="GQ154" s="78"/>
      <c r="GR154" s="78"/>
      <c r="GS154" s="78"/>
      <c r="GT154" s="78"/>
      <c r="GU154" s="78"/>
      <c r="GV154" s="78"/>
      <c r="GW154" s="78"/>
      <c r="GX154" s="78"/>
      <c r="GY154" s="78"/>
      <c r="GZ154" s="78"/>
      <c r="HA154" s="78"/>
      <c r="HB154" s="78"/>
      <c r="HC154" s="78"/>
      <c r="HD154" s="78"/>
      <c r="HE154" s="78"/>
      <c r="HF154" s="78"/>
      <c r="HG154" s="78"/>
      <c r="HH154" s="78"/>
      <c r="HI154" s="78"/>
      <c r="HJ154" s="78"/>
      <c r="HK154" s="78"/>
      <c r="HL154" s="78"/>
      <c r="HM154" s="78"/>
      <c r="HN154" s="78"/>
      <c r="HO154" s="78"/>
      <c r="HP154" s="78"/>
      <c r="HQ154" s="78"/>
      <c r="HR154" s="78"/>
      <c r="HS154" s="78"/>
      <c r="HT154" s="78"/>
      <c r="HU154" s="78"/>
      <c r="HV154" s="78"/>
      <c r="HW154" s="78"/>
      <c r="HX154" s="78"/>
      <c r="HY154" s="78"/>
      <c r="HZ154" s="78"/>
      <c r="IA154" s="78"/>
      <c r="IB154" s="78"/>
      <c r="IC154" s="78"/>
      <c r="ID154" s="78"/>
      <c r="IE154" s="78"/>
      <c r="IF154" s="78"/>
      <c r="IG154" s="78"/>
      <c r="IH154" s="78"/>
      <c r="II154" s="78"/>
      <c r="IJ154" s="78"/>
      <c r="IK154" s="78"/>
      <c r="IL154" s="78"/>
      <c r="IM154" s="78"/>
      <c r="IN154" s="78"/>
      <c r="IO154" s="78"/>
      <c r="IP154" s="78"/>
      <c r="IQ154" s="78"/>
      <c r="IR154" s="78"/>
      <c r="IS154" s="78"/>
      <c r="IT154" s="78"/>
      <c r="IU154" s="78"/>
      <c r="IV154" s="78"/>
      <c r="IW154" s="78"/>
      <c r="IX154" s="78"/>
      <c r="IY154" s="78"/>
      <c r="IZ154" s="78"/>
      <c r="JA154" s="78"/>
      <c r="JB154" s="78"/>
      <c r="JC154" s="78"/>
      <c r="JD154" s="78"/>
      <c r="JE154" s="78"/>
      <c r="JF154" s="78"/>
      <c r="JG154" s="78"/>
      <c r="JH154" s="78"/>
      <c r="JI154" s="78"/>
      <c r="JJ154" s="78"/>
      <c r="JK154" s="78"/>
      <c r="JL154" s="78"/>
      <c r="JM154" s="78"/>
      <c r="JN154" s="78"/>
      <c r="JO154" s="78"/>
      <c r="JP154" s="78"/>
      <c r="JQ154" s="78"/>
      <c r="JR154" s="78"/>
      <c r="JS154" s="78"/>
      <c r="JT154" s="78"/>
      <c r="JU154" s="78"/>
      <c r="JV154" s="78"/>
      <c r="JW154" s="78"/>
    </row>
    <row r="155" spans="2:283" s="78" customFormat="1" ht="14.25" customHeight="1">
      <c r="B155" s="58"/>
      <c r="C155" s="19">
        <v>1</v>
      </c>
      <c r="D155" s="132" t="s">
        <v>59</v>
      </c>
      <c r="E155" s="216" t="s">
        <v>61</v>
      </c>
      <c r="F155" s="20">
        <v>6000</v>
      </c>
      <c r="G155" s="21">
        <f t="shared" ref="G155:G158" si="96">SUM(H155:S155)</f>
        <v>17612.900000000001</v>
      </c>
      <c r="H155" s="21">
        <f t="shared" ref="H155:H158" si="97">+F155*C155/31*29</f>
        <v>5612.9</v>
      </c>
      <c r="I155" s="21">
        <f t="shared" ref="I155:I158" si="98">+F155*C155</f>
        <v>6000</v>
      </c>
      <c r="J155" s="37">
        <f t="shared" ref="J155:J158" si="99">+F155*C155</f>
        <v>6000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</row>
    <row r="156" spans="2:283" s="78" customFormat="1" ht="14.25" customHeight="1">
      <c r="B156" s="58"/>
      <c r="C156" s="19">
        <v>1</v>
      </c>
      <c r="D156" s="132" t="s">
        <v>59</v>
      </c>
      <c r="E156" s="216" t="s">
        <v>61</v>
      </c>
      <c r="F156" s="20">
        <v>6000</v>
      </c>
      <c r="G156" s="21">
        <f t="shared" si="96"/>
        <v>17612.900000000001</v>
      </c>
      <c r="H156" s="21">
        <f t="shared" si="97"/>
        <v>5612.9</v>
      </c>
      <c r="I156" s="21">
        <f t="shared" si="98"/>
        <v>6000</v>
      </c>
      <c r="J156" s="37">
        <f t="shared" si="99"/>
        <v>6000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</row>
    <row r="157" spans="2:283" s="78" customFormat="1" ht="14.25" customHeight="1">
      <c r="B157" s="58"/>
      <c r="C157" s="19">
        <v>1</v>
      </c>
      <c r="D157" s="132" t="s">
        <v>59</v>
      </c>
      <c r="E157" s="216" t="s">
        <v>61</v>
      </c>
      <c r="F157" s="20">
        <v>6000</v>
      </c>
      <c r="G157" s="21">
        <f t="shared" si="96"/>
        <v>17612.900000000001</v>
      </c>
      <c r="H157" s="21">
        <f t="shared" si="97"/>
        <v>5612.9</v>
      </c>
      <c r="I157" s="21">
        <f t="shared" si="98"/>
        <v>6000</v>
      </c>
      <c r="J157" s="37">
        <f t="shared" si="99"/>
        <v>6000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</row>
    <row r="158" spans="2:283" s="78" customFormat="1" ht="14.25" customHeight="1">
      <c r="B158" s="58"/>
      <c r="C158" s="19">
        <v>1</v>
      </c>
      <c r="D158" s="132" t="s">
        <v>59</v>
      </c>
      <c r="E158" s="216" t="s">
        <v>61</v>
      </c>
      <c r="F158" s="20">
        <v>6000</v>
      </c>
      <c r="G158" s="21">
        <f t="shared" si="96"/>
        <v>17612.900000000001</v>
      </c>
      <c r="H158" s="21">
        <f t="shared" si="97"/>
        <v>5612.9</v>
      </c>
      <c r="I158" s="21">
        <f t="shared" si="98"/>
        <v>6000</v>
      </c>
      <c r="J158" s="37">
        <f t="shared" si="99"/>
        <v>6000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</row>
    <row r="159" spans="2:283" s="78" customFormat="1" ht="14.25" customHeight="1">
      <c r="B159" s="58"/>
      <c r="C159" s="19">
        <v>1</v>
      </c>
      <c r="D159" s="132" t="s">
        <v>59</v>
      </c>
      <c r="E159" s="216" t="s">
        <v>61</v>
      </c>
      <c r="F159" s="20">
        <v>6000</v>
      </c>
      <c r="G159" s="21">
        <f t="shared" ref="G159" si="100">SUM(H159:S159)</f>
        <v>17612.900000000001</v>
      </c>
      <c r="H159" s="21">
        <f t="shared" ref="H159" si="101">+F159*C159/31*29</f>
        <v>5612.9</v>
      </c>
      <c r="I159" s="21">
        <f t="shared" ref="I159" si="102">+F159*C159</f>
        <v>6000</v>
      </c>
      <c r="J159" s="37">
        <f t="shared" ref="J159" si="103">+F159*C159</f>
        <v>6000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</row>
    <row r="160" spans="2:283" ht="15" customHeight="1">
      <c r="B160" s="38"/>
      <c r="C160" s="39"/>
      <c r="D160" s="157"/>
      <c r="E160" s="275" t="s">
        <v>24</v>
      </c>
      <c r="F160" s="276"/>
      <c r="G160" s="40">
        <f>360000-SUM(G155:G159)</f>
        <v>271935.5</v>
      </c>
      <c r="H160" s="40"/>
      <c r="I160" s="40"/>
      <c r="J160" s="40"/>
      <c r="K160" s="40"/>
      <c r="L160" s="40"/>
      <c r="M160" s="42"/>
      <c r="N160" s="40"/>
      <c r="O160" s="40"/>
      <c r="P160" s="40"/>
      <c r="Q160" s="40"/>
      <c r="R160" s="40"/>
      <c r="S160" s="40"/>
      <c r="BV160" s="78"/>
      <c r="BW160" s="78"/>
      <c r="BX160" s="78"/>
      <c r="BY160" s="78"/>
      <c r="BZ160" s="78"/>
      <c r="CA160" s="78"/>
      <c r="CB160" s="78"/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  <c r="CS160" s="78"/>
      <c r="CT160" s="78"/>
      <c r="CU160" s="78"/>
      <c r="CV160" s="78"/>
      <c r="CW160" s="78"/>
      <c r="CX160" s="78"/>
      <c r="CY160" s="78"/>
      <c r="CZ160" s="78"/>
      <c r="DA160" s="78"/>
      <c r="DB160" s="78"/>
      <c r="DC160" s="78"/>
      <c r="DD160" s="78"/>
      <c r="DE160" s="78"/>
      <c r="DF160" s="78"/>
      <c r="DG160" s="78"/>
      <c r="DH160" s="78"/>
      <c r="DI160" s="78"/>
      <c r="DJ160" s="78"/>
      <c r="DK160" s="78"/>
      <c r="DL160" s="78"/>
      <c r="DM160" s="78"/>
      <c r="DN160" s="78"/>
      <c r="DO160" s="78"/>
      <c r="DP160" s="78"/>
      <c r="DQ160" s="78"/>
      <c r="DR160" s="78"/>
      <c r="DS160" s="78"/>
      <c r="DT160" s="78"/>
      <c r="DU160" s="78"/>
      <c r="DV160" s="78"/>
      <c r="DW160" s="78"/>
      <c r="DX160" s="78"/>
      <c r="DY160" s="78"/>
      <c r="DZ160" s="78"/>
      <c r="EA160" s="78"/>
      <c r="EB160" s="78"/>
      <c r="EC160" s="78"/>
      <c r="ED160" s="78"/>
      <c r="EE160" s="78"/>
      <c r="EF160" s="78"/>
      <c r="EG160" s="78"/>
      <c r="EH160" s="78"/>
      <c r="EI160" s="78"/>
      <c r="EJ160" s="78"/>
      <c r="EK160" s="78"/>
      <c r="EL160" s="78"/>
      <c r="EM160" s="78"/>
      <c r="EN160" s="78"/>
      <c r="EO160" s="78"/>
      <c r="EP160" s="78"/>
      <c r="EQ160" s="78"/>
      <c r="ER160" s="78"/>
      <c r="ES160" s="78"/>
      <c r="ET160" s="78"/>
      <c r="EU160" s="78"/>
      <c r="EV160" s="78"/>
      <c r="EW160" s="78"/>
      <c r="EX160" s="78"/>
      <c r="EY160" s="78"/>
      <c r="EZ160" s="78"/>
      <c r="FA160" s="78"/>
      <c r="FB160" s="78"/>
      <c r="FC160" s="78"/>
      <c r="FD160" s="78"/>
      <c r="FE160" s="78"/>
      <c r="FF160" s="78"/>
      <c r="FG160" s="78"/>
      <c r="FH160" s="78"/>
      <c r="FI160" s="78"/>
      <c r="FJ160" s="78"/>
      <c r="FK160" s="78"/>
      <c r="FL160" s="78"/>
      <c r="FM160" s="78"/>
      <c r="FN160" s="78"/>
      <c r="FO160" s="78"/>
      <c r="FP160" s="78"/>
      <c r="FQ160" s="78"/>
      <c r="FR160" s="78"/>
      <c r="FS160" s="78"/>
      <c r="FT160" s="78"/>
      <c r="FU160" s="78"/>
      <c r="FV160" s="78"/>
      <c r="FW160" s="78"/>
      <c r="FX160" s="78"/>
      <c r="FY160" s="78"/>
      <c r="FZ160" s="78"/>
      <c r="GA160" s="78"/>
      <c r="GB160" s="78"/>
      <c r="GC160" s="78"/>
      <c r="GD160" s="78"/>
      <c r="GE160" s="78"/>
      <c r="GF160" s="78"/>
      <c r="GG160" s="78"/>
      <c r="GH160" s="78"/>
      <c r="GI160" s="78"/>
      <c r="GJ160" s="78"/>
      <c r="GK160" s="78"/>
      <c r="GL160" s="78"/>
      <c r="GM160" s="78"/>
      <c r="GN160" s="78"/>
      <c r="GO160" s="78"/>
      <c r="GP160" s="78"/>
      <c r="GQ160" s="78"/>
      <c r="GR160" s="78"/>
      <c r="GS160" s="78"/>
      <c r="GT160" s="78"/>
      <c r="GU160" s="78"/>
      <c r="GV160" s="78"/>
      <c r="GW160" s="78"/>
      <c r="GX160" s="78"/>
      <c r="GY160" s="78"/>
      <c r="GZ160" s="78"/>
      <c r="HA160" s="78"/>
      <c r="HB160" s="78"/>
      <c r="HC160" s="78"/>
      <c r="HD160" s="78"/>
      <c r="HE160" s="78"/>
      <c r="HF160" s="78"/>
      <c r="HG160" s="78"/>
      <c r="HH160" s="78"/>
      <c r="HI160" s="78"/>
      <c r="HJ160" s="78"/>
      <c r="HK160" s="78"/>
      <c r="HL160" s="78"/>
      <c r="HM160" s="78"/>
      <c r="HN160" s="78"/>
      <c r="HO160" s="78"/>
      <c r="HP160" s="78"/>
      <c r="HQ160" s="78"/>
      <c r="HR160" s="78"/>
      <c r="HS160" s="78"/>
      <c r="HT160" s="78"/>
      <c r="HU160" s="78"/>
      <c r="HV160" s="78"/>
      <c r="HW160" s="78"/>
      <c r="HX160" s="78"/>
      <c r="HY160" s="78"/>
      <c r="HZ160" s="78"/>
      <c r="IA160" s="78"/>
      <c r="IB160" s="78"/>
      <c r="IC160" s="78"/>
      <c r="ID160" s="78"/>
      <c r="IE160" s="78"/>
      <c r="IF160" s="78"/>
      <c r="IG160" s="78"/>
      <c r="IH160" s="78"/>
      <c r="II160" s="78"/>
      <c r="IJ160" s="78"/>
      <c r="IK160" s="78"/>
      <c r="IL160" s="78"/>
      <c r="IM160" s="78"/>
      <c r="IN160" s="78"/>
      <c r="IO160" s="78"/>
      <c r="IP160" s="78"/>
      <c r="IQ160" s="78"/>
      <c r="IR160" s="78"/>
      <c r="IS160" s="78"/>
      <c r="IT160" s="78"/>
      <c r="IU160" s="78"/>
      <c r="IV160" s="78"/>
      <c r="IW160" s="78"/>
      <c r="IX160" s="78"/>
      <c r="IY160" s="78"/>
      <c r="IZ160" s="78"/>
      <c r="JA160" s="78"/>
      <c r="JB160" s="78"/>
      <c r="JC160" s="78"/>
      <c r="JD160" s="78"/>
      <c r="JE160" s="78"/>
      <c r="JF160" s="78"/>
      <c r="JG160" s="78"/>
      <c r="JH160" s="78"/>
      <c r="JI160" s="78"/>
      <c r="JJ160" s="78"/>
      <c r="JK160" s="78"/>
      <c r="JL160" s="78"/>
      <c r="JM160" s="78"/>
      <c r="JN160" s="78"/>
      <c r="JO160" s="78"/>
      <c r="JP160" s="78"/>
      <c r="JQ160" s="78"/>
      <c r="JR160" s="78"/>
      <c r="JS160" s="78"/>
      <c r="JT160" s="78"/>
      <c r="JU160" s="78"/>
      <c r="JV160" s="78"/>
      <c r="JW160" s="78"/>
    </row>
    <row r="161" spans="2:341" s="64" customFormat="1" ht="29.25">
      <c r="B161" s="68" t="s">
        <v>80</v>
      </c>
      <c r="C161" s="69">
        <f>SUM(C163:C163)</f>
        <v>1</v>
      </c>
      <c r="D161" s="156"/>
      <c r="E161" s="219"/>
      <c r="F161" s="49"/>
      <c r="G161" s="49"/>
      <c r="H161" s="49"/>
      <c r="I161" s="49"/>
      <c r="J161" s="49"/>
      <c r="K161" s="49"/>
      <c r="L161" s="49"/>
      <c r="M161" s="70"/>
      <c r="N161" s="49"/>
      <c r="O161" s="49"/>
      <c r="P161" s="49"/>
      <c r="Q161" s="49"/>
      <c r="R161" s="49"/>
      <c r="S161" s="49"/>
      <c r="BV161" s="78"/>
      <c r="BW161" s="78"/>
      <c r="BX161" s="78"/>
      <c r="BY161" s="78"/>
      <c r="BZ161" s="78"/>
      <c r="CA161" s="78"/>
      <c r="CB161" s="78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  <c r="CS161" s="78"/>
      <c r="CT161" s="78"/>
      <c r="CU161" s="78"/>
      <c r="CV161" s="78"/>
      <c r="CW161" s="78"/>
      <c r="CX161" s="78"/>
      <c r="CY161" s="78"/>
      <c r="CZ161" s="78"/>
      <c r="DA161" s="78"/>
      <c r="DB161" s="78"/>
      <c r="DC161" s="78"/>
      <c r="DD161" s="78"/>
      <c r="DE161" s="78"/>
      <c r="DF161" s="78"/>
      <c r="DG161" s="78"/>
      <c r="DH161" s="78"/>
      <c r="DI161" s="78"/>
      <c r="DJ161" s="78"/>
      <c r="DK161" s="78"/>
      <c r="DL161" s="78"/>
      <c r="DM161" s="78"/>
      <c r="DN161" s="78"/>
      <c r="DO161" s="78"/>
      <c r="DP161" s="78"/>
      <c r="DQ161" s="78"/>
      <c r="DR161" s="78"/>
      <c r="DS161" s="78"/>
      <c r="DT161" s="78"/>
      <c r="DU161" s="78"/>
      <c r="DV161" s="78"/>
      <c r="DW161" s="78"/>
      <c r="DX161" s="78"/>
      <c r="DY161" s="78"/>
      <c r="DZ161" s="78"/>
      <c r="EA161" s="78"/>
      <c r="EB161" s="78"/>
      <c r="EC161" s="78"/>
      <c r="ED161" s="78"/>
      <c r="EE161" s="78"/>
      <c r="EF161" s="78"/>
      <c r="EG161" s="78"/>
      <c r="EH161" s="78"/>
      <c r="EI161" s="78"/>
      <c r="EJ161" s="78"/>
      <c r="EK161" s="78"/>
      <c r="EL161" s="78"/>
      <c r="EM161" s="78"/>
      <c r="EN161" s="78"/>
      <c r="EO161" s="78"/>
      <c r="EP161" s="78"/>
      <c r="EQ161" s="78"/>
      <c r="ER161" s="78"/>
      <c r="ES161" s="78"/>
      <c r="ET161" s="78"/>
      <c r="EU161" s="78"/>
      <c r="EV161" s="78"/>
      <c r="EW161" s="78"/>
      <c r="EX161" s="78"/>
      <c r="EY161" s="78"/>
      <c r="EZ161" s="78"/>
      <c r="FA161" s="78"/>
      <c r="FB161" s="78"/>
      <c r="FC161" s="78"/>
      <c r="FD161" s="78"/>
      <c r="FE161" s="78"/>
      <c r="FF161" s="78"/>
      <c r="FG161" s="78"/>
      <c r="FH161" s="78"/>
      <c r="FI161" s="78"/>
      <c r="FJ161" s="78"/>
      <c r="FK161" s="78"/>
      <c r="FL161" s="78"/>
      <c r="FM161" s="78"/>
      <c r="FN161" s="78"/>
      <c r="FO161" s="78"/>
      <c r="FP161" s="78"/>
      <c r="FQ161" s="78"/>
      <c r="FR161" s="78"/>
      <c r="FS161" s="78"/>
      <c r="FT161" s="78"/>
      <c r="FU161" s="78"/>
      <c r="FV161" s="78"/>
      <c r="FW161" s="78"/>
      <c r="FX161" s="78"/>
      <c r="FY161" s="78"/>
      <c r="FZ161" s="78"/>
      <c r="GA161" s="78"/>
      <c r="GB161" s="78"/>
      <c r="GC161" s="78"/>
      <c r="GD161" s="78"/>
      <c r="GE161" s="78"/>
      <c r="GF161" s="78"/>
      <c r="GG161" s="78"/>
      <c r="GH161" s="78"/>
      <c r="GI161" s="78"/>
      <c r="GJ161" s="78"/>
      <c r="GK161" s="78"/>
      <c r="GL161" s="78"/>
      <c r="GM161" s="78"/>
      <c r="GN161" s="78"/>
      <c r="GO161" s="78"/>
      <c r="GP161" s="78"/>
      <c r="GQ161" s="78"/>
      <c r="GR161" s="78"/>
      <c r="GS161" s="78"/>
      <c r="GT161" s="78"/>
      <c r="GU161" s="78"/>
      <c r="GV161" s="78"/>
      <c r="GW161" s="78"/>
      <c r="GX161" s="78"/>
      <c r="GY161" s="78"/>
      <c r="GZ161" s="78"/>
      <c r="HA161" s="78"/>
      <c r="HB161" s="78"/>
      <c r="HC161" s="78"/>
      <c r="HD161" s="78"/>
      <c r="HE161" s="78"/>
      <c r="HF161" s="78"/>
      <c r="HG161" s="78"/>
      <c r="HH161" s="78"/>
      <c r="HI161" s="78"/>
      <c r="HJ161" s="78"/>
      <c r="HK161" s="78"/>
      <c r="HL161" s="78"/>
      <c r="HM161" s="78"/>
      <c r="HN161" s="78"/>
      <c r="HO161" s="78"/>
      <c r="HP161" s="78"/>
      <c r="HQ161" s="78"/>
      <c r="HR161" s="78"/>
      <c r="HS161" s="78"/>
      <c r="HT161" s="78"/>
      <c r="HU161" s="78"/>
      <c r="HV161" s="78"/>
      <c r="HW161" s="78"/>
      <c r="HX161" s="78"/>
      <c r="HY161" s="78"/>
      <c r="HZ161" s="78"/>
      <c r="IA161" s="78"/>
      <c r="IB161" s="78"/>
      <c r="IC161" s="78"/>
      <c r="ID161" s="78"/>
      <c r="IE161" s="78"/>
      <c r="IF161" s="78"/>
      <c r="IG161" s="78"/>
      <c r="IH161" s="78"/>
      <c r="II161" s="78"/>
      <c r="IJ161" s="78"/>
      <c r="IK161" s="78"/>
      <c r="IL161" s="78"/>
      <c r="IM161" s="78"/>
      <c r="IN161" s="78"/>
      <c r="IO161" s="78"/>
      <c r="IP161" s="78"/>
      <c r="IQ161" s="78"/>
      <c r="IR161" s="78"/>
      <c r="IS161" s="78"/>
      <c r="IT161" s="78"/>
      <c r="IU161" s="78"/>
      <c r="IV161" s="78"/>
      <c r="IW161" s="78"/>
      <c r="IX161" s="78"/>
      <c r="IY161" s="78"/>
      <c r="IZ161" s="78"/>
      <c r="JA161" s="78"/>
      <c r="JB161" s="78"/>
      <c r="JC161" s="78"/>
      <c r="JD161" s="78"/>
      <c r="JE161" s="78"/>
      <c r="JF161" s="78"/>
      <c r="JG161" s="78"/>
      <c r="JH161" s="78"/>
      <c r="JI161" s="78"/>
      <c r="JJ161" s="78"/>
      <c r="JK161" s="78"/>
      <c r="JL161" s="78"/>
      <c r="JM161" s="78"/>
      <c r="JN161" s="78"/>
      <c r="JO161" s="78"/>
      <c r="JP161" s="78"/>
      <c r="JQ161" s="78"/>
      <c r="JR161" s="78"/>
      <c r="JS161" s="78"/>
      <c r="JT161" s="78"/>
      <c r="JU161" s="78"/>
      <c r="JV161" s="78"/>
      <c r="JW161" s="78"/>
    </row>
    <row r="162" spans="2:341">
      <c r="B162" s="34"/>
      <c r="C162" s="22"/>
      <c r="D162" s="153"/>
      <c r="E162" s="218"/>
      <c r="F162" s="7"/>
      <c r="G162" s="36">
        <f t="shared" ref="G162:R162" si="104">SUM(G163:G163)</f>
        <v>14677.42</v>
      </c>
      <c r="H162" s="63">
        <f t="shared" si="104"/>
        <v>4677.42</v>
      </c>
      <c r="I162" s="63">
        <f t="shared" si="104"/>
        <v>5000</v>
      </c>
      <c r="J162" s="63">
        <f t="shared" si="104"/>
        <v>5000</v>
      </c>
      <c r="K162" s="63">
        <f t="shared" si="104"/>
        <v>0</v>
      </c>
      <c r="L162" s="63">
        <f t="shared" si="104"/>
        <v>0</v>
      </c>
      <c r="M162" s="63">
        <f t="shared" si="104"/>
        <v>0</v>
      </c>
      <c r="N162" s="63">
        <f t="shared" si="104"/>
        <v>0</v>
      </c>
      <c r="O162" s="63">
        <f t="shared" si="104"/>
        <v>0</v>
      </c>
      <c r="P162" s="63">
        <f t="shared" si="104"/>
        <v>0</v>
      </c>
      <c r="Q162" s="63">
        <f t="shared" si="104"/>
        <v>0</v>
      </c>
      <c r="R162" s="63">
        <f t="shared" si="104"/>
        <v>0</v>
      </c>
      <c r="S162" s="63">
        <f>SUM(S163:S164)</f>
        <v>0</v>
      </c>
      <c r="T162" s="61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8"/>
      <c r="DF162" s="78"/>
      <c r="DG162" s="78"/>
      <c r="DH162" s="78"/>
      <c r="DI162" s="78"/>
      <c r="DJ162" s="78"/>
      <c r="DK162" s="78"/>
      <c r="DL162" s="78"/>
      <c r="DM162" s="78"/>
      <c r="DN162" s="78"/>
      <c r="DO162" s="78"/>
      <c r="DP162" s="78"/>
      <c r="DQ162" s="78"/>
      <c r="DR162" s="78"/>
      <c r="DS162" s="78"/>
      <c r="DT162" s="78"/>
      <c r="DU162" s="78"/>
      <c r="DV162" s="78"/>
      <c r="DW162" s="78"/>
      <c r="DX162" s="78"/>
      <c r="DY162" s="78"/>
      <c r="DZ162" s="78"/>
      <c r="EA162" s="78"/>
      <c r="EB162" s="78"/>
      <c r="EC162" s="78"/>
      <c r="ED162" s="78"/>
      <c r="EE162" s="78"/>
      <c r="EF162" s="78"/>
      <c r="EG162" s="78"/>
      <c r="EH162" s="78"/>
      <c r="EI162" s="78"/>
      <c r="EJ162" s="78"/>
      <c r="EK162" s="78"/>
      <c r="EL162" s="78"/>
      <c r="EM162" s="78"/>
      <c r="EN162" s="78"/>
      <c r="EO162" s="78"/>
      <c r="EP162" s="78"/>
      <c r="EQ162" s="78"/>
      <c r="ER162" s="78"/>
      <c r="ES162" s="78"/>
      <c r="ET162" s="78"/>
      <c r="EU162" s="78"/>
      <c r="EV162" s="78"/>
      <c r="EW162" s="78"/>
      <c r="EX162" s="78"/>
      <c r="EY162" s="78"/>
      <c r="EZ162" s="78"/>
      <c r="FA162" s="78"/>
      <c r="FB162" s="78"/>
      <c r="FC162" s="78"/>
      <c r="FD162" s="78"/>
      <c r="FE162" s="78"/>
      <c r="FF162" s="78"/>
      <c r="FG162" s="78"/>
      <c r="FH162" s="78"/>
      <c r="FI162" s="78"/>
      <c r="FJ162" s="78"/>
      <c r="FK162" s="78"/>
      <c r="FL162" s="78"/>
      <c r="FM162" s="78"/>
      <c r="FN162" s="78"/>
      <c r="FO162" s="78"/>
      <c r="FP162" s="78"/>
      <c r="FQ162" s="78"/>
      <c r="FR162" s="78"/>
      <c r="FS162" s="78"/>
      <c r="FT162" s="78"/>
      <c r="FU162" s="78"/>
      <c r="FV162" s="78"/>
      <c r="FW162" s="78"/>
      <c r="FX162" s="78"/>
      <c r="FY162" s="78"/>
      <c r="FZ162" s="78"/>
      <c r="GA162" s="78"/>
      <c r="GB162" s="78"/>
      <c r="GC162" s="78"/>
      <c r="GD162" s="78"/>
      <c r="GE162" s="78"/>
      <c r="GF162" s="78"/>
      <c r="GG162" s="78"/>
      <c r="GH162" s="78"/>
      <c r="GI162" s="78"/>
      <c r="GJ162" s="78"/>
      <c r="GK162" s="78"/>
      <c r="GL162" s="78"/>
      <c r="GM162" s="78"/>
      <c r="GN162" s="78"/>
      <c r="GO162" s="78"/>
      <c r="GP162" s="78"/>
      <c r="GQ162" s="78"/>
      <c r="GR162" s="78"/>
      <c r="GS162" s="78"/>
      <c r="GT162" s="78"/>
      <c r="GU162" s="78"/>
      <c r="GV162" s="78"/>
      <c r="GW162" s="78"/>
      <c r="GX162" s="78"/>
      <c r="GY162" s="78"/>
      <c r="GZ162" s="78"/>
      <c r="HA162" s="78"/>
      <c r="HB162" s="78"/>
      <c r="HC162" s="78"/>
      <c r="HD162" s="78"/>
      <c r="HE162" s="78"/>
      <c r="HF162" s="78"/>
      <c r="HG162" s="78"/>
      <c r="HH162" s="78"/>
      <c r="HI162" s="78"/>
      <c r="HJ162" s="78"/>
      <c r="HK162" s="78"/>
      <c r="HL162" s="78"/>
      <c r="HM162" s="78"/>
      <c r="HN162" s="78"/>
      <c r="HO162" s="78"/>
      <c r="HP162" s="78"/>
      <c r="HQ162" s="78"/>
      <c r="HR162" s="78"/>
      <c r="HS162" s="78"/>
      <c r="HT162" s="78"/>
      <c r="HU162" s="78"/>
      <c r="HV162" s="78"/>
      <c r="HW162" s="78"/>
      <c r="HX162" s="78"/>
      <c r="HY162" s="78"/>
      <c r="HZ162" s="78"/>
      <c r="IA162" s="78"/>
      <c r="IB162" s="78"/>
      <c r="IC162" s="78"/>
      <c r="ID162" s="78"/>
      <c r="IE162" s="78"/>
      <c r="IF162" s="78"/>
      <c r="IG162" s="78"/>
      <c r="IH162" s="78"/>
      <c r="II162" s="78"/>
      <c r="IJ162" s="78"/>
      <c r="IK162" s="78"/>
      <c r="IL162" s="78"/>
      <c r="IM162" s="78"/>
      <c r="IN162" s="78"/>
      <c r="IO162" s="78"/>
      <c r="IP162" s="78"/>
      <c r="IQ162" s="78"/>
      <c r="IR162" s="78"/>
      <c r="IS162" s="78"/>
      <c r="IT162" s="78"/>
      <c r="IU162" s="78"/>
      <c r="IV162" s="78"/>
      <c r="IW162" s="78"/>
      <c r="IX162" s="78"/>
      <c r="IY162" s="78"/>
      <c r="IZ162" s="78"/>
      <c r="JA162" s="78"/>
      <c r="JB162" s="78"/>
      <c r="JC162" s="78"/>
      <c r="JD162" s="78"/>
      <c r="JE162" s="78"/>
      <c r="JF162" s="78"/>
      <c r="JG162" s="78"/>
      <c r="JH162" s="78"/>
      <c r="JI162" s="78"/>
      <c r="JJ162" s="78"/>
      <c r="JK162" s="78"/>
      <c r="JL162" s="78"/>
      <c r="JM162" s="78"/>
      <c r="JN162" s="78"/>
      <c r="JO162" s="78"/>
      <c r="JP162" s="78"/>
      <c r="JQ162" s="78"/>
      <c r="JR162" s="78"/>
      <c r="JS162" s="78"/>
      <c r="JT162" s="78"/>
      <c r="JU162" s="78"/>
      <c r="JV162" s="78"/>
      <c r="JW162" s="78"/>
    </row>
    <row r="163" spans="2:341" s="78" customFormat="1" ht="14.25" customHeight="1">
      <c r="B163" s="53"/>
      <c r="C163" s="19">
        <v>1</v>
      </c>
      <c r="D163" s="132" t="s">
        <v>59</v>
      </c>
      <c r="E163" s="216" t="s">
        <v>61</v>
      </c>
      <c r="F163" s="20">
        <v>5000</v>
      </c>
      <c r="G163" s="21">
        <f>SUM(H163:S163)</f>
        <v>14677.42</v>
      </c>
      <c r="H163" s="21">
        <f t="shared" ref="H163" si="105">+F163*C163/31*29</f>
        <v>4677.42</v>
      </c>
      <c r="I163" s="21">
        <f t="shared" ref="I163" si="106">+F163*C163</f>
        <v>5000</v>
      </c>
      <c r="J163" s="37">
        <f t="shared" ref="J163" si="107">+F163*C163</f>
        <v>5000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</row>
    <row r="164" spans="2:341">
      <c r="B164" s="38"/>
      <c r="C164" s="39"/>
      <c r="D164" s="157"/>
      <c r="E164" s="275" t="s">
        <v>24</v>
      </c>
      <c r="F164" s="276"/>
      <c r="G164" s="40">
        <f>60000-SUM(G163:G163)</f>
        <v>45322.58</v>
      </c>
      <c r="H164" s="40"/>
      <c r="I164" s="40"/>
      <c r="J164" s="40"/>
      <c r="K164" s="40"/>
      <c r="L164" s="40"/>
      <c r="M164" s="42"/>
      <c r="N164" s="40"/>
      <c r="O164" s="40"/>
      <c r="P164" s="40"/>
      <c r="Q164" s="40"/>
      <c r="R164" s="40"/>
      <c r="S164" s="40"/>
      <c r="BV164" s="78"/>
      <c r="BW164" s="78"/>
      <c r="BX164" s="78"/>
      <c r="BY164" s="78"/>
      <c r="BZ164" s="78"/>
      <c r="CA164" s="78"/>
      <c r="CB164" s="78"/>
      <c r="CC164" s="78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8"/>
      <c r="DF164" s="78"/>
      <c r="DG164" s="78"/>
      <c r="DH164" s="78"/>
      <c r="DI164" s="78"/>
      <c r="DJ164" s="78"/>
      <c r="DK164" s="78"/>
      <c r="DL164" s="78"/>
      <c r="DM164" s="78"/>
      <c r="DN164" s="78"/>
      <c r="DO164" s="78"/>
      <c r="DP164" s="78"/>
      <c r="DQ164" s="78"/>
      <c r="DR164" s="78"/>
      <c r="DS164" s="78"/>
      <c r="DT164" s="78"/>
      <c r="DU164" s="78"/>
      <c r="DV164" s="78"/>
      <c r="DW164" s="78"/>
      <c r="DX164" s="78"/>
      <c r="DY164" s="78"/>
      <c r="DZ164" s="78"/>
      <c r="EA164" s="78"/>
      <c r="EB164" s="78"/>
      <c r="EC164" s="78"/>
      <c r="ED164" s="78"/>
      <c r="EE164" s="78"/>
      <c r="EF164" s="78"/>
      <c r="EG164" s="78"/>
      <c r="EH164" s="78"/>
      <c r="EI164" s="78"/>
      <c r="EJ164" s="78"/>
      <c r="EK164" s="78"/>
      <c r="EL164" s="78"/>
      <c r="EM164" s="78"/>
      <c r="EN164" s="78"/>
      <c r="EO164" s="78"/>
      <c r="EP164" s="78"/>
      <c r="EQ164" s="78"/>
      <c r="ER164" s="78"/>
      <c r="ES164" s="78"/>
      <c r="ET164" s="78"/>
      <c r="EU164" s="78"/>
      <c r="EV164" s="78"/>
      <c r="EW164" s="78"/>
      <c r="EX164" s="78"/>
      <c r="EY164" s="78"/>
      <c r="EZ164" s="78"/>
      <c r="FA164" s="78"/>
      <c r="FB164" s="78"/>
      <c r="FC164" s="78"/>
      <c r="FD164" s="78"/>
      <c r="FE164" s="78"/>
      <c r="FF164" s="78"/>
      <c r="FG164" s="78"/>
      <c r="FH164" s="78"/>
      <c r="FI164" s="78"/>
      <c r="FJ164" s="78"/>
      <c r="FK164" s="78"/>
      <c r="FL164" s="78"/>
      <c r="FM164" s="78"/>
      <c r="FN164" s="78"/>
      <c r="FO164" s="78"/>
      <c r="FP164" s="78"/>
      <c r="FQ164" s="78"/>
      <c r="FR164" s="78"/>
      <c r="FS164" s="78"/>
      <c r="FT164" s="78"/>
      <c r="FU164" s="78"/>
      <c r="FV164" s="78"/>
      <c r="FW164" s="78"/>
      <c r="FX164" s="78"/>
      <c r="FY164" s="78"/>
      <c r="FZ164" s="78"/>
      <c r="GA164" s="78"/>
      <c r="GB164" s="78"/>
      <c r="GC164" s="78"/>
      <c r="GD164" s="78"/>
      <c r="GE164" s="78"/>
      <c r="GF164" s="78"/>
      <c r="GG164" s="78"/>
      <c r="GH164" s="78"/>
      <c r="GI164" s="78"/>
      <c r="GJ164" s="78"/>
      <c r="GK164" s="78"/>
      <c r="GL164" s="78"/>
      <c r="GM164" s="78"/>
      <c r="GN164" s="78"/>
      <c r="GO164" s="78"/>
      <c r="GP164" s="78"/>
      <c r="GQ164" s="78"/>
      <c r="GR164" s="78"/>
      <c r="GS164" s="78"/>
      <c r="GT164" s="78"/>
      <c r="GU164" s="78"/>
      <c r="GV164" s="78"/>
      <c r="GW164" s="78"/>
      <c r="GX164" s="78"/>
      <c r="GY164" s="78"/>
      <c r="GZ164" s="78"/>
      <c r="HA164" s="78"/>
      <c r="HB164" s="78"/>
      <c r="HC164" s="78"/>
      <c r="HD164" s="78"/>
      <c r="HE164" s="78"/>
      <c r="HF164" s="78"/>
      <c r="HG164" s="78"/>
      <c r="HH164" s="78"/>
      <c r="HI164" s="78"/>
      <c r="HJ164" s="78"/>
      <c r="HK164" s="78"/>
      <c r="HL164" s="78"/>
      <c r="HM164" s="78"/>
      <c r="HN164" s="78"/>
      <c r="HO164" s="78"/>
      <c r="HP164" s="78"/>
      <c r="HQ164" s="78"/>
      <c r="HR164" s="78"/>
      <c r="HS164" s="78"/>
      <c r="HT164" s="78"/>
      <c r="HU164" s="78"/>
      <c r="HV164" s="78"/>
      <c r="HW164" s="78"/>
      <c r="HX164" s="78"/>
      <c r="HY164" s="78"/>
      <c r="HZ164" s="78"/>
      <c r="IA164" s="78"/>
      <c r="IB164" s="78"/>
      <c r="IC164" s="78"/>
      <c r="ID164" s="78"/>
      <c r="IE164" s="78"/>
      <c r="IF164" s="78"/>
      <c r="IG164" s="78"/>
      <c r="IH164" s="78"/>
      <c r="II164" s="78"/>
      <c r="IJ164" s="78"/>
      <c r="IK164" s="78"/>
      <c r="IL164" s="78"/>
      <c r="IM164" s="78"/>
      <c r="IN164" s="78"/>
      <c r="IO164" s="78"/>
      <c r="IP164" s="78"/>
      <c r="IQ164" s="78"/>
      <c r="IR164" s="78"/>
      <c r="IS164" s="78"/>
      <c r="IT164" s="78"/>
      <c r="IU164" s="78"/>
      <c r="IV164" s="78"/>
      <c r="IW164" s="78"/>
      <c r="IX164" s="78"/>
      <c r="IY164" s="78"/>
      <c r="IZ164" s="78"/>
      <c r="JA164" s="78"/>
      <c r="JB164" s="78"/>
      <c r="JC164" s="78"/>
      <c r="JD164" s="78"/>
      <c r="JE164" s="78"/>
      <c r="JF164" s="78"/>
      <c r="JG164" s="78"/>
      <c r="JH164" s="78"/>
      <c r="JI164" s="78"/>
      <c r="JJ164" s="78"/>
      <c r="JK164" s="78"/>
      <c r="JL164" s="78"/>
      <c r="JM164" s="78"/>
      <c r="JN164" s="78"/>
      <c r="JO164" s="78"/>
      <c r="JP164" s="78"/>
      <c r="JQ164" s="78"/>
      <c r="JR164" s="78"/>
      <c r="JS164" s="78"/>
      <c r="JT164" s="78"/>
      <c r="JU164" s="78"/>
      <c r="JV164" s="78"/>
      <c r="JW164" s="78"/>
    </row>
    <row r="165" spans="2:341" s="64" customFormat="1" ht="29.25">
      <c r="B165" s="68" t="s">
        <v>81</v>
      </c>
      <c r="C165" s="69">
        <f>SUM(C167:C168)</f>
        <v>2</v>
      </c>
      <c r="D165" s="156"/>
      <c r="E165" s="219"/>
      <c r="F165" s="49"/>
      <c r="G165" s="49"/>
      <c r="H165" s="49"/>
      <c r="I165" s="49"/>
      <c r="J165" s="49"/>
      <c r="K165" s="49"/>
      <c r="L165" s="49"/>
      <c r="M165" s="70"/>
      <c r="N165" s="49"/>
      <c r="O165" s="49"/>
      <c r="P165" s="49"/>
      <c r="Q165" s="49"/>
      <c r="R165" s="49"/>
      <c r="S165" s="49"/>
      <c r="BV165" s="78"/>
      <c r="BW165" s="78"/>
      <c r="BX165" s="78"/>
      <c r="BY165" s="78"/>
      <c r="BZ165" s="78"/>
      <c r="CA165" s="78"/>
      <c r="CB165" s="78"/>
      <c r="CC165" s="78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8"/>
      <c r="DF165" s="78"/>
      <c r="DG165" s="78"/>
      <c r="DH165" s="78"/>
      <c r="DI165" s="78"/>
      <c r="DJ165" s="78"/>
      <c r="DK165" s="78"/>
      <c r="DL165" s="78"/>
      <c r="DM165" s="78"/>
      <c r="DN165" s="78"/>
      <c r="DO165" s="78"/>
      <c r="DP165" s="78"/>
      <c r="DQ165" s="78"/>
      <c r="DR165" s="78"/>
      <c r="DS165" s="78"/>
      <c r="DT165" s="78"/>
      <c r="DU165" s="78"/>
      <c r="DV165" s="78"/>
      <c r="DW165" s="78"/>
      <c r="DX165" s="78"/>
      <c r="DY165" s="78"/>
      <c r="DZ165" s="78"/>
      <c r="EA165" s="78"/>
      <c r="EB165" s="78"/>
      <c r="EC165" s="78"/>
      <c r="ED165" s="78"/>
      <c r="EE165" s="78"/>
      <c r="EF165" s="78"/>
      <c r="EG165" s="78"/>
      <c r="EH165" s="78"/>
      <c r="EI165" s="78"/>
      <c r="EJ165" s="78"/>
      <c r="EK165" s="78"/>
      <c r="EL165" s="78"/>
      <c r="EM165" s="78"/>
      <c r="EN165" s="78"/>
      <c r="EO165" s="78"/>
      <c r="EP165" s="78"/>
      <c r="EQ165" s="78"/>
      <c r="ER165" s="78"/>
      <c r="ES165" s="78"/>
      <c r="ET165" s="78"/>
      <c r="EU165" s="78"/>
      <c r="EV165" s="78"/>
      <c r="EW165" s="78"/>
      <c r="EX165" s="78"/>
      <c r="EY165" s="78"/>
      <c r="EZ165" s="78"/>
      <c r="FA165" s="78"/>
      <c r="FB165" s="78"/>
      <c r="FC165" s="78"/>
      <c r="FD165" s="78"/>
      <c r="FE165" s="78"/>
      <c r="FF165" s="78"/>
      <c r="FG165" s="78"/>
      <c r="FH165" s="78"/>
      <c r="FI165" s="78"/>
      <c r="FJ165" s="78"/>
      <c r="FK165" s="78"/>
      <c r="FL165" s="78"/>
      <c r="FM165" s="78"/>
      <c r="FN165" s="78"/>
      <c r="FO165" s="78"/>
      <c r="FP165" s="78"/>
      <c r="FQ165" s="78"/>
      <c r="FR165" s="78"/>
      <c r="FS165" s="78"/>
      <c r="FT165" s="78"/>
      <c r="FU165" s="78"/>
      <c r="FV165" s="78"/>
      <c r="FW165" s="78"/>
      <c r="FX165" s="78"/>
      <c r="FY165" s="78"/>
      <c r="FZ165" s="78"/>
      <c r="GA165" s="78"/>
      <c r="GB165" s="78"/>
      <c r="GC165" s="78"/>
      <c r="GD165" s="78"/>
      <c r="GE165" s="78"/>
      <c r="GF165" s="78"/>
      <c r="GG165" s="78"/>
      <c r="GH165" s="78"/>
      <c r="GI165" s="78"/>
      <c r="GJ165" s="78"/>
      <c r="GK165" s="78"/>
      <c r="GL165" s="78"/>
      <c r="GM165" s="78"/>
      <c r="GN165" s="78"/>
      <c r="GO165" s="78"/>
      <c r="GP165" s="78"/>
      <c r="GQ165" s="78"/>
      <c r="GR165" s="78"/>
      <c r="GS165" s="78"/>
      <c r="GT165" s="78"/>
      <c r="GU165" s="78"/>
      <c r="GV165" s="78"/>
      <c r="GW165" s="78"/>
      <c r="GX165" s="78"/>
      <c r="GY165" s="78"/>
      <c r="GZ165" s="78"/>
      <c r="HA165" s="78"/>
      <c r="HB165" s="78"/>
      <c r="HC165" s="78"/>
      <c r="HD165" s="78"/>
      <c r="HE165" s="78"/>
      <c r="HF165" s="78"/>
      <c r="HG165" s="78"/>
      <c r="HH165" s="78"/>
      <c r="HI165" s="78"/>
      <c r="HJ165" s="78"/>
      <c r="HK165" s="78"/>
      <c r="HL165" s="78"/>
      <c r="HM165" s="78"/>
      <c r="HN165" s="78"/>
      <c r="HO165" s="78"/>
      <c r="HP165" s="78"/>
      <c r="HQ165" s="78"/>
      <c r="HR165" s="78"/>
      <c r="HS165" s="78"/>
      <c r="HT165" s="78"/>
      <c r="HU165" s="78"/>
      <c r="HV165" s="78"/>
      <c r="HW165" s="78"/>
      <c r="HX165" s="78"/>
      <c r="HY165" s="78"/>
      <c r="HZ165" s="78"/>
      <c r="IA165" s="78"/>
      <c r="IB165" s="78"/>
      <c r="IC165" s="78"/>
      <c r="ID165" s="78"/>
      <c r="IE165" s="78"/>
      <c r="IF165" s="78"/>
      <c r="IG165" s="78"/>
      <c r="IH165" s="78"/>
      <c r="II165" s="78"/>
      <c r="IJ165" s="78"/>
      <c r="IK165" s="78"/>
      <c r="IL165" s="78"/>
      <c r="IM165" s="78"/>
      <c r="IN165" s="78"/>
      <c r="IO165" s="78"/>
      <c r="IP165" s="78"/>
      <c r="IQ165" s="78"/>
      <c r="IR165" s="78"/>
      <c r="IS165" s="78"/>
      <c r="IT165" s="78"/>
      <c r="IU165" s="78"/>
      <c r="IV165" s="78"/>
      <c r="IW165" s="78"/>
      <c r="IX165" s="78"/>
      <c r="IY165" s="78"/>
      <c r="IZ165" s="78"/>
      <c r="JA165" s="78"/>
      <c r="JB165" s="78"/>
      <c r="JC165" s="78"/>
      <c r="JD165" s="78"/>
      <c r="JE165" s="78"/>
      <c r="JF165" s="78"/>
      <c r="JG165" s="78"/>
      <c r="JH165" s="78"/>
      <c r="JI165" s="78"/>
      <c r="JJ165" s="78"/>
      <c r="JK165" s="78"/>
      <c r="JL165" s="78"/>
      <c r="JM165" s="78"/>
      <c r="JN165" s="78"/>
      <c r="JO165" s="78"/>
      <c r="JP165" s="78"/>
      <c r="JQ165" s="78"/>
      <c r="JR165" s="78"/>
      <c r="JS165" s="78"/>
      <c r="JT165" s="78"/>
      <c r="JU165" s="78"/>
      <c r="JV165" s="78"/>
      <c r="JW165" s="78"/>
    </row>
    <row r="166" spans="2:341">
      <c r="B166" s="34"/>
      <c r="C166" s="22"/>
      <c r="D166" s="153"/>
      <c r="E166" s="218"/>
      <c r="F166" s="7"/>
      <c r="G166" s="36">
        <f>SUM(G167:G168)</f>
        <v>33758.06</v>
      </c>
      <c r="H166" s="63">
        <f>SUM(H167:H169)</f>
        <v>10758.06</v>
      </c>
      <c r="I166" s="63">
        <f>SUM(I167:I169)</f>
        <v>11500</v>
      </c>
      <c r="J166" s="63">
        <f>SUM(J167:J169)</f>
        <v>11500</v>
      </c>
      <c r="K166" s="63">
        <f>SUM(K167:K168)</f>
        <v>0</v>
      </c>
      <c r="L166" s="63">
        <f t="shared" ref="L166:S166" si="108">SUM(L167:L169)</f>
        <v>0</v>
      </c>
      <c r="M166" s="63">
        <f t="shared" si="108"/>
        <v>0</v>
      </c>
      <c r="N166" s="63">
        <f t="shared" si="108"/>
        <v>0</v>
      </c>
      <c r="O166" s="63">
        <f t="shared" si="108"/>
        <v>0</v>
      </c>
      <c r="P166" s="63">
        <f t="shared" si="108"/>
        <v>0</v>
      </c>
      <c r="Q166" s="63">
        <f t="shared" si="108"/>
        <v>0</v>
      </c>
      <c r="R166" s="63">
        <f t="shared" si="108"/>
        <v>0</v>
      </c>
      <c r="S166" s="63">
        <f t="shared" si="108"/>
        <v>0</v>
      </c>
      <c r="T166" s="61"/>
      <c r="BV166" s="78"/>
      <c r="BW166" s="78"/>
      <c r="BX166" s="78"/>
      <c r="BY166" s="78"/>
      <c r="BZ166" s="78"/>
      <c r="CA166" s="78"/>
      <c r="CB166" s="78"/>
      <c r="CC166" s="78"/>
      <c r="CD166" s="78"/>
      <c r="CE166" s="78"/>
      <c r="CF166" s="78"/>
      <c r="CG166" s="78"/>
      <c r="CH166" s="78"/>
      <c r="CI166" s="78"/>
      <c r="CJ166" s="78"/>
      <c r="CK166" s="78"/>
      <c r="CL166" s="78"/>
      <c r="CM166" s="78"/>
      <c r="CN166" s="78"/>
      <c r="CO166" s="78"/>
      <c r="CP166" s="78"/>
      <c r="CQ166" s="78"/>
      <c r="CR166" s="78"/>
      <c r="CS166" s="78"/>
      <c r="CT166" s="78"/>
      <c r="CU166" s="78"/>
      <c r="CV166" s="78"/>
      <c r="CW166" s="78"/>
      <c r="CX166" s="78"/>
      <c r="CY166" s="78"/>
      <c r="CZ166" s="78"/>
      <c r="DA166" s="78"/>
      <c r="DB166" s="78"/>
      <c r="DC166" s="78"/>
      <c r="DD166" s="78"/>
      <c r="DE166" s="78"/>
      <c r="DF166" s="78"/>
      <c r="DG166" s="78"/>
      <c r="DH166" s="78"/>
      <c r="DI166" s="78"/>
      <c r="DJ166" s="78"/>
      <c r="DK166" s="78"/>
      <c r="DL166" s="78"/>
      <c r="DM166" s="78"/>
      <c r="DN166" s="78"/>
      <c r="DO166" s="78"/>
      <c r="DP166" s="78"/>
      <c r="DQ166" s="78"/>
      <c r="DR166" s="78"/>
      <c r="DS166" s="78"/>
      <c r="DT166" s="78"/>
      <c r="DU166" s="78"/>
      <c r="DV166" s="78"/>
      <c r="DW166" s="78"/>
      <c r="DX166" s="78"/>
      <c r="DY166" s="78"/>
      <c r="DZ166" s="78"/>
      <c r="EA166" s="78"/>
      <c r="EB166" s="78"/>
      <c r="EC166" s="78"/>
      <c r="ED166" s="78"/>
      <c r="EE166" s="78"/>
      <c r="EF166" s="78"/>
      <c r="EG166" s="78"/>
      <c r="EH166" s="78"/>
      <c r="EI166" s="78"/>
      <c r="EJ166" s="78"/>
      <c r="EK166" s="78"/>
      <c r="EL166" s="78"/>
      <c r="EM166" s="78"/>
      <c r="EN166" s="78"/>
      <c r="EO166" s="78"/>
      <c r="EP166" s="78"/>
      <c r="EQ166" s="78"/>
      <c r="ER166" s="78"/>
      <c r="ES166" s="78"/>
      <c r="ET166" s="78"/>
      <c r="EU166" s="78"/>
      <c r="EV166" s="78"/>
      <c r="EW166" s="78"/>
      <c r="EX166" s="78"/>
      <c r="EY166" s="78"/>
      <c r="EZ166" s="78"/>
      <c r="FA166" s="78"/>
      <c r="FB166" s="78"/>
      <c r="FC166" s="78"/>
      <c r="FD166" s="78"/>
      <c r="FE166" s="78"/>
      <c r="FF166" s="78"/>
      <c r="FG166" s="78"/>
      <c r="FH166" s="78"/>
      <c r="FI166" s="78"/>
      <c r="FJ166" s="78"/>
      <c r="FK166" s="78"/>
      <c r="FL166" s="78"/>
      <c r="FM166" s="78"/>
      <c r="FN166" s="78"/>
      <c r="FO166" s="78"/>
      <c r="FP166" s="78"/>
      <c r="FQ166" s="78"/>
      <c r="FR166" s="78"/>
      <c r="FS166" s="78"/>
      <c r="FT166" s="78"/>
      <c r="FU166" s="78"/>
      <c r="FV166" s="78"/>
      <c r="FW166" s="78"/>
      <c r="FX166" s="78"/>
      <c r="FY166" s="78"/>
      <c r="FZ166" s="78"/>
      <c r="GA166" s="78"/>
      <c r="GB166" s="78"/>
      <c r="GC166" s="78"/>
      <c r="GD166" s="78"/>
      <c r="GE166" s="78"/>
      <c r="GF166" s="78"/>
      <c r="GG166" s="78"/>
      <c r="GH166" s="78"/>
      <c r="GI166" s="78"/>
      <c r="GJ166" s="78"/>
      <c r="GK166" s="78"/>
      <c r="GL166" s="78"/>
      <c r="GM166" s="78"/>
      <c r="GN166" s="78"/>
      <c r="GO166" s="78"/>
      <c r="GP166" s="78"/>
      <c r="GQ166" s="78"/>
      <c r="GR166" s="78"/>
      <c r="GS166" s="78"/>
      <c r="GT166" s="78"/>
      <c r="GU166" s="78"/>
      <c r="GV166" s="78"/>
      <c r="GW166" s="78"/>
      <c r="GX166" s="78"/>
      <c r="GY166" s="78"/>
      <c r="GZ166" s="78"/>
      <c r="HA166" s="78"/>
      <c r="HB166" s="78"/>
      <c r="HC166" s="78"/>
      <c r="HD166" s="78"/>
      <c r="HE166" s="78"/>
      <c r="HF166" s="78"/>
      <c r="HG166" s="78"/>
      <c r="HH166" s="78"/>
      <c r="HI166" s="78"/>
      <c r="HJ166" s="78"/>
      <c r="HK166" s="78"/>
      <c r="HL166" s="78"/>
      <c r="HM166" s="78"/>
      <c r="HN166" s="78"/>
      <c r="HO166" s="78"/>
      <c r="HP166" s="78"/>
      <c r="HQ166" s="78"/>
      <c r="HR166" s="78"/>
      <c r="HS166" s="78"/>
      <c r="HT166" s="78"/>
      <c r="HU166" s="78"/>
      <c r="HV166" s="78"/>
      <c r="HW166" s="78"/>
      <c r="HX166" s="78"/>
      <c r="HY166" s="78"/>
      <c r="HZ166" s="78"/>
      <c r="IA166" s="78"/>
      <c r="IB166" s="78"/>
      <c r="IC166" s="78"/>
      <c r="ID166" s="78"/>
      <c r="IE166" s="78"/>
      <c r="IF166" s="78"/>
      <c r="IG166" s="78"/>
      <c r="IH166" s="78"/>
      <c r="II166" s="78"/>
      <c r="IJ166" s="78"/>
      <c r="IK166" s="78"/>
      <c r="IL166" s="78"/>
      <c r="IM166" s="78"/>
      <c r="IN166" s="78"/>
      <c r="IO166" s="78"/>
      <c r="IP166" s="78"/>
      <c r="IQ166" s="78"/>
      <c r="IR166" s="78"/>
      <c r="IS166" s="78"/>
      <c r="IT166" s="78"/>
      <c r="IU166" s="78"/>
      <c r="IV166" s="78"/>
      <c r="IW166" s="78"/>
      <c r="IX166" s="78"/>
      <c r="IY166" s="78"/>
      <c r="IZ166" s="78"/>
      <c r="JA166" s="78"/>
      <c r="JB166" s="78"/>
      <c r="JC166" s="78"/>
      <c r="JD166" s="78"/>
      <c r="JE166" s="78"/>
      <c r="JF166" s="78"/>
      <c r="JG166" s="78"/>
      <c r="JH166" s="78"/>
      <c r="JI166" s="78"/>
      <c r="JJ166" s="78"/>
      <c r="JK166" s="78"/>
      <c r="JL166" s="78"/>
      <c r="JM166" s="78"/>
      <c r="JN166" s="78"/>
      <c r="JO166" s="78"/>
      <c r="JP166" s="78"/>
      <c r="JQ166" s="78"/>
      <c r="JR166" s="78"/>
      <c r="JS166" s="78"/>
      <c r="JT166" s="78"/>
      <c r="JU166" s="78"/>
      <c r="JV166" s="78"/>
      <c r="JW166" s="78"/>
    </row>
    <row r="167" spans="2:341" s="78" customFormat="1" ht="14.25" customHeight="1">
      <c r="B167" s="53"/>
      <c r="C167" s="19">
        <v>1</v>
      </c>
      <c r="D167" s="132" t="s">
        <v>59</v>
      </c>
      <c r="E167" s="216" t="s">
        <v>61</v>
      </c>
      <c r="F167" s="37">
        <v>6000</v>
      </c>
      <c r="G167" s="21">
        <f t="shared" ref="G167:G168" si="109">SUM(H167:S167)</f>
        <v>17612.900000000001</v>
      </c>
      <c r="H167" s="21">
        <f t="shared" ref="H167:H168" si="110">+F167*C167/31*29</f>
        <v>5612.9</v>
      </c>
      <c r="I167" s="21">
        <f t="shared" ref="I167:I168" si="111">+F167*C167</f>
        <v>6000</v>
      </c>
      <c r="J167" s="37">
        <f t="shared" ref="J167:J168" si="112">+F167*C167</f>
        <v>6000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</row>
    <row r="168" spans="2:341" s="78" customFormat="1" ht="14.25" customHeight="1">
      <c r="B168" s="53"/>
      <c r="C168" s="19">
        <v>1</v>
      </c>
      <c r="D168" s="132" t="s">
        <v>59</v>
      </c>
      <c r="E168" s="216" t="s">
        <v>61</v>
      </c>
      <c r="F168" s="37">
        <v>5500</v>
      </c>
      <c r="G168" s="21">
        <f t="shared" si="109"/>
        <v>16145.16</v>
      </c>
      <c r="H168" s="21">
        <f t="shared" si="110"/>
        <v>5145.16</v>
      </c>
      <c r="I168" s="21">
        <f t="shared" si="111"/>
        <v>5500</v>
      </c>
      <c r="J168" s="37">
        <f t="shared" si="112"/>
        <v>5500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  <c r="P168" s="21">
        <v>0</v>
      </c>
      <c r="Q168" s="21">
        <v>0</v>
      </c>
      <c r="R168" s="21">
        <v>0</v>
      </c>
      <c r="S168" s="21">
        <v>0</v>
      </c>
    </row>
    <row r="169" spans="2:341">
      <c r="B169" s="38"/>
      <c r="C169" s="39"/>
      <c r="D169" s="157"/>
      <c r="E169" s="275" t="s">
        <v>24</v>
      </c>
      <c r="F169" s="276"/>
      <c r="G169" s="40">
        <f>132000-SUM(G167:G168)</f>
        <v>98241.94</v>
      </c>
      <c r="H169" s="40"/>
      <c r="I169" s="41"/>
      <c r="J169" s="40"/>
      <c r="K169" s="40"/>
      <c r="L169" s="40"/>
      <c r="M169" s="42"/>
      <c r="N169" s="40"/>
      <c r="O169" s="40"/>
      <c r="P169" s="40"/>
      <c r="Q169" s="40"/>
      <c r="R169" s="40"/>
      <c r="S169" s="40"/>
      <c r="BV169" s="78"/>
      <c r="BW169" s="78"/>
      <c r="BX169" s="78"/>
      <c r="BY169" s="78"/>
      <c r="BZ169" s="78"/>
      <c r="CA169" s="78"/>
      <c r="CB169" s="78"/>
      <c r="CC169" s="78"/>
      <c r="CD169" s="78"/>
      <c r="CE169" s="78"/>
      <c r="CF169" s="78"/>
      <c r="CG169" s="78"/>
      <c r="CH169" s="78"/>
      <c r="CI169" s="78"/>
      <c r="CJ169" s="78"/>
      <c r="CK169" s="78"/>
      <c r="CL169" s="78"/>
      <c r="CM169" s="78"/>
      <c r="CN169" s="78"/>
      <c r="CO169" s="78"/>
      <c r="CP169" s="78"/>
      <c r="CQ169" s="78"/>
    </row>
    <row r="170" spans="2:341" s="64" customFormat="1" ht="29.25">
      <c r="B170" s="68" t="s">
        <v>82</v>
      </c>
      <c r="C170" s="69">
        <f>SUM(C172:C173)</f>
        <v>2</v>
      </c>
      <c r="D170" s="156"/>
      <c r="E170" s="219"/>
      <c r="F170" s="49"/>
      <c r="G170" s="49"/>
      <c r="H170" s="49"/>
      <c r="I170" s="49"/>
      <c r="J170" s="49"/>
      <c r="K170" s="49"/>
      <c r="L170" s="49"/>
      <c r="M170" s="70"/>
      <c r="N170" s="49"/>
      <c r="O170" s="49"/>
      <c r="P170" s="49"/>
      <c r="Q170" s="49"/>
      <c r="R170" s="49"/>
      <c r="S170" s="49"/>
      <c r="BV170" s="78"/>
      <c r="BW170" s="78"/>
      <c r="BX170" s="78"/>
      <c r="BY170" s="78"/>
      <c r="BZ170" s="78"/>
      <c r="CA170" s="78"/>
      <c r="CB170" s="78"/>
      <c r="CC170" s="78"/>
      <c r="CD170" s="78"/>
      <c r="CE170" s="78"/>
      <c r="CF170" s="78"/>
      <c r="CG170" s="78"/>
      <c r="CH170" s="78"/>
      <c r="CI170" s="78"/>
      <c r="CJ170" s="78"/>
      <c r="CK170" s="78"/>
      <c r="CL170" s="78"/>
      <c r="CM170" s="78"/>
      <c r="CN170" s="78"/>
      <c r="CO170" s="78"/>
      <c r="CP170" s="78"/>
      <c r="CQ170" s="78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</row>
    <row r="171" spans="2:341">
      <c r="B171" s="34"/>
      <c r="C171" s="22"/>
      <c r="D171" s="153"/>
      <c r="E171" s="218"/>
      <c r="F171" s="7"/>
      <c r="G171" s="36">
        <f>SUM(G172:G173)</f>
        <v>42564.52</v>
      </c>
      <c r="H171" s="63">
        <f t="shared" ref="H171:S171" si="113">SUM(H172:H174)</f>
        <v>13564.52</v>
      </c>
      <c r="I171" s="63">
        <f t="shared" si="113"/>
        <v>14500</v>
      </c>
      <c r="J171" s="63">
        <f t="shared" si="113"/>
        <v>14500</v>
      </c>
      <c r="K171" s="63">
        <f t="shared" si="113"/>
        <v>0</v>
      </c>
      <c r="L171" s="63">
        <f t="shared" si="113"/>
        <v>0</v>
      </c>
      <c r="M171" s="63">
        <f t="shared" si="113"/>
        <v>0</v>
      </c>
      <c r="N171" s="63">
        <f t="shared" si="113"/>
        <v>0</v>
      </c>
      <c r="O171" s="63">
        <f t="shared" si="113"/>
        <v>0</v>
      </c>
      <c r="P171" s="63">
        <f t="shared" si="113"/>
        <v>0</v>
      </c>
      <c r="Q171" s="63">
        <f t="shared" si="113"/>
        <v>0</v>
      </c>
      <c r="R171" s="63">
        <f t="shared" si="113"/>
        <v>0</v>
      </c>
      <c r="S171" s="63">
        <f t="shared" si="113"/>
        <v>0</v>
      </c>
      <c r="T171" s="61"/>
      <c r="BV171" s="78"/>
      <c r="BW171" s="78"/>
      <c r="BX171" s="78"/>
      <c r="BY171" s="78"/>
      <c r="BZ171" s="78"/>
      <c r="CA171" s="78"/>
      <c r="CB171" s="78"/>
      <c r="CC171" s="78"/>
      <c r="CD171" s="78"/>
      <c r="CE171" s="78"/>
      <c r="CF171" s="78"/>
      <c r="CG171" s="78"/>
      <c r="CH171" s="78"/>
      <c r="CI171" s="78"/>
      <c r="CJ171" s="78"/>
      <c r="CK171" s="78"/>
      <c r="CL171" s="78"/>
      <c r="CM171" s="78"/>
      <c r="CN171" s="78"/>
      <c r="CO171" s="78"/>
      <c r="CP171" s="78"/>
      <c r="CQ171" s="78"/>
    </row>
    <row r="172" spans="2:341" s="78" customFormat="1" ht="13.5" customHeight="1">
      <c r="B172" s="53"/>
      <c r="C172" s="19">
        <v>1</v>
      </c>
      <c r="D172" s="132" t="s">
        <v>59</v>
      </c>
      <c r="E172" s="216" t="s">
        <v>61</v>
      </c>
      <c r="F172" s="20">
        <v>6500</v>
      </c>
      <c r="G172" s="21">
        <f>SUM(H172:S172)</f>
        <v>19080.650000000001</v>
      </c>
      <c r="H172" s="21">
        <f t="shared" ref="H172:H173" si="114">+F172*C172/31*29</f>
        <v>6080.65</v>
      </c>
      <c r="I172" s="21">
        <f t="shared" ref="I172:I173" si="115">+F172*C172</f>
        <v>6500</v>
      </c>
      <c r="J172" s="37">
        <f t="shared" ref="J172:J173" si="116">+F172*C172</f>
        <v>6500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</row>
    <row r="173" spans="2:341" s="78" customFormat="1" ht="13.5" customHeight="1">
      <c r="B173" s="53"/>
      <c r="C173" s="19">
        <v>1</v>
      </c>
      <c r="D173" s="132" t="s">
        <v>59</v>
      </c>
      <c r="E173" s="216" t="s">
        <v>62</v>
      </c>
      <c r="F173" s="20">
        <v>8000</v>
      </c>
      <c r="G173" s="21">
        <f>SUM(H173:S173)</f>
        <v>23483.87</v>
      </c>
      <c r="H173" s="21">
        <f t="shared" si="114"/>
        <v>7483.87</v>
      </c>
      <c r="I173" s="21">
        <f t="shared" si="115"/>
        <v>8000</v>
      </c>
      <c r="J173" s="37">
        <f t="shared" si="116"/>
        <v>8000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</row>
    <row r="174" spans="2:341">
      <c r="B174" s="13"/>
      <c r="C174" s="14"/>
      <c r="D174" s="150"/>
      <c r="E174" s="275" t="s">
        <v>24</v>
      </c>
      <c r="F174" s="276"/>
      <c r="G174" s="21">
        <f>78000-SUM(G172:G173)</f>
        <v>35435.480000000003</v>
      </c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BV174" s="78"/>
      <c r="BW174" s="78"/>
      <c r="BX174" s="78"/>
      <c r="BY174" s="78"/>
      <c r="BZ174" s="78"/>
      <c r="CA174" s="78"/>
      <c r="CB174" s="78"/>
      <c r="CC174" s="78"/>
      <c r="CD174" s="78"/>
      <c r="CE174" s="78"/>
      <c r="CF174" s="78"/>
      <c r="CG174" s="78"/>
      <c r="CH174" s="78"/>
      <c r="CI174" s="78"/>
      <c r="CJ174" s="78"/>
      <c r="CK174" s="78"/>
      <c r="CL174" s="78"/>
      <c r="CM174" s="78"/>
      <c r="CN174" s="78"/>
      <c r="CO174" s="78"/>
      <c r="CP174" s="78"/>
      <c r="CQ174" s="78"/>
    </row>
    <row r="175" spans="2:341" ht="30" customHeight="1">
      <c r="B175" s="249"/>
      <c r="C175" s="98"/>
      <c r="D175" s="158"/>
      <c r="E175" s="222"/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251"/>
      <c r="T175" s="99"/>
      <c r="BV175" s="78"/>
      <c r="BW175" s="78"/>
      <c r="BX175" s="78"/>
      <c r="BY175" s="78"/>
      <c r="BZ175" s="78"/>
      <c r="CA175" s="78"/>
      <c r="CB175" s="78"/>
      <c r="CC175" s="78"/>
      <c r="CD175" s="78"/>
      <c r="CE175" s="78"/>
      <c r="CF175" s="78"/>
      <c r="CG175" s="78"/>
      <c r="CH175" s="78"/>
      <c r="CI175" s="78"/>
      <c r="CJ175" s="78"/>
      <c r="CK175" s="78"/>
      <c r="CL175" s="78"/>
      <c r="CM175" s="78"/>
      <c r="CN175" s="78"/>
      <c r="CO175" s="78"/>
      <c r="CP175" s="78"/>
      <c r="CQ175" s="78"/>
    </row>
    <row r="176" spans="2:341" ht="15" customHeight="1">
      <c r="B176" s="285" t="s">
        <v>57</v>
      </c>
      <c r="C176" s="83"/>
      <c r="D176" s="152"/>
      <c r="E176" s="223"/>
      <c r="F176" s="97" t="s">
        <v>23</v>
      </c>
      <c r="G176" s="54">
        <f>G177+G178</f>
        <v>2520000</v>
      </c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BV176" s="78"/>
      <c r="BW176" s="78"/>
      <c r="BX176" s="78"/>
      <c r="BY176" s="78"/>
      <c r="BZ176" s="78"/>
      <c r="CA176" s="78"/>
      <c r="CB176" s="78"/>
      <c r="CC176" s="78"/>
      <c r="CD176" s="78"/>
      <c r="CE176" s="78"/>
      <c r="CF176" s="78"/>
      <c r="CG176" s="78"/>
      <c r="CH176" s="78"/>
      <c r="CI176" s="78"/>
      <c r="CJ176" s="78"/>
      <c r="CK176" s="78"/>
      <c r="CL176" s="78"/>
      <c r="CM176" s="78"/>
      <c r="CN176" s="78"/>
      <c r="CO176" s="78"/>
      <c r="CP176" s="78"/>
      <c r="CQ176" s="78"/>
    </row>
    <row r="177" spans="1:341">
      <c r="B177" s="285"/>
      <c r="C177" s="22"/>
      <c r="D177" s="153"/>
      <c r="F177" s="82" t="s">
        <v>50</v>
      </c>
      <c r="G177" s="80">
        <f>G179</f>
        <v>683631.36</v>
      </c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BV177" s="78"/>
      <c r="BW177" s="78"/>
      <c r="BX177" s="78"/>
      <c r="BY177" s="78"/>
      <c r="BZ177" s="78"/>
      <c r="CA177" s="78"/>
      <c r="CB177" s="78"/>
      <c r="CC177" s="78"/>
      <c r="CD177" s="78"/>
      <c r="CE177" s="78"/>
      <c r="CF177" s="78"/>
      <c r="CG177" s="78"/>
      <c r="CH177" s="78"/>
      <c r="CI177" s="78"/>
      <c r="CJ177" s="78"/>
      <c r="CK177" s="78"/>
      <c r="CL177" s="78"/>
      <c r="CM177" s="78"/>
      <c r="CN177" s="78"/>
      <c r="CO177" s="78"/>
      <c r="CP177" s="78"/>
      <c r="CQ177" s="78"/>
    </row>
    <row r="178" spans="1:341" ht="30">
      <c r="B178" s="285"/>
      <c r="C178" s="6"/>
      <c r="D178" s="147"/>
      <c r="F178" s="82" t="s">
        <v>24</v>
      </c>
      <c r="G178" s="80">
        <f>G212+G224+G228</f>
        <v>1836368.64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BV178" s="78"/>
      <c r="BW178" s="78"/>
      <c r="BX178" s="78"/>
      <c r="BY178" s="78"/>
      <c r="BZ178" s="78"/>
      <c r="CA178" s="78"/>
      <c r="CB178" s="78"/>
      <c r="CC178" s="78"/>
      <c r="CD178" s="78"/>
      <c r="CE178" s="78"/>
      <c r="CF178" s="78"/>
      <c r="CG178" s="78"/>
      <c r="CH178" s="78"/>
      <c r="CI178" s="78"/>
      <c r="CJ178" s="78"/>
      <c r="CK178" s="78"/>
      <c r="CL178" s="78"/>
      <c r="CM178" s="78"/>
      <c r="CN178" s="78"/>
      <c r="CO178" s="78"/>
      <c r="CP178" s="78"/>
      <c r="CQ178" s="78"/>
    </row>
    <row r="179" spans="1:341" s="67" customFormat="1" ht="29.25" thickBot="1">
      <c r="A179" s="186"/>
      <c r="B179" s="254" t="s">
        <v>83</v>
      </c>
      <c r="C179" s="127">
        <f>C180+C213+C225</f>
        <v>41</v>
      </c>
      <c r="D179" s="159"/>
      <c r="E179" s="215"/>
      <c r="F179" s="60"/>
      <c r="G179" s="65">
        <f t="shared" ref="G179:S179" si="117">G180+G213+G225</f>
        <v>683631.36</v>
      </c>
      <c r="H179" s="66">
        <f t="shared" si="117"/>
        <v>191774.22</v>
      </c>
      <c r="I179" s="66">
        <f t="shared" si="117"/>
        <v>209000</v>
      </c>
      <c r="J179" s="66">
        <f t="shared" si="117"/>
        <v>282857.14</v>
      </c>
      <c r="K179" s="66">
        <f t="shared" si="117"/>
        <v>0</v>
      </c>
      <c r="L179" s="66">
        <f t="shared" si="117"/>
        <v>0</v>
      </c>
      <c r="M179" s="66">
        <f t="shared" si="117"/>
        <v>0</v>
      </c>
      <c r="N179" s="66">
        <f t="shared" si="117"/>
        <v>0</v>
      </c>
      <c r="O179" s="66">
        <f t="shared" si="117"/>
        <v>0</v>
      </c>
      <c r="P179" s="66">
        <f t="shared" si="117"/>
        <v>0</v>
      </c>
      <c r="Q179" s="66">
        <f t="shared" si="117"/>
        <v>0</v>
      </c>
      <c r="R179" s="66">
        <f t="shared" si="117"/>
        <v>0</v>
      </c>
      <c r="S179" s="66">
        <f t="shared" si="117"/>
        <v>0</v>
      </c>
      <c r="T179" s="81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78"/>
      <c r="BJ179" s="78"/>
      <c r="BK179" s="78"/>
      <c r="BL179" s="78"/>
      <c r="BM179" s="78"/>
      <c r="BN179" s="78"/>
      <c r="BO179" s="78"/>
      <c r="BP179" s="78"/>
      <c r="BQ179" s="78"/>
      <c r="BR179" s="78"/>
      <c r="BS179" s="78"/>
      <c r="BT179" s="78"/>
      <c r="BU179" s="78"/>
      <c r="BV179" s="78"/>
      <c r="BW179" s="78"/>
      <c r="BX179" s="78"/>
      <c r="BY179" s="78"/>
      <c r="BZ179" s="78"/>
      <c r="CA179" s="78"/>
      <c r="CB179" s="78"/>
      <c r="CC179" s="78"/>
      <c r="CD179" s="78"/>
      <c r="CE179" s="78"/>
      <c r="CF179" s="78"/>
      <c r="CG179" s="78"/>
      <c r="CH179" s="78"/>
      <c r="CI179" s="78"/>
      <c r="CJ179" s="78"/>
      <c r="CK179" s="78"/>
      <c r="CL179" s="78"/>
      <c r="CM179" s="78"/>
      <c r="CN179" s="78"/>
      <c r="CO179" s="78"/>
      <c r="CP179" s="78"/>
      <c r="CQ179" s="78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</row>
    <row r="180" spans="1:341" s="64" customFormat="1" ht="26.25" thickTop="1">
      <c r="B180" s="235" t="s">
        <v>84</v>
      </c>
      <c r="C180" s="196">
        <f>SUM(C181:C211)</f>
        <v>30</v>
      </c>
      <c r="D180" s="160"/>
      <c r="E180" s="224"/>
      <c r="F180" s="72"/>
      <c r="G180" s="71">
        <f>SUM(G181:G211)</f>
        <v>502920.53</v>
      </c>
      <c r="H180" s="71">
        <f t="shared" ref="H180:S180" si="118">SUM(H181:H211)</f>
        <v>148741.96</v>
      </c>
      <c r="I180" s="71">
        <f t="shared" si="118"/>
        <v>163000</v>
      </c>
      <c r="J180" s="71">
        <f t="shared" si="118"/>
        <v>191178.57</v>
      </c>
      <c r="K180" s="71">
        <f t="shared" si="118"/>
        <v>0</v>
      </c>
      <c r="L180" s="71">
        <f t="shared" si="118"/>
        <v>0</v>
      </c>
      <c r="M180" s="71">
        <f t="shared" si="118"/>
        <v>0</v>
      </c>
      <c r="N180" s="71">
        <f t="shared" si="118"/>
        <v>0</v>
      </c>
      <c r="O180" s="71">
        <f t="shared" si="118"/>
        <v>0</v>
      </c>
      <c r="P180" s="71">
        <f t="shared" si="118"/>
        <v>0</v>
      </c>
      <c r="Q180" s="71">
        <f t="shared" si="118"/>
        <v>0</v>
      </c>
      <c r="R180" s="71">
        <f t="shared" si="118"/>
        <v>0</v>
      </c>
      <c r="S180" s="71">
        <f t="shared" si="118"/>
        <v>0</v>
      </c>
      <c r="T180" s="81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  <c r="BD180" s="78"/>
      <c r="BE180" s="78"/>
      <c r="BF180" s="78"/>
      <c r="BG180" s="78"/>
      <c r="BH180" s="78"/>
      <c r="BI180" s="78"/>
      <c r="BJ180" s="78"/>
      <c r="BK180" s="78"/>
      <c r="BL180" s="78"/>
      <c r="BM180" s="78"/>
      <c r="BN180" s="78"/>
      <c r="BO180" s="78"/>
      <c r="BP180" s="78"/>
      <c r="BQ180" s="78"/>
      <c r="BR180" s="78"/>
      <c r="BS180" s="78"/>
      <c r="BT180" s="78"/>
      <c r="BU180" s="78"/>
      <c r="BV180" s="78"/>
      <c r="BW180" s="78"/>
      <c r="BX180" s="78"/>
      <c r="BY180" s="78"/>
      <c r="BZ180" s="78"/>
      <c r="CA180" s="78"/>
      <c r="CB180" s="78"/>
      <c r="CC180" s="78"/>
      <c r="CD180" s="78"/>
      <c r="CE180" s="78"/>
      <c r="CF180" s="78"/>
      <c r="CG180" s="78"/>
      <c r="CH180" s="78"/>
      <c r="CI180" s="78"/>
      <c r="CJ180" s="78"/>
      <c r="CK180" s="78"/>
      <c r="CL180" s="78"/>
      <c r="CM180" s="78"/>
      <c r="CN180" s="78"/>
      <c r="CO180" s="78"/>
      <c r="CP180" s="78"/>
      <c r="CQ180" s="78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</row>
    <row r="181" spans="1:341" s="78" customFormat="1" ht="15" customHeight="1">
      <c r="B181" s="124"/>
      <c r="C181" s="195">
        <v>1</v>
      </c>
      <c r="D181" s="132" t="s">
        <v>59</v>
      </c>
      <c r="E181" s="216" t="s">
        <v>61</v>
      </c>
      <c r="F181" s="21">
        <v>12000</v>
      </c>
      <c r="G181" s="21">
        <f t="shared" ref="G181" si="119">SUM(H181:S181)</f>
        <v>35225.81</v>
      </c>
      <c r="H181" s="21">
        <f t="shared" ref="H181:H207" si="120">+F181*C181/31*29</f>
        <v>11225.81</v>
      </c>
      <c r="I181" s="21">
        <f t="shared" ref="I181:I207" si="121">+F181*C181</f>
        <v>12000</v>
      </c>
      <c r="J181" s="37">
        <f t="shared" ref="J181:J207" si="122">+F181*C181</f>
        <v>12000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</row>
    <row r="182" spans="1:341" s="78" customFormat="1" ht="15" customHeight="1">
      <c r="B182" s="124"/>
      <c r="C182" s="195">
        <v>1</v>
      </c>
      <c r="D182" s="132" t="s">
        <v>59</v>
      </c>
      <c r="E182" s="216" t="s">
        <v>61</v>
      </c>
      <c r="F182" s="21">
        <v>12000</v>
      </c>
      <c r="G182" s="21">
        <f t="shared" ref="G182:G207" si="123">SUM(H182:S182)</f>
        <v>35225.81</v>
      </c>
      <c r="H182" s="21">
        <f t="shared" si="120"/>
        <v>11225.81</v>
      </c>
      <c r="I182" s="21">
        <f t="shared" si="121"/>
        <v>12000</v>
      </c>
      <c r="J182" s="37">
        <f t="shared" si="122"/>
        <v>12000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</row>
    <row r="183" spans="1:341" s="78" customFormat="1" ht="15" customHeight="1">
      <c r="B183" s="124"/>
      <c r="C183" s="195">
        <v>1</v>
      </c>
      <c r="D183" s="132" t="s">
        <v>72</v>
      </c>
      <c r="E183" s="216" t="s">
        <v>62</v>
      </c>
      <c r="F183" s="21">
        <v>12000</v>
      </c>
      <c r="G183" s="21">
        <f>SUM(H183:S183)</f>
        <v>24000</v>
      </c>
      <c r="H183" s="21">
        <v>0</v>
      </c>
      <c r="I183" s="21">
        <f>+F183*C183</f>
        <v>12000</v>
      </c>
      <c r="J183" s="37">
        <f>+F183*C183</f>
        <v>12000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</row>
    <row r="184" spans="1:341" s="78" customFormat="1" ht="15" customHeight="1">
      <c r="B184" s="124"/>
      <c r="C184" s="195">
        <v>1</v>
      </c>
      <c r="D184" s="132" t="s">
        <v>59</v>
      </c>
      <c r="E184" s="216" t="s">
        <v>62</v>
      </c>
      <c r="F184" s="21">
        <v>9000</v>
      </c>
      <c r="G184" s="21">
        <f>SUM(H184:S184)</f>
        <v>26419.35</v>
      </c>
      <c r="H184" s="21">
        <f>+F184*C184/31*29</f>
        <v>8419.35</v>
      </c>
      <c r="I184" s="21">
        <f>+F184*C184</f>
        <v>9000</v>
      </c>
      <c r="J184" s="37">
        <f>+F184*C184</f>
        <v>9000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</row>
    <row r="185" spans="1:341" s="78" customFormat="1" ht="15" customHeight="1">
      <c r="B185" s="53"/>
      <c r="C185" s="253">
        <v>1</v>
      </c>
      <c r="D185" s="132" t="s">
        <v>115</v>
      </c>
      <c r="E185" s="216" t="s">
        <v>61</v>
      </c>
      <c r="F185" s="20">
        <v>8500</v>
      </c>
      <c r="G185" s="21">
        <f>SUM(H185:S185)</f>
        <v>10928.57</v>
      </c>
      <c r="H185" s="21">
        <v>0</v>
      </c>
      <c r="I185" s="21">
        <v>0</v>
      </c>
      <c r="J185" s="21">
        <f>303.571428571429*8+8500</f>
        <v>10928.57</v>
      </c>
      <c r="K185" s="37">
        <v>0</v>
      </c>
      <c r="L185" s="37">
        <v>0</v>
      </c>
      <c r="M185" s="37">
        <v>0</v>
      </c>
      <c r="N185" s="37">
        <v>0</v>
      </c>
      <c r="O185" s="37">
        <v>0</v>
      </c>
      <c r="P185" s="37">
        <v>0</v>
      </c>
      <c r="Q185" s="37">
        <v>0</v>
      </c>
      <c r="R185" s="37">
        <v>0</v>
      </c>
      <c r="S185" s="37">
        <v>0</v>
      </c>
    </row>
    <row r="186" spans="1:341" s="78" customFormat="1" ht="15" customHeight="1">
      <c r="B186" s="124"/>
      <c r="C186" s="195">
        <v>1</v>
      </c>
      <c r="D186" s="132" t="s">
        <v>59</v>
      </c>
      <c r="E186" s="216" t="s">
        <v>62</v>
      </c>
      <c r="F186" s="21">
        <v>8000</v>
      </c>
      <c r="G186" s="21">
        <f t="shared" si="123"/>
        <v>23483.87</v>
      </c>
      <c r="H186" s="21">
        <f t="shared" si="120"/>
        <v>7483.87</v>
      </c>
      <c r="I186" s="21">
        <f t="shared" si="121"/>
        <v>8000</v>
      </c>
      <c r="J186" s="37">
        <f t="shared" si="122"/>
        <v>8000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</row>
    <row r="187" spans="1:341" s="78" customFormat="1" ht="15" customHeight="1">
      <c r="B187" s="124"/>
      <c r="C187" s="195">
        <v>1</v>
      </c>
      <c r="D187" s="132" t="s">
        <v>59</v>
      </c>
      <c r="E187" s="216" t="s">
        <v>61</v>
      </c>
      <c r="F187" s="21">
        <v>8000</v>
      </c>
      <c r="G187" s="21">
        <f>SUM(H187:S187)</f>
        <v>23483.87</v>
      </c>
      <c r="H187" s="21">
        <f>+F187*C187/31*29</f>
        <v>7483.87</v>
      </c>
      <c r="I187" s="21">
        <f>+F187*C187</f>
        <v>8000</v>
      </c>
      <c r="J187" s="37">
        <f>+F187*C187</f>
        <v>8000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</row>
    <row r="188" spans="1:341" s="78" customFormat="1" ht="15" customHeight="1">
      <c r="B188" s="124"/>
      <c r="C188" s="195">
        <v>1</v>
      </c>
      <c r="D188" s="132" t="s">
        <v>59</v>
      </c>
      <c r="E188" s="216" t="s">
        <v>61</v>
      </c>
      <c r="F188" s="21">
        <v>8000</v>
      </c>
      <c r="G188" s="21">
        <f t="shared" si="123"/>
        <v>23483.87</v>
      </c>
      <c r="H188" s="21">
        <f t="shared" si="120"/>
        <v>7483.87</v>
      </c>
      <c r="I188" s="21">
        <f t="shared" si="121"/>
        <v>8000</v>
      </c>
      <c r="J188" s="37">
        <f t="shared" si="122"/>
        <v>8000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</row>
    <row r="189" spans="1:341" s="78" customFormat="1" ht="15" customHeight="1">
      <c r="B189" s="124"/>
      <c r="C189" s="195">
        <v>1</v>
      </c>
      <c r="D189" s="132" t="s">
        <v>59</v>
      </c>
      <c r="E189" s="216" t="s">
        <v>61</v>
      </c>
      <c r="F189" s="21">
        <v>8000</v>
      </c>
      <c r="G189" s="21">
        <f t="shared" ref="G189:G190" si="124">SUM(H189:S189)</f>
        <v>23483.87</v>
      </c>
      <c r="H189" s="21">
        <f t="shared" ref="H189:H190" si="125">+F189*C189/31*29</f>
        <v>7483.87</v>
      </c>
      <c r="I189" s="21">
        <f t="shared" ref="I189:I190" si="126">+F189*C189</f>
        <v>8000</v>
      </c>
      <c r="J189" s="37">
        <f t="shared" ref="J189:J190" si="127">+F189*C189</f>
        <v>8000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</row>
    <row r="190" spans="1:341" s="78" customFormat="1" ht="15" customHeight="1">
      <c r="B190" s="124"/>
      <c r="C190" s="195">
        <v>1</v>
      </c>
      <c r="D190" s="132" t="s">
        <v>59</v>
      </c>
      <c r="E190" s="216" t="s">
        <v>62</v>
      </c>
      <c r="F190" s="21">
        <v>8000</v>
      </c>
      <c r="G190" s="21">
        <f t="shared" si="124"/>
        <v>23483.87</v>
      </c>
      <c r="H190" s="21">
        <f t="shared" si="125"/>
        <v>7483.87</v>
      </c>
      <c r="I190" s="21">
        <f t="shared" si="126"/>
        <v>8000</v>
      </c>
      <c r="J190" s="37">
        <f t="shared" si="127"/>
        <v>8000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</row>
    <row r="191" spans="1:341" s="78" customFormat="1" ht="17.25" customHeight="1">
      <c r="B191" s="124"/>
      <c r="C191" s="243">
        <v>0</v>
      </c>
      <c r="D191" s="132" t="s">
        <v>137</v>
      </c>
      <c r="E191" s="216" t="s">
        <v>62</v>
      </c>
      <c r="F191" s="20">
        <v>8000</v>
      </c>
      <c r="G191" s="21">
        <f>SUM(H191:S191)</f>
        <v>7483.87</v>
      </c>
      <c r="H191" s="21">
        <v>7483.87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</row>
    <row r="192" spans="1:341" s="78" customFormat="1" ht="15" customHeight="1">
      <c r="B192" s="124"/>
      <c r="C192" s="195">
        <v>1</v>
      </c>
      <c r="D192" s="132" t="s">
        <v>59</v>
      </c>
      <c r="E192" s="216" t="s">
        <v>61</v>
      </c>
      <c r="F192" s="21">
        <v>7000</v>
      </c>
      <c r="G192" s="21">
        <f>SUM(H192:S192)</f>
        <v>20548.39</v>
      </c>
      <c r="H192" s="21">
        <f>+F192*C192/31*29</f>
        <v>6548.39</v>
      </c>
      <c r="I192" s="21">
        <f>+F192*C192</f>
        <v>7000</v>
      </c>
      <c r="J192" s="37">
        <f>+F192*C192</f>
        <v>7000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</row>
    <row r="193" spans="2:19" s="78" customFormat="1" ht="15" customHeight="1">
      <c r="B193" s="124"/>
      <c r="C193" s="195">
        <v>1</v>
      </c>
      <c r="D193" s="132" t="s">
        <v>59</v>
      </c>
      <c r="E193" s="216" t="s">
        <v>61</v>
      </c>
      <c r="F193" s="21">
        <v>7000</v>
      </c>
      <c r="G193" s="21">
        <f>SUM(H193:S193)</f>
        <v>20548.39</v>
      </c>
      <c r="H193" s="21">
        <f>+F193*C193/31*29</f>
        <v>6548.39</v>
      </c>
      <c r="I193" s="21">
        <f>+F193*C193</f>
        <v>7000</v>
      </c>
      <c r="J193" s="37">
        <f>+F193*C193</f>
        <v>7000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</row>
    <row r="194" spans="2:19" s="78" customFormat="1" ht="15" customHeight="1">
      <c r="B194" s="124"/>
      <c r="C194" s="195">
        <v>1</v>
      </c>
      <c r="D194" s="132" t="s">
        <v>59</v>
      </c>
      <c r="E194" s="216" t="s">
        <v>61</v>
      </c>
      <c r="F194" s="21">
        <v>7000</v>
      </c>
      <c r="G194" s="21">
        <f t="shared" si="123"/>
        <v>20548.39</v>
      </c>
      <c r="H194" s="21">
        <f t="shared" si="120"/>
        <v>6548.39</v>
      </c>
      <c r="I194" s="21">
        <f t="shared" si="121"/>
        <v>7000</v>
      </c>
      <c r="J194" s="37">
        <f t="shared" si="122"/>
        <v>7000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</row>
    <row r="195" spans="2:19" s="78" customFormat="1" ht="15" customHeight="1">
      <c r="B195" s="124"/>
      <c r="C195" s="195">
        <v>1</v>
      </c>
      <c r="D195" s="132" t="s">
        <v>59</v>
      </c>
      <c r="E195" s="216" t="s">
        <v>61</v>
      </c>
      <c r="F195" s="21">
        <v>6000</v>
      </c>
      <c r="G195" s="21">
        <f t="shared" si="123"/>
        <v>17612.900000000001</v>
      </c>
      <c r="H195" s="21">
        <f t="shared" si="120"/>
        <v>5612.9</v>
      </c>
      <c r="I195" s="21">
        <f t="shared" si="121"/>
        <v>6000</v>
      </c>
      <c r="J195" s="37">
        <f t="shared" si="122"/>
        <v>6000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</row>
    <row r="196" spans="2:19" s="78" customFormat="1" ht="15" customHeight="1">
      <c r="B196" s="124"/>
      <c r="C196" s="19">
        <v>1</v>
      </c>
      <c r="D196" s="132" t="s">
        <v>59</v>
      </c>
      <c r="E196" s="216" t="s">
        <v>61</v>
      </c>
      <c r="F196" s="21">
        <v>6000</v>
      </c>
      <c r="G196" s="21">
        <f>SUM(H196:S196)</f>
        <v>17612.900000000001</v>
      </c>
      <c r="H196" s="21">
        <f>+F196*C196/31*29</f>
        <v>5612.9</v>
      </c>
      <c r="I196" s="21">
        <f>+F196*C196</f>
        <v>6000</v>
      </c>
      <c r="J196" s="37">
        <f>+F196*C196</f>
        <v>6000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</row>
    <row r="197" spans="2:19" s="78" customFormat="1" ht="15" customHeight="1">
      <c r="B197" s="124"/>
      <c r="C197" s="195">
        <v>1</v>
      </c>
      <c r="D197" s="132" t="s">
        <v>59</v>
      </c>
      <c r="E197" s="216" t="s">
        <v>61</v>
      </c>
      <c r="F197" s="21">
        <v>5000</v>
      </c>
      <c r="G197" s="21">
        <f t="shared" ref="G197" si="128">SUM(H197:S197)</f>
        <v>14677.42</v>
      </c>
      <c r="H197" s="21">
        <f t="shared" ref="H197" si="129">+F197*C197/31*29</f>
        <v>4677.42</v>
      </c>
      <c r="I197" s="21">
        <f t="shared" ref="I197" si="130">+F197*C197</f>
        <v>5000</v>
      </c>
      <c r="J197" s="37">
        <f t="shared" ref="J197" si="131">+F197*C197</f>
        <v>5000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</row>
    <row r="198" spans="2:19" s="78" customFormat="1" ht="15" customHeight="1">
      <c r="B198" s="124"/>
      <c r="C198" s="195">
        <v>1</v>
      </c>
      <c r="D198" s="132" t="s">
        <v>59</v>
      </c>
      <c r="E198" s="216" t="s">
        <v>61</v>
      </c>
      <c r="F198" s="21">
        <v>4500</v>
      </c>
      <c r="G198" s="21">
        <f t="shared" si="123"/>
        <v>13209.68</v>
      </c>
      <c r="H198" s="21">
        <f t="shared" si="120"/>
        <v>4209.68</v>
      </c>
      <c r="I198" s="21">
        <f t="shared" si="121"/>
        <v>4500</v>
      </c>
      <c r="J198" s="37">
        <f t="shared" si="122"/>
        <v>4500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</row>
    <row r="199" spans="2:19" s="78" customFormat="1" ht="15" customHeight="1">
      <c r="B199" s="124"/>
      <c r="C199" s="195">
        <v>1</v>
      </c>
      <c r="D199" s="132" t="s">
        <v>59</v>
      </c>
      <c r="E199" s="216" t="s">
        <v>61</v>
      </c>
      <c r="F199" s="21">
        <v>4500</v>
      </c>
      <c r="G199" s="21">
        <f t="shared" ref="G199:G200" si="132">SUM(H199:S199)</f>
        <v>13209.68</v>
      </c>
      <c r="H199" s="21">
        <f t="shared" ref="H199:H200" si="133">+F199*C199/31*29</f>
        <v>4209.68</v>
      </c>
      <c r="I199" s="21">
        <f t="shared" ref="I199:I200" si="134">+F199*C199</f>
        <v>4500</v>
      </c>
      <c r="J199" s="37">
        <f t="shared" ref="J199:J200" si="135">+F199*C199</f>
        <v>4500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</row>
    <row r="200" spans="2:19" s="78" customFormat="1" ht="15" customHeight="1">
      <c r="B200" s="124"/>
      <c r="C200" s="195">
        <v>1</v>
      </c>
      <c r="D200" s="132" t="s">
        <v>59</v>
      </c>
      <c r="E200" s="216" t="s">
        <v>61</v>
      </c>
      <c r="F200" s="21">
        <v>4500</v>
      </c>
      <c r="G200" s="21">
        <f t="shared" si="132"/>
        <v>13209.68</v>
      </c>
      <c r="H200" s="21">
        <f t="shared" si="133"/>
        <v>4209.68</v>
      </c>
      <c r="I200" s="21">
        <f t="shared" si="134"/>
        <v>4500</v>
      </c>
      <c r="J200" s="37">
        <f t="shared" si="135"/>
        <v>4500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</row>
    <row r="201" spans="2:19" s="78" customFormat="1" ht="15" customHeight="1">
      <c r="B201" s="124"/>
      <c r="C201" s="195">
        <v>1</v>
      </c>
      <c r="D201" s="132" t="s">
        <v>59</v>
      </c>
      <c r="E201" s="216" t="s">
        <v>61</v>
      </c>
      <c r="F201" s="21">
        <v>4000</v>
      </c>
      <c r="G201" s="21">
        <f t="shared" si="123"/>
        <v>11741.94</v>
      </c>
      <c r="H201" s="21">
        <f t="shared" si="120"/>
        <v>3741.94</v>
      </c>
      <c r="I201" s="21">
        <f t="shared" si="121"/>
        <v>4000</v>
      </c>
      <c r="J201" s="37">
        <f t="shared" si="122"/>
        <v>4000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</row>
    <row r="202" spans="2:19" s="78" customFormat="1" ht="15" customHeight="1">
      <c r="B202" s="124"/>
      <c r="C202" s="195">
        <v>1</v>
      </c>
      <c r="D202" s="132" t="s">
        <v>59</v>
      </c>
      <c r="E202" s="216" t="s">
        <v>61</v>
      </c>
      <c r="F202" s="21">
        <v>4000</v>
      </c>
      <c r="G202" s="21">
        <f t="shared" ref="G202:G206" si="136">SUM(H202:S202)</f>
        <v>11741.94</v>
      </c>
      <c r="H202" s="21">
        <f t="shared" ref="H202:H206" si="137">+F202*C202/31*29</f>
        <v>3741.94</v>
      </c>
      <c r="I202" s="21">
        <f t="shared" ref="I202:I206" si="138">+F202*C202</f>
        <v>4000</v>
      </c>
      <c r="J202" s="37">
        <f t="shared" ref="J202:J206" si="139">+F202*C202</f>
        <v>4000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</row>
    <row r="203" spans="2:19" s="78" customFormat="1" ht="15" customHeight="1">
      <c r="B203" s="124"/>
      <c r="C203" s="195">
        <v>1</v>
      </c>
      <c r="D203" s="132" t="s">
        <v>59</v>
      </c>
      <c r="E203" s="216" t="s">
        <v>61</v>
      </c>
      <c r="F203" s="21">
        <v>4000</v>
      </c>
      <c r="G203" s="21">
        <f t="shared" si="136"/>
        <v>11741.94</v>
      </c>
      <c r="H203" s="21">
        <f t="shared" si="137"/>
        <v>3741.94</v>
      </c>
      <c r="I203" s="21">
        <f t="shared" si="138"/>
        <v>4000</v>
      </c>
      <c r="J203" s="37">
        <f t="shared" si="139"/>
        <v>4000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</row>
    <row r="204" spans="2:19" s="78" customFormat="1" ht="15" customHeight="1">
      <c r="B204" s="124"/>
      <c r="C204" s="195">
        <v>1</v>
      </c>
      <c r="D204" s="132" t="s">
        <v>59</v>
      </c>
      <c r="E204" s="216" t="s">
        <v>61</v>
      </c>
      <c r="F204" s="21">
        <v>4000</v>
      </c>
      <c r="G204" s="21">
        <f t="shared" si="136"/>
        <v>11741.94</v>
      </c>
      <c r="H204" s="21">
        <f t="shared" si="137"/>
        <v>3741.94</v>
      </c>
      <c r="I204" s="21">
        <f t="shared" si="138"/>
        <v>4000</v>
      </c>
      <c r="J204" s="37">
        <f t="shared" si="139"/>
        <v>4000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</row>
    <row r="205" spans="2:19" s="78" customFormat="1" ht="15" customHeight="1">
      <c r="B205" s="124"/>
      <c r="C205" s="195">
        <v>1</v>
      </c>
      <c r="D205" s="132" t="s">
        <v>59</v>
      </c>
      <c r="E205" s="216" t="s">
        <v>61</v>
      </c>
      <c r="F205" s="21">
        <v>4000</v>
      </c>
      <c r="G205" s="21">
        <f t="shared" si="136"/>
        <v>11741.94</v>
      </c>
      <c r="H205" s="21">
        <f t="shared" si="137"/>
        <v>3741.94</v>
      </c>
      <c r="I205" s="21">
        <f t="shared" si="138"/>
        <v>4000</v>
      </c>
      <c r="J205" s="37">
        <f t="shared" si="139"/>
        <v>4000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</row>
    <row r="206" spans="2:19" s="78" customFormat="1" ht="15" customHeight="1">
      <c r="B206" s="124"/>
      <c r="C206" s="195">
        <v>1</v>
      </c>
      <c r="D206" s="132" t="s">
        <v>59</v>
      </c>
      <c r="E206" s="216" t="s">
        <v>61</v>
      </c>
      <c r="F206" s="21">
        <v>3500</v>
      </c>
      <c r="G206" s="21">
        <f t="shared" si="136"/>
        <v>10274.19</v>
      </c>
      <c r="H206" s="21">
        <f t="shared" si="137"/>
        <v>3274.19</v>
      </c>
      <c r="I206" s="21">
        <f t="shared" si="138"/>
        <v>3500</v>
      </c>
      <c r="J206" s="37">
        <f t="shared" si="139"/>
        <v>3500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</row>
    <row r="207" spans="2:19" s="78" customFormat="1" ht="15" customHeight="1">
      <c r="B207" s="124"/>
      <c r="C207" s="195">
        <v>1</v>
      </c>
      <c r="D207" s="132" t="s">
        <v>59</v>
      </c>
      <c r="E207" s="216" t="s">
        <v>61</v>
      </c>
      <c r="F207" s="21">
        <v>3000</v>
      </c>
      <c r="G207" s="21">
        <f t="shared" si="123"/>
        <v>8806.4500000000007</v>
      </c>
      <c r="H207" s="21">
        <f t="shared" si="120"/>
        <v>2806.45</v>
      </c>
      <c r="I207" s="21">
        <f t="shared" si="121"/>
        <v>3000</v>
      </c>
      <c r="J207" s="37">
        <f t="shared" si="122"/>
        <v>3000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</row>
    <row r="208" spans="2:19" s="78" customFormat="1" ht="15" customHeight="1">
      <c r="B208" s="53"/>
      <c r="C208" s="253">
        <v>1</v>
      </c>
      <c r="D208" s="132" t="s">
        <v>116</v>
      </c>
      <c r="E208" s="216" t="s">
        <v>61</v>
      </c>
      <c r="F208" s="20">
        <v>3500</v>
      </c>
      <c r="G208" s="21">
        <f>SUM(H208:S208)</f>
        <v>3500</v>
      </c>
      <c r="H208" s="21">
        <v>0</v>
      </c>
      <c r="I208" s="21">
        <v>0</v>
      </c>
      <c r="J208" s="21">
        <v>3500</v>
      </c>
      <c r="K208" s="37">
        <v>0</v>
      </c>
      <c r="L208" s="37">
        <v>0</v>
      </c>
      <c r="M208" s="37">
        <v>0</v>
      </c>
      <c r="N208" s="37">
        <v>0</v>
      </c>
      <c r="O208" s="37">
        <v>0</v>
      </c>
      <c r="P208" s="37">
        <v>0</v>
      </c>
      <c r="Q208" s="37">
        <v>0</v>
      </c>
      <c r="R208" s="37">
        <v>0</v>
      </c>
      <c r="S208" s="37">
        <v>0</v>
      </c>
    </row>
    <row r="209" spans="2:20" s="78" customFormat="1" ht="15" customHeight="1">
      <c r="B209" s="53"/>
      <c r="C209" s="253">
        <v>1</v>
      </c>
      <c r="D209" s="132" t="s">
        <v>116</v>
      </c>
      <c r="E209" s="216" t="s">
        <v>61</v>
      </c>
      <c r="F209" s="20">
        <v>3500</v>
      </c>
      <c r="G209" s="21">
        <f>SUM(H209:S209)</f>
        <v>3500</v>
      </c>
      <c r="H209" s="21">
        <v>0</v>
      </c>
      <c r="I209" s="21">
        <v>0</v>
      </c>
      <c r="J209" s="21">
        <v>3500</v>
      </c>
      <c r="K209" s="37">
        <v>0</v>
      </c>
      <c r="L209" s="37">
        <v>0</v>
      </c>
      <c r="M209" s="37">
        <v>0</v>
      </c>
      <c r="N209" s="37">
        <v>0</v>
      </c>
      <c r="O209" s="37">
        <v>0</v>
      </c>
      <c r="P209" s="37">
        <v>0</v>
      </c>
      <c r="Q209" s="37">
        <v>0</v>
      </c>
      <c r="R209" s="37">
        <v>0</v>
      </c>
      <c r="S209" s="37">
        <v>0</v>
      </c>
    </row>
    <row r="210" spans="2:20" s="78" customFormat="1" ht="15" customHeight="1">
      <c r="B210" s="53"/>
      <c r="C210" s="253">
        <v>1</v>
      </c>
      <c r="D210" s="132" t="s">
        <v>111</v>
      </c>
      <c r="E210" s="216" t="s">
        <v>61</v>
      </c>
      <c r="F210" s="20">
        <v>3500</v>
      </c>
      <c r="G210" s="21">
        <f t="shared" ref="G210" si="140">SUM(H210:S210)</f>
        <v>5125</v>
      </c>
      <c r="H210" s="21">
        <v>0</v>
      </c>
      <c r="I210" s="21">
        <v>0</v>
      </c>
      <c r="J210" s="21">
        <f>125*13+3500</f>
        <v>5125</v>
      </c>
      <c r="K210" s="37">
        <v>0</v>
      </c>
      <c r="L210" s="37">
        <v>0</v>
      </c>
      <c r="M210" s="37">
        <v>0</v>
      </c>
      <c r="N210" s="37">
        <v>0</v>
      </c>
      <c r="O210" s="37">
        <v>0</v>
      </c>
      <c r="P210" s="37">
        <v>0</v>
      </c>
      <c r="Q210" s="37">
        <v>0</v>
      </c>
      <c r="R210" s="37">
        <v>0</v>
      </c>
      <c r="S210" s="37">
        <v>0</v>
      </c>
    </row>
    <row r="211" spans="2:20" s="78" customFormat="1" ht="15" customHeight="1">
      <c r="B211" s="53"/>
      <c r="C211" s="253">
        <v>1</v>
      </c>
      <c r="D211" s="132" t="s">
        <v>111</v>
      </c>
      <c r="E211" s="216" t="s">
        <v>61</v>
      </c>
      <c r="F211" s="20">
        <v>3500</v>
      </c>
      <c r="G211" s="21">
        <f t="shared" ref="G211" si="141">SUM(H211:S211)</f>
        <v>5125</v>
      </c>
      <c r="H211" s="21">
        <v>0</v>
      </c>
      <c r="I211" s="21">
        <v>0</v>
      </c>
      <c r="J211" s="21">
        <f>125*13+3500</f>
        <v>5125</v>
      </c>
      <c r="K211" s="37">
        <v>0</v>
      </c>
      <c r="L211" s="37">
        <v>0</v>
      </c>
      <c r="M211" s="37">
        <v>0</v>
      </c>
      <c r="N211" s="37">
        <v>0</v>
      </c>
      <c r="O211" s="37">
        <v>0</v>
      </c>
      <c r="P211" s="37">
        <v>0</v>
      </c>
      <c r="Q211" s="37">
        <v>0</v>
      </c>
      <c r="R211" s="37">
        <v>0</v>
      </c>
      <c r="S211" s="37">
        <v>0</v>
      </c>
    </row>
    <row r="212" spans="2:20" s="78" customFormat="1">
      <c r="B212" s="124"/>
      <c r="C212" s="197"/>
      <c r="D212" s="161"/>
      <c r="E212" s="277" t="s">
        <v>24</v>
      </c>
      <c r="F212" s="278"/>
      <c r="G212" s="21">
        <f>2136000-SUM(G181:G211)</f>
        <v>1633079.47</v>
      </c>
      <c r="H212" s="76"/>
      <c r="I212" s="76"/>
      <c r="J212" s="76"/>
      <c r="K212" s="76"/>
      <c r="L212" s="76"/>
      <c r="M212" s="77"/>
      <c r="N212" s="76"/>
      <c r="O212" s="76"/>
      <c r="P212" s="76"/>
      <c r="Q212" s="76"/>
      <c r="R212" s="76"/>
      <c r="S212" s="76"/>
    </row>
    <row r="213" spans="2:20" s="78" customFormat="1" ht="29.25">
      <c r="B213" s="68" t="s">
        <v>85</v>
      </c>
      <c r="C213" s="198">
        <f>SUM(C214:C223)</f>
        <v>10</v>
      </c>
      <c r="D213" s="162"/>
      <c r="E213" s="225"/>
      <c r="F213" s="46"/>
      <c r="G213" s="11">
        <f>SUM(G214:G223)</f>
        <v>151355.99</v>
      </c>
      <c r="H213" s="11">
        <f t="shared" ref="H213:S213" si="142">SUM(H214:H223)</f>
        <v>33677.42</v>
      </c>
      <c r="I213" s="11">
        <f t="shared" si="142"/>
        <v>36000</v>
      </c>
      <c r="J213" s="11">
        <f t="shared" si="142"/>
        <v>81678.570000000007</v>
      </c>
      <c r="K213" s="11">
        <f t="shared" si="142"/>
        <v>0</v>
      </c>
      <c r="L213" s="11">
        <f t="shared" si="142"/>
        <v>0</v>
      </c>
      <c r="M213" s="11">
        <f t="shared" si="142"/>
        <v>0</v>
      </c>
      <c r="N213" s="11">
        <f t="shared" si="142"/>
        <v>0</v>
      </c>
      <c r="O213" s="11">
        <f t="shared" si="142"/>
        <v>0</v>
      </c>
      <c r="P213" s="11">
        <f t="shared" si="142"/>
        <v>0</v>
      </c>
      <c r="Q213" s="11">
        <f t="shared" si="142"/>
        <v>0</v>
      </c>
      <c r="R213" s="11">
        <f t="shared" si="142"/>
        <v>0</v>
      </c>
      <c r="S213" s="11">
        <f t="shared" si="142"/>
        <v>0</v>
      </c>
      <c r="T213" s="81"/>
    </row>
    <row r="214" spans="2:20" s="78" customFormat="1" ht="16.5" customHeight="1">
      <c r="B214" s="124"/>
      <c r="C214" s="195">
        <v>1</v>
      </c>
      <c r="D214" s="132" t="s">
        <v>59</v>
      </c>
      <c r="E214" s="216" t="s">
        <v>61</v>
      </c>
      <c r="F214" s="20">
        <v>12000</v>
      </c>
      <c r="G214" s="21">
        <f>SUM(H214:S214)</f>
        <v>35225.81</v>
      </c>
      <c r="H214" s="21">
        <f>+F214*C214/31*29</f>
        <v>11225.81</v>
      </c>
      <c r="I214" s="21">
        <f>+F214*C214</f>
        <v>12000</v>
      </c>
      <c r="J214" s="37">
        <f>+F214*C214</f>
        <v>12000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</row>
    <row r="215" spans="2:20" s="78" customFormat="1" ht="15.75" customHeight="1">
      <c r="B215" s="124"/>
      <c r="C215" s="195">
        <v>1</v>
      </c>
      <c r="D215" s="132" t="s">
        <v>59</v>
      </c>
      <c r="E215" s="216" t="s">
        <v>61</v>
      </c>
      <c r="F215" s="20">
        <v>10000</v>
      </c>
      <c r="G215" s="21">
        <f t="shared" ref="G215:G220" si="143">SUM(H215:S215)</f>
        <v>29354.84</v>
      </c>
      <c r="H215" s="21">
        <f t="shared" ref="H215:H220" si="144">+F215*C215/31*29</f>
        <v>9354.84</v>
      </c>
      <c r="I215" s="21">
        <f t="shared" ref="I215:I220" si="145">+F215*C215</f>
        <v>10000</v>
      </c>
      <c r="J215" s="37">
        <f t="shared" ref="J215:J220" si="146">+F215*C215</f>
        <v>10000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</row>
    <row r="216" spans="2:20" s="78" customFormat="1" ht="15.75" customHeight="1">
      <c r="B216" s="124"/>
      <c r="C216" s="195">
        <v>1</v>
      </c>
      <c r="D216" s="132" t="s">
        <v>59</v>
      </c>
      <c r="E216" s="216" t="s">
        <v>61</v>
      </c>
      <c r="F216" s="20">
        <v>8000</v>
      </c>
      <c r="G216" s="21">
        <f t="shared" si="143"/>
        <v>23483.87</v>
      </c>
      <c r="H216" s="21">
        <f t="shared" ref="H216" si="147">+F216*C216/31*29</f>
        <v>7483.87</v>
      </c>
      <c r="I216" s="21">
        <f t="shared" ref="I216" si="148">+F216*C216</f>
        <v>8000</v>
      </c>
      <c r="J216" s="37">
        <f t="shared" ref="J216" si="149">+F216*C216</f>
        <v>8000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</row>
    <row r="217" spans="2:20" s="78" customFormat="1" ht="15" customHeight="1">
      <c r="B217" s="53"/>
      <c r="C217" s="253">
        <v>1</v>
      </c>
      <c r="D217" s="132" t="s">
        <v>111</v>
      </c>
      <c r="E217" s="216" t="s">
        <v>61</v>
      </c>
      <c r="F217" s="20">
        <v>7000</v>
      </c>
      <c r="G217" s="21">
        <f t="shared" si="143"/>
        <v>10250</v>
      </c>
      <c r="H217" s="21">
        <v>0</v>
      </c>
      <c r="I217" s="21">
        <v>0</v>
      </c>
      <c r="J217" s="21">
        <f>250*13+7000</f>
        <v>10250</v>
      </c>
      <c r="K217" s="37">
        <v>0</v>
      </c>
      <c r="L217" s="37">
        <v>0</v>
      </c>
      <c r="M217" s="37">
        <v>0</v>
      </c>
      <c r="N217" s="37">
        <v>0</v>
      </c>
      <c r="O217" s="37">
        <v>0</v>
      </c>
      <c r="P217" s="37">
        <v>0</v>
      </c>
      <c r="Q217" s="37">
        <v>0</v>
      </c>
      <c r="R217" s="37">
        <v>0</v>
      </c>
      <c r="S217" s="37">
        <v>0</v>
      </c>
    </row>
    <row r="218" spans="2:20" s="78" customFormat="1" ht="15" customHeight="1">
      <c r="B218" s="53"/>
      <c r="C218" s="253">
        <v>1</v>
      </c>
      <c r="D218" s="132" t="s">
        <v>111</v>
      </c>
      <c r="E218" s="216" t="s">
        <v>61</v>
      </c>
      <c r="F218" s="20">
        <v>6500</v>
      </c>
      <c r="G218" s="21">
        <f t="shared" si="143"/>
        <v>9517.86</v>
      </c>
      <c r="H218" s="21">
        <v>0</v>
      </c>
      <c r="I218" s="21">
        <v>0</v>
      </c>
      <c r="J218" s="21">
        <f>232.142857142857*13+6500</f>
        <v>9517.86</v>
      </c>
      <c r="K218" s="37">
        <v>0</v>
      </c>
      <c r="L218" s="37">
        <v>0</v>
      </c>
      <c r="M218" s="37">
        <v>0</v>
      </c>
      <c r="N218" s="37">
        <v>0</v>
      </c>
      <c r="O218" s="37">
        <v>0</v>
      </c>
      <c r="P218" s="37">
        <v>0</v>
      </c>
      <c r="Q218" s="37">
        <v>0</v>
      </c>
      <c r="R218" s="37">
        <v>0</v>
      </c>
      <c r="S218" s="37">
        <v>0</v>
      </c>
    </row>
    <row r="219" spans="2:20" s="78" customFormat="1" ht="15" customHeight="1">
      <c r="B219" s="53"/>
      <c r="C219" s="253">
        <v>1</v>
      </c>
      <c r="D219" s="132" t="s">
        <v>115</v>
      </c>
      <c r="E219" s="216" t="s">
        <v>61</v>
      </c>
      <c r="F219" s="20">
        <v>6500</v>
      </c>
      <c r="G219" s="21">
        <f t="shared" si="143"/>
        <v>8357.14</v>
      </c>
      <c r="H219" s="21">
        <v>0</v>
      </c>
      <c r="I219" s="21">
        <v>0</v>
      </c>
      <c r="J219" s="21">
        <f>232.142857142857*8+6500</f>
        <v>8357.14</v>
      </c>
      <c r="K219" s="37">
        <v>0</v>
      </c>
      <c r="L219" s="37">
        <v>0</v>
      </c>
      <c r="M219" s="37">
        <v>0</v>
      </c>
      <c r="N219" s="37">
        <v>0</v>
      </c>
      <c r="O219" s="37">
        <v>0</v>
      </c>
      <c r="P219" s="37">
        <v>0</v>
      </c>
      <c r="Q219" s="37">
        <v>0</v>
      </c>
      <c r="R219" s="37">
        <v>0</v>
      </c>
      <c r="S219" s="37">
        <v>0</v>
      </c>
    </row>
    <row r="220" spans="2:20" s="78" customFormat="1" ht="28.5">
      <c r="B220" s="124"/>
      <c r="C220" s="195">
        <v>1</v>
      </c>
      <c r="D220" s="132" t="s">
        <v>59</v>
      </c>
      <c r="E220" s="216" t="s">
        <v>61</v>
      </c>
      <c r="F220" s="20">
        <v>6000</v>
      </c>
      <c r="G220" s="21">
        <f t="shared" si="143"/>
        <v>17612.900000000001</v>
      </c>
      <c r="H220" s="21">
        <f t="shared" si="144"/>
        <v>5612.9</v>
      </c>
      <c r="I220" s="21">
        <f t="shared" si="145"/>
        <v>6000</v>
      </c>
      <c r="J220" s="21">
        <f t="shared" si="146"/>
        <v>6000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</row>
    <row r="221" spans="2:20" s="78" customFormat="1" ht="15" customHeight="1">
      <c r="B221" s="53"/>
      <c r="C221" s="253">
        <v>1</v>
      </c>
      <c r="D221" s="132" t="s">
        <v>109</v>
      </c>
      <c r="E221" s="216" t="s">
        <v>61</v>
      </c>
      <c r="F221" s="20">
        <v>5000</v>
      </c>
      <c r="G221" s="21">
        <f t="shared" ref="G221:G223" si="150">SUM(H221:S221)</f>
        <v>8928.57</v>
      </c>
      <c r="H221" s="21">
        <v>0</v>
      </c>
      <c r="I221" s="21">
        <v>0</v>
      </c>
      <c r="J221" s="21">
        <f>178.571428571429*22+5000</f>
        <v>8928.57</v>
      </c>
      <c r="K221" s="37">
        <v>0</v>
      </c>
      <c r="L221" s="37">
        <v>0</v>
      </c>
      <c r="M221" s="37">
        <v>0</v>
      </c>
      <c r="N221" s="37">
        <v>0</v>
      </c>
      <c r="O221" s="37">
        <v>0</v>
      </c>
      <c r="P221" s="37">
        <v>0</v>
      </c>
      <c r="Q221" s="37">
        <v>0</v>
      </c>
      <c r="R221" s="37">
        <v>0</v>
      </c>
      <c r="S221" s="37">
        <v>0</v>
      </c>
    </row>
    <row r="222" spans="2:20" s="78" customFormat="1" ht="15" customHeight="1">
      <c r="B222" s="53"/>
      <c r="C222" s="253">
        <v>1</v>
      </c>
      <c r="D222" s="132" t="s">
        <v>111</v>
      </c>
      <c r="E222" s="216" t="s">
        <v>61</v>
      </c>
      <c r="F222" s="20">
        <v>3500</v>
      </c>
      <c r="G222" s="21">
        <f t="shared" si="150"/>
        <v>5125</v>
      </c>
      <c r="H222" s="21">
        <v>0</v>
      </c>
      <c r="I222" s="21">
        <v>0</v>
      </c>
      <c r="J222" s="21">
        <f>125*13+3500</f>
        <v>5125</v>
      </c>
      <c r="K222" s="37">
        <v>0</v>
      </c>
      <c r="L222" s="37">
        <v>0</v>
      </c>
      <c r="M222" s="37">
        <v>0</v>
      </c>
      <c r="N222" s="37">
        <v>0</v>
      </c>
      <c r="O222" s="37">
        <v>0</v>
      </c>
      <c r="P222" s="37">
        <v>0</v>
      </c>
      <c r="Q222" s="37">
        <v>0</v>
      </c>
      <c r="R222" s="37">
        <v>0</v>
      </c>
      <c r="S222" s="37">
        <v>0</v>
      </c>
    </row>
    <row r="223" spans="2:20" s="78" customFormat="1" ht="15" customHeight="1">
      <c r="B223" s="53"/>
      <c r="C223" s="253">
        <v>1</v>
      </c>
      <c r="D223" s="132" t="s">
        <v>116</v>
      </c>
      <c r="E223" s="216" t="s">
        <v>61</v>
      </c>
      <c r="F223" s="20">
        <v>3500</v>
      </c>
      <c r="G223" s="21">
        <f t="shared" si="150"/>
        <v>3500</v>
      </c>
      <c r="H223" s="21">
        <v>0</v>
      </c>
      <c r="I223" s="21">
        <v>0</v>
      </c>
      <c r="J223" s="21">
        <v>3500</v>
      </c>
      <c r="K223" s="37">
        <v>0</v>
      </c>
      <c r="L223" s="37">
        <v>0</v>
      </c>
      <c r="M223" s="37">
        <v>0</v>
      </c>
      <c r="N223" s="37">
        <v>0</v>
      </c>
      <c r="O223" s="37">
        <v>0</v>
      </c>
      <c r="P223" s="37">
        <v>0</v>
      </c>
      <c r="Q223" s="37">
        <v>0</v>
      </c>
      <c r="R223" s="37">
        <v>0</v>
      </c>
      <c r="S223" s="37">
        <v>0</v>
      </c>
    </row>
    <row r="224" spans="2:20">
      <c r="B224" s="45"/>
      <c r="C224" s="195"/>
      <c r="D224" s="164"/>
      <c r="E224" s="275" t="s">
        <v>24</v>
      </c>
      <c r="F224" s="276"/>
      <c r="G224" s="37">
        <f>264000-SUM(G214:G223)</f>
        <v>112644.01</v>
      </c>
      <c r="H224" s="44"/>
      <c r="I224" s="44"/>
      <c r="J224" s="44"/>
      <c r="K224" s="44"/>
      <c r="L224" s="75"/>
      <c r="M224" s="47"/>
      <c r="N224" s="44"/>
      <c r="O224" s="44"/>
      <c r="P224" s="44"/>
      <c r="Q224" s="44"/>
      <c r="R224" s="44"/>
      <c r="S224" s="44"/>
    </row>
    <row r="225" spans="2:20" s="64" customFormat="1" ht="29.25">
      <c r="B225" s="68" t="s">
        <v>86</v>
      </c>
      <c r="C225" s="198">
        <f>SUM(C227:C227)</f>
        <v>1</v>
      </c>
      <c r="D225" s="160"/>
      <c r="E225" s="224"/>
      <c r="F225" s="72"/>
      <c r="G225" s="71">
        <f>SUM(G227:G227)</f>
        <v>29354.84</v>
      </c>
      <c r="H225" s="71">
        <f>SUM(H227)</f>
        <v>9354.84</v>
      </c>
      <c r="I225" s="71">
        <f>SUM(I227)</f>
        <v>10000</v>
      </c>
      <c r="J225" s="71">
        <f>SUM(J227)</f>
        <v>10000</v>
      </c>
      <c r="K225" s="71">
        <f t="shared" ref="K225:S225" si="151">SUM(K227)</f>
        <v>0</v>
      </c>
      <c r="L225" s="71">
        <f t="shared" si="151"/>
        <v>0</v>
      </c>
      <c r="M225" s="71">
        <f t="shared" si="151"/>
        <v>0</v>
      </c>
      <c r="N225" s="71">
        <f t="shared" si="151"/>
        <v>0</v>
      </c>
      <c r="O225" s="71">
        <f t="shared" si="151"/>
        <v>0</v>
      </c>
      <c r="P225" s="71">
        <f t="shared" si="151"/>
        <v>0</v>
      </c>
      <c r="Q225" s="71">
        <f t="shared" si="151"/>
        <v>0</v>
      </c>
      <c r="R225" s="71">
        <f t="shared" si="151"/>
        <v>0</v>
      </c>
      <c r="S225" s="71">
        <f t="shared" si="151"/>
        <v>0</v>
      </c>
      <c r="T225" s="73"/>
    </row>
    <row r="226" spans="2:20" s="64" customFormat="1">
      <c r="B226" s="143"/>
      <c r="C226" s="198"/>
      <c r="D226" s="160"/>
      <c r="E226" s="224"/>
      <c r="F226"/>
      <c r="G226" s="140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3"/>
    </row>
    <row r="227" spans="2:20" s="78" customFormat="1" ht="15" customHeight="1">
      <c r="B227" s="124"/>
      <c r="C227" s="19">
        <v>1</v>
      </c>
      <c r="D227" s="132" t="s">
        <v>59</v>
      </c>
      <c r="E227" s="216" t="s">
        <v>62</v>
      </c>
      <c r="F227" s="21">
        <v>10000</v>
      </c>
      <c r="G227" s="21">
        <f>SUM(H227:S227)</f>
        <v>29354.84</v>
      </c>
      <c r="H227" s="21">
        <f t="shared" ref="H227" si="152">+F227*C227/31*29</f>
        <v>9354.84</v>
      </c>
      <c r="I227" s="21">
        <f t="shared" ref="I227" si="153">+F227*C227</f>
        <v>10000</v>
      </c>
      <c r="J227" s="37">
        <f t="shared" ref="J227" si="154">+F227*C227</f>
        <v>10000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</row>
    <row r="228" spans="2:20">
      <c r="B228" s="45"/>
      <c r="C228" s="199"/>
      <c r="D228" s="164"/>
      <c r="E228" s="275" t="s">
        <v>24</v>
      </c>
      <c r="F228" s="276"/>
      <c r="G228" s="37">
        <f>120000-SUM(G227:G227)</f>
        <v>90645.16</v>
      </c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</row>
    <row r="229" spans="2:20" ht="26.25" customHeight="1">
      <c r="B229" s="248"/>
      <c r="C229" s="200"/>
      <c r="D229" s="165"/>
      <c r="E229" s="226"/>
      <c r="F229" s="102"/>
      <c r="G229" s="88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95"/>
      <c r="T229" s="74"/>
    </row>
    <row r="230" spans="2:20">
      <c r="B230" s="272" t="s">
        <v>30</v>
      </c>
      <c r="C230" s="201"/>
      <c r="D230" s="166"/>
      <c r="E230" s="227"/>
      <c r="F230" s="97" t="s">
        <v>23</v>
      </c>
      <c r="G230" s="80">
        <f>G231+G232</f>
        <v>546000</v>
      </c>
      <c r="H230" s="104"/>
      <c r="I230" s="104"/>
      <c r="J230" s="104"/>
      <c r="K230" s="104"/>
      <c r="L230" s="104"/>
      <c r="M230" s="105"/>
      <c r="N230" s="104"/>
      <c r="O230" s="104"/>
      <c r="P230" s="104"/>
      <c r="Q230" s="104"/>
      <c r="R230" s="104"/>
      <c r="S230" s="84"/>
    </row>
    <row r="231" spans="2:20">
      <c r="B231" s="272"/>
      <c r="C231" s="202"/>
      <c r="D231" s="163"/>
      <c r="E231" s="228"/>
      <c r="F231" s="82" t="s">
        <v>50</v>
      </c>
      <c r="G231" s="80">
        <f>G233</f>
        <v>73387.100000000006</v>
      </c>
      <c r="H231" s="44"/>
      <c r="I231" s="44"/>
      <c r="J231" s="44"/>
      <c r="K231" s="44"/>
      <c r="L231" s="44"/>
      <c r="M231" s="47"/>
      <c r="N231" s="44"/>
      <c r="O231" s="44"/>
      <c r="P231" s="44"/>
      <c r="Q231" s="44"/>
      <c r="R231" s="44"/>
      <c r="S231" s="7"/>
    </row>
    <row r="232" spans="2:20" ht="30">
      <c r="B232" s="272"/>
      <c r="C232" s="79"/>
      <c r="D232" s="147"/>
      <c r="E232" s="218"/>
      <c r="F232" s="82" t="s">
        <v>24</v>
      </c>
      <c r="G232" s="80">
        <f>G237</f>
        <v>472612.9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2:20" ht="29.25" thickBot="1">
      <c r="B233" s="106" t="s">
        <v>87</v>
      </c>
      <c r="C233" s="6">
        <f>SUM(C234:C236)</f>
        <v>3</v>
      </c>
      <c r="D233" s="147"/>
      <c r="E233" s="212"/>
      <c r="F233" s="7"/>
      <c r="G233" s="12">
        <f>SUM(G234:G236)</f>
        <v>73387.100000000006</v>
      </c>
      <c r="H233" s="10">
        <f t="shared" ref="H233:S233" si="155">SUM(H234:H237)</f>
        <v>23387.1</v>
      </c>
      <c r="I233" s="10">
        <f t="shared" si="155"/>
        <v>25000</v>
      </c>
      <c r="J233" s="10">
        <f t="shared" si="155"/>
        <v>25000</v>
      </c>
      <c r="K233" s="10">
        <f t="shared" si="155"/>
        <v>0</v>
      </c>
      <c r="L233" s="10">
        <f t="shared" si="155"/>
        <v>0</v>
      </c>
      <c r="M233" s="10">
        <f t="shared" si="155"/>
        <v>0</v>
      </c>
      <c r="N233" s="10">
        <f t="shared" si="155"/>
        <v>0</v>
      </c>
      <c r="O233" s="10">
        <f t="shared" si="155"/>
        <v>0</v>
      </c>
      <c r="P233" s="10">
        <f t="shared" si="155"/>
        <v>0</v>
      </c>
      <c r="Q233" s="10">
        <f t="shared" si="155"/>
        <v>0</v>
      </c>
      <c r="R233" s="10">
        <f t="shared" si="155"/>
        <v>0</v>
      </c>
      <c r="S233" s="10">
        <f t="shared" si="155"/>
        <v>0</v>
      </c>
      <c r="T233" s="61"/>
    </row>
    <row r="234" spans="2:20" s="78" customFormat="1" ht="15" customHeight="1" thickTop="1">
      <c r="B234" s="53"/>
      <c r="C234" s="19">
        <v>1</v>
      </c>
      <c r="D234" s="132" t="s">
        <v>59</v>
      </c>
      <c r="E234" s="216" t="s">
        <v>62</v>
      </c>
      <c r="F234" s="20">
        <v>10000</v>
      </c>
      <c r="G234" s="21">
        <f t="shared" ref="G234:G236" si="156">SUM(H234:S234)</f>
        <v>29354.84</v>
      </c>
      <c r="H234" s="21">
        <f t="shared" ref="H234:H236" si="157">+F234*C234/31*29</f>
        <v>9354.84</v>
      </c>
      <c r="I234" s="21">
        <f t="shared" ref="I234:I236" si="158">+F234*C234</f>
        <v>10000</v>
      </c>
      <c r="J234" s="37">
        <f t="shared" ref="J234:J236" si="159">+F234*C234</f>
        <v>10000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</row>
    <row r="235" spans="2:20" s="78" customFormat="1" ht="15" customHeight="1">
      <c r="B235" s="137"/>
      <c r="C235" s="19">
        <v>1</v>
      </c>
      <c r="D235" s="132" t="s">
        <v>59</v>
      </c>
      <c r="E235" s="216" t="s">
        <v>62</v>
      </c>
      <c r="F235" s="20">
        <v>8000</v>
      </c>
      <c r="G235" s="21">
        <f t="shared" si="156"/>
        <v>23483.87</v>
      </c>
      <c r="H235" s="21">
        <f t="shared" si="157"/>
        <v>7483.87</v>
      </c>
      <c r="I235" s="21">
        <f t="shared" si="158"/>
        <v>8000</v>
      </c>
      <c r="J235" s="37">
        <f t="shared" si="159"/>
        <v>8000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</row>
    <row r="236" spans="2:20" s="78" customFormat="1" ht="15" customHeight="1">
      <c r="B236" s="137"/>
      <c r="C236" s="19">
        <v>1</v>
      </c>
      <c r="D236" s="132" t="s">
        <v>59</v>
      </c>
      <c r="E236" s="216" t="s">
        <v>61</v>
      </c>
      <c r="F236" s="20">
        <v>7000</v>
      </c>
      <c r="G236" s="21">
        <f t="shared" si="156"/>
        <v>20548.39</v>
      </c>
      <c r="H236" s="21">
        <f t="shared" si="157"/>
        <v>6548.39</v>
      </c>
      <c r="I236" s="21">
        <f t="shared" si="158"/>
        <v>7000</v>
      </c>
      <c r="J236" s="37">
        <f t="shared" si="159"/>
        <v>7000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</row>
    <row r="237" spans="2:20">
      <c r="B237" s="13"/>
      <c r="C237" s="19"/>
      <c r="D237" s="132"/>
      <c r="E237" s="277" t="s">
        <v>24</v>
      </c>
      <c r="F237" s="278"/>
      <c r="G237" s="21">
        <f>546000-SUM(G234:G236)</f>
        <v>472612.9</v>
      </c>
      <c r="H237" s="21"/>
      <c r="I237" s="21"/>
      <c r="J237" s="37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2:20" s="74" customFormat="1">
      <c r="B238" s="247"/>
      <c r="C238" s="98"/>
      <c r="D238" s="151"/>
      <c r="E238" s="226"/>
      <c r="F238" s="102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250"/>
    </row>
    <row r="239" spans="2:20" s="74" customFormat="1">
      <c r="B239" s="273" t="s">
        <v>56</v>
      </c>
      <c r="C239" s="203"/>
      <c r="D239" s="166"/>
      <c r="E239" s="227"/>
      <c r="F239" s="97" t="s">
        <v>23</v>
      </c>
      <c r="G239" s="80">
        <f>G240+G241</f>
        <v>1986000</v>
      </c>
      <c r="H239" s="104"/>
      <c r="I239" s="104"/>
      <c r="J239" s="104"/>
      <c r="K239" s="104"/>
      <c r="L239" s="104"/>
      <c r="M239" s="105"/>
      <c r="N239" s="104"/>
      <c r="O239" s="104"/>
      <c r="P239" s="104"/>
      <c r="Q239" s="104"/>
      <c r="R239" s="104"/>
      <c r="S239" s="84"/>
    </row>
    <row r="240" spans="2:20" s="74" customFormat="1">
      <c r="B240" s="274"/>
      <c r="C240" s="204"/>
      <c r="D240" s="163"/>
      <c r="E240" s="228"/>
      <c r="F240" s="82" t="s">
        <v>50</v>
      </c>
      <c r="G240" s="80">
        <f>G242</f>
        <v>550940.09</v>
      </c>
      <c r="H240" s="44"/>
      <c r="I240" s="44"/>
      <c r="J240" s="44"/>
      <c r="K240" s="44"/>
      <c r="L240" s="44"/>
      <c r="M240" s="47"/>
      <c r="N240" s="44"/>
      <c r="O240" s="44"/>
      <c r="P240" s="44"/>
      <c r="Q240" s="44"/>
      <c r="R240" s="44"/>
      <c r="S240" s="7"/>
    </row>
    <row r="241" spans="2:20" ht="30">
      <c r="B241" s="274"/>
      <c r="C241" s="135"/>
      <c r="D241" s="147"/>
      <c r="E241" s="218"/>
      <c r="F241" s="82" t="s">
        <v>24</v>
      </c>
      <c r="G241" s="80">
        <f>G271</f>
        <v>1435059.91</v>
      </c>
      <c r="H241" s="7"/>
      <c r="I241" s="7"/>
      <c r="J241" s="7"/>
      <c r="K241" s="7"/>
      <c r="L241" s="7"/>
      <c r="M241" s="7"/>
      <c r="N241" s="7"/>
      <c r="O241" s="7"/>
      <c r="P241" s="7"/>
      <c r="R241" s="7"/>
      <c r="S241" s="7"/>
    </row>
    <row r="242" spans="2:20" ht="29.25">
      <c r="B242" s="144" t="s">
        <v>88</v>
      </c>
      <c r="C242" s="135">
        <f>SUM(C243:C270)</f>
        <v>27</v>
      </c>
      <c r="D242" s="147"/>
      <c r="E242" s="212"/>
      <c r="F242" s="7"/>
      <c r="G242" s="31">
        <f t="shared" ref="G242:M242" si="160">SUM(G243:G270)</f>
        <v>550940.09</v>
      </c>
      <c r="H242" s="31">
        <f t="shared" si="160"/>
        <v>170725.8</v>
      </c>
      <c r="I242" s="31">
        <f t="shared" si="160"/>
        <v>182500</v>
      </c>
      <c r="J242" s="31">
        <f t="shared" si="160"/>
        <v>197714.29</v>
      </c>
      <c r="K242" s="31">
        <f t="shared" si="160"/>
        <v>0</v>
      </c>
      <c r="L242" s="31">
        <f t="shared" si="160"/>
        <v>0</v>
      </c>
      <c r="M242" s="31">
        <f t="shared" si="160"/>
        <v>0</v>
      </c>
      <c r="N242" s="31">
        <f t="shared" ref="N242:S242" si="161">SUM(N243:N270)</f>
        <v>0</v>
      </c>
      <c r="O242" s="31">
        <f t="shared" si="161"/>
        <v>0</v>
      </c>
      <c r="P242" s="31">
        <f t="shared" si="161"/>
        <v>0</v>
      </c>
      <c r="Q242" s="31">
        <f t="shared" si="161"/>
        <v>0</v>
      </c>
      <c r="R242" s="31">
        <f t="shared" si="161"/>
        <v>0</v>
      </c>
      <c r="S242" s="31">
        <f t="shared" si="161"/>
        <v>0</v>
      </c>
      <c r="T242" s="61"/>
    </row>
    <row r="243" spans="2:20" s="78" customFormat="1" ht="13.5" customHeight="1">
      <c r="B243" s="53"/>
      <c r="C243" s="195">
        <v>1</v>
      </c>
      <c r="D243" s="132" t="s">
        <v>59</v>
      </c>
      <c r="E243" s="216" t="s">
        <v>62</v>
      </c>
      <c r="F243" s="20">
        <v>20000</v>
      </c>
      <c r="G243" s="21">
        <f t="shared" ref="G243:G270" si="162">SUM(H243:S243)</f>
        <v>58709.68</v>
      </c>
      <c r="H243" s="21">
        <f t="shared" ref="H243:H269" si="163">+F243*C243/31*29</f>
        <v>18709.68</v>
      </c>
      <c r="I243" s="21">
        <f t="shared" ref="I243:I269" si="164">+F243*C243</f>
        <v>20000</v>
      </c>
      <c r="J243" s="37">
        <f t="shared" ref="J243:J270" si="165">+F243*C243</f>
        <v>20000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</row>
    <row r="244" spans="2:20" s="78" customFormat="1" ht="13.5" customHeight="1">
      <c r="B244" s="53"/>
      <c r="C244" s="195">
        <v>1</v>
      </c>
      <c r="D244" s="132" t="s">
        <v>59</v>
      </c>
      <c r="E244" s="216" t="s">
        <v>61</v>
      </c>
      <c r="F244" s="20">
        <v>10000</v>
      </c>
      <c r="G244" s="21">
        <f t="shared" si="162"/>
        <v>29354.84</v>
      </c>
      <c r="H244" s="21">
        <f t="shared" si="163"/>
        <v>9354.84</v>
      </c>
      <c r="I244" s="21">
        <f t="shared" si="164"/>
        <v>10000</v>
      </c>
      <c r="J244" s="37">
        <f t="shared" si="165"/>
        <v>10000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</row>
    <row r="245" spans="2:20" s="78" customFormat="1" ht="13.5" customHeight="1">
      <c r="B245" s="53"/>
      <c r="C245" s="195">
        <v>1</v>
      </c>
      <c r="D245" s="132" t="s">
        <v>59</v>
      </c>
      <c r="E245" s="216" t="s">
        <v>61</v>
      </c>
      <c r="F245" s="20">
        <v>9000</v>
      </c>
      <c r="G245" s="21">
        <f t="shared" si="162"/>
        <v>26419.35</v>
      </c>
      <c r="H245" s="21">
        <f t="shared" si="163"/>
        <v>8419.35</v>
      </c>
      <c r="I245" s="21">
        <f t="shared" si="164"/>
        <v>9000</v>
      </c>
      <c r="J245" s="37">
        <f t="shared" si="165"/>
        <v>9000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</row>
    <row r="246" spans="2:20" s="78" customFormat="1" ht="13.5" customHeight="1">
      <c r="B246" s="53"/>
      <c r="C246" s="195">
        <v>1</v>
      </c>
      <c r="D246" s="132" t="s">
        <v>59</v>
      </c>
      <c r="E246" s="216" t="s">
        <v>62</v>
      </c>
      <c r="F246" s="20">
        <v>8000</v>
      </c>
      <c r="G246" s="21">
        <f t="shared" si="162"/>
        <v>23483.87</v>
      </c>
      <c r="H246" s="21">
        <f t="shared" si="163"/>
        <v>7483.87</v>
      </c>
      <c r="I246" s="21">
        <f t="shared" si="164"/>
        <v>8000</v>
      </c>
      <c r="J246" s="37">
        <f t="shared" si="165"/>
        <v>8000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</row>
    <row r="247" spans="2:20" s="78" customFormat="1" ht="13.5" customHeight="1">
      <c r="B247" s="53"/>
      <c r="C247" s="195">
        <v>1</v>
      </c>
      <c r="D247" s="132" t="s">
        <v>59</v>
      </c>
      <c r="E247" s="216" t="s">
        <v>61</v>
      </c>
      <c r="F247" s="20">
        <v>8000</v>
      </c>
      <c r="G247" s="21">
        <f t="shared" si="162"/>
        <v>23483.87</v>
      </c>
      <c r="H247" s="21">
        <f t="shared" si="163"/>
        <v>7483.87</v>
      </c>
      <c r="I247" s="21">
        <f t="shared" si="164"/>
        <v>8000</v>
      </c>
      <c r="J247" s="37">
        <f t="shared" si="165"/>
        <v>8000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</row>
    <row r="248" spans="2:20" s="78" customFormat="1" ht="13.5" customHeight="1">
      <c r="B248" s="53"/>
      <c r="C248" s="195">
        <v>1</v>
      </c>
      <c r="D248" s="132" t="s">
        <v>59</v>
      </c>
      <c r="E248" s="216" t="s">
        <v>61</v>
      </c>
      <c r="F248" s="20">
        <v>8000</v>
      </c>
      <c r="G248" s="21">
        <f t="shared" ref="G248:G249" si="166">SUM(H248:S248)</f>
        <v>23483.87</v>
      </c>
      <c r="H248" s="21">
        <f t="shared" ref="H248" si="167">+F248*C248/31*29</f>
        <v>7483.87</v>
      </c>
      <c r="I248" s="21">
        <f t="shared" ref="I248" si="168">+F248*C248</f>
        <v>8000</v>
      </c>
      <c r="J248" s="37">
        <f t="shared" ref="J248" si="169">+F248*C248</f>
        <v>8000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</row>
    <row r="249" spans="2:20" s="78" customFormat="1" ht="15" customHeight="1">
      <c r="B249" s="53"/>
      <c r="C249" s="253">
        <v>1</v>
      </c>
      <c r="D249" s="132" t="s">
        <v>111</v>
      </c>
      <c r="E249" s="216" t="s">
        <v>62</v>
      </c>
      <c r="F249" s="20">
        <v>8000</v>
      </c>
      <c r="G249" s="21">
        <f t="shared" si="166"/>
        <v>11714.29</v>
      </c>
      <c r="H249" s="21">
        <v>0</v>
      </c>
      <c r="I249" s="21">
        <v>0</v>
      </c>
      <c r="J249" s="21">
        <f>285.714285714286*13+8000</f>
        <v>11714.29</v>
      </c>
      <c r="K249" s="37">
        <v>0</v>
      </c>
      <c r="L249" s="37">
        <v>0</v>
      </c>
      <c r="M249" s="37">
        <v>0</v>
      </c>
      <c r="N249" s="37">
        <v>0</v>
      </c>
      <c r="O249" s="37">
        <v>0</v>
      </c>
      <c r="P249" s="37">
        <v>0</v>
      </c>
      <c r="Q249" s="37">
        <v>0</v>
      </c>
      <c r="R249" s="37">
        <v>0</v>
      </c>
      <c r="S249" s="37">
        <v>0</v>
      </c>
    </row>
    <row r="250" spans="2:20" s="78" customFormat="1" ht="13.5" customHeight="1">
      <c r="B250" s="53"/>
      <c r="C250" s="195">
        <v>1</v>
      </c>
      <c r="D250" s="132" t="s">
        <v>59</v>
      </c>
      <c r="E250" s="216" t="s">
        <v>61</v>
      </c>
      <c r="F250" s="20">
        <v>7000</v>
      </c>
      <c r="G250" s="21">
        <f t="shared" si="162"/>
        <v>20548.39</v>
      </c>
      <c r="H250" s="21">
        <f t="shared" si="163"/>
        <v>6548.39</v>
      </c>
      <c r="I250" s="21">
        <f t="shared" si="164"/>
        <v>7000</v>
      </c>
      <c r="J250" s="37">
        <f t="shared" si="165"/>
        <v>7000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</row>
    <row r="251" spans="2:20" s="78" customFormat="1" ht="13.5" customHeight="1">
      <c r="B251" s="53"/>
      <c r="C251" s="195">
        <v>1</v>
      </c>
      <c r="D251" s="132" t="s">
        <v>59</v>
      </c>
      <c r="E251" s="216" t="s">
        <v>61</v>
      </c>
      <c r="F251" s="20">
        <v>7000</v>
      </c>
      <c r="G251" s="21">
        <f t="shared" ref="G251:G257" si="170">SUM(H251:S251)</f>
        <v>20548.39</v>
      </c>
      <c r="H251" s="21">
        <f t="shared" ref="H251:H257" si="171">+F251*C251/31*29</f>
        <v>6548.39</v>
      </c>
      <c r="I251" s="21">
        <f t="shared" ref="I251:I257" si="172">+F251*C251</f>
        <v>7000</v>
      </c>
      <c r="J251" s="37">
        <f t="shared" ref="J251:J257" si="173">+F251*C251</f>
        <v>7000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</row>
    <row r="252" spans="2:20" s="78" customFormat="1" ht="13.5" customHeight="1">
      <c r="B252" s="53"/>
      <c r="C252" s="195">
        <v>1</v>
      </c>
      <c r="D252" s="132" t="s">
        <v>59</v>
      </c>
      <c r="E252" s="216" t="s">
        <v>61</v>
      </c>
      <c r="F252" s="20">
        <v>7000</v>
      </c>
      <c r="G252" s="21">
        <f t="shared" si="170"/>
        <v>20548.39</v>
      </c>
      <c r="H252" s="21">
        <f t="shared" si="171"/>
        <v>6548.39</v>
      </c>
      <c r="I252" s="21">
        <f t="shared" si="172"/>
        <v>7000</v>
      </c>
      <c r="J252" s="37">
        <f t="shared" si="173"/>
        <v>7000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</row>
    <row r="253" spans="2:20" s="78" customFormat="1" ht="13.5" customHeight="1">
      <c r="B253" s="53"/>
      <c r="C253" s="195">
        <v>1</v>
      </c>
      <c r="D253" s="132" t="s">
        <v>59</v>
      </c>
      <c r="E253" s="216" t="s">
        <v>61</v>
      </c>
      <c r="F253" s="20">
        <v>7000</v>
      </c>
      <c r="G253" s="21">
        <f t="shared" si="170"/>
        <v>20548.39</v>
      </c>
      <c r="H253" s="21">
        <f t="shared" si="171"/>
        <v>6548.39</v>
      </c>
      <c r="I253" s="21">
        <f t="shared" si="172"/>
        <v>7000</v>
      </c>
      <c r="J253" s="37">
        <f t="shared" si="173"/>
        <v>7000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</row>
    <row r="254" spans="2:20" s="78" customFormat="1" ht="13.5" customHeight="1">
      <c r="B254" s="53"/>
      <c r="C254" s="195">
        <v>1</v>
      </c>
      <c r="D254" s="132" t="s">
        <v>59</v>
      </c>
      <c r="E254" s="216" t="s">
        <v>61</v>
      </c>
      <c r="F254" s="20">
        <v>7000</v>
      </c>
      <c r="G254" s="21">
        <f t="shared" si="170"/>
        <v>20548.39</v>
      </c>
      <c r="H254" s="21">
        <f t="shared" si="171"/>
        <v>6548.39</v>
      </c>
      <c r="I254" s="21">
        <f t="shared" si="172"/>
        <v>7000</v>
      </c>
      <c r="J254" s="37">
        <f t="shared" si="173"/>
        <v>7000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</row>
    <row r="255" spans="2:20" s="78" customFormat="1" ht="13.5" customHeight="1">
      <c r="B255" s="53"/>
      <c r="C255" s="195">
        <v>1</v>
      </c>
      <c r="D255" s="132" t="s">
        <v>59</v>
      </c>
      <c r="E255" s="216" t="s">
        <v>61</v>
      </c>
      <c r="F255" s="20">
        <v>7000</v>
      </c>
      <c r="G255" s="21">
        <f t="shared" si="170"/>
        <v>20548.39</v>
      </c>
      <c r="H255" s="21">
        <f t="shared" si="171"/>
        <v>6548.39</v>
      </c>
      <c r="I255" s="21">
        <f t="shared" si="172"/>
        <v>7000</v>
      </c>
      <c r="J255" s="37">
        <f t="shared" si="173"/>
        <v>7000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</row>
    <row r="256" spans="2:20" s="78" customFormat="1" ht="13.5" customHeight="1">
      <c r="B256" s="53"/>
      <c r="C256" s="195">
        <v>1</v>
      </c>
      <c r="D256" s="132" t="s">
        <v>59</v>
      </c>
      <c r="E256" s="216" t="s">
        <v>61</v>
      </c>
      <c r="F256" s="20">
        <v>7000</v>
      </c>
      <c r="G256" s="21">
        <f t="shared" si="170"/>
        <v>20548.39</v>
      </c>
      <c r="H256" s="21">
        <f t="shared" si="171"/>
        <v>6548.39</v>
      </c>
      <c r="I256" s="21">
        <f t="shared" si="172"/>
        <v>7000</v>
      </c>
      <c r="J256" s="37">
        <f t="shared" si="173"/>
        <v>7000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v>0</v>
      </c>
    </row>
    <row r="257" spans="2:19" s="78" customFormat="1" ht="13.5" customHeight="1">
      <c r="B257" s="53"/>
      <c r="C257" s="195">
        <v>1</v>
      </c>
      <c r="D257" s="132" t="s">
        <v>59</v>
      </c>
      <c r="E257" s="216" t="s">
        <v>61</v>
      </c>
      <c r="F257" s="20">
        <v>7000</v>
      </c>
      <c r="G257" s="21">
        <f t="shared" si="170"/>
        <v>20548.39</v>
      </c>
      <c r="H257" s="21">
        <f t="shared" si="171"/>
        <v>6548.39</v>
      </c>
      <c r="I257" s="21">
        <f t="shared" si="172"/>
        <v>7000</v>
      </c>
      <c r="J257" s="37">
        <f t="shared" si="173"/>
        <v>7000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</row>
    <row r="258" spans="2:19" s="78" customFormat="1" ht="13.5" customHeight="1">
      <c r="B258" s="53"/>
      <c r="C258" s="195">
        <v>1</v>
      </c>
      <c r="D258" s="132" t="s">
        <v>59</v>
      </c>
      <c r="E258" s="216" t="s">
        <v>61</v>
      </c>
      <c r="F258" s="20">
        <v>6000</v>
      </c>
      <c r="G258" s="21">
        <f t="shared" si="162"/>
        <v>17612.900000000001</v>
      </c>
      <c r="H258" s="21">
        <f t="shared" si="163"/>
        <v>5612.9</v>
      </c>
      <c r="I258" s="21">
        <f t="shared" si="164"/>
        <v>6000</v>
      </c>
      <c r="J258" s="37">
        <f t="shared" si="165"/>
        <v>6000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</row>
    <row r="259" spans="2:19" s="78" customFormat="1" ht="13.5" customHeight="1">
      <c r="B259" s="53"/>
      <c r="C259" s="195">
        <v>1</v>
      </c>
      <c r="D259" s="132" t="s">
        <v>59</v>
      </c>
      <c r="E259" s="216" t="s">
        <v>61</v>
      </c>
      <c r="F259" s="20">
        <v>6000</v>
      </c>
      <c r="G259" s="21">
        <f t="shared" ref="G259:G265" si="174">SUM(H259:S259)</f>
        <v>17612.900000000001</v>
      </c>
      <c r="H259" s="21">
        <f t="shared" ref="H259:H265" si="175">+F259*C259/31*29</f>
        <v>5612.9</v>
      </c>
      <c r="I259" s="21">
        <f t="shared" ref="I259:I265" si="176">+F259*C259</f>
        <v>6000</v>
      </c>
      <c r="J259" s="37">
        <f t="shared" ref="J259:J265" si="177">+F259*C259</f>
        <v>6000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</row>
    <row r="260" spans="2:19" s="78" customFormat="1" ht="13.5" customHeight="1">
      <c r="B260" s="53"/>
      <c r="C260" s="195">
        <v>1</v>
      </c>
      <c r="D260" s="132" t="s">
        <v>59</v>
      </c>
      <c r="E260" s="216" t="s">
        <v>61</v>
      </c>
      <c r="F260" s="20">
        <v>6000</v>
      </c>
      <c r="G260" s="21">
        <f t="shared" si="174"/>
        <v>17612.900000000001</v>
      </c>
      <c r="H260" s="21">
        <f t="shared" si="175"/>
        <v>5612.9</v>
      </c>
      <c r="I260" s="21">
        <f t="shared" si="176"/>
        <v>6000</v>
      </c>
      <c r="J260" s="37">
        <f t="shared" si="177"/>
        <v>6000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</row>
    <row r="261" spans="2:19" s="78" customFormat="1" ht="13.5" customHeight="1">
      <c r="B261" s="53"/>
      <c r="C261" s="195">
        <v>1</v>
      </c>
      <c r="D261" s="132" t="s">
        <v>59</v>
      </c>
      <c r="E261" s="216" t="s">
        <v>62</v>
      </c>
      <c r="F261" s="20">
        <v>6000</v>
      </c>
      <c r="G261" s="21">
        <f t="shared" si="174"/>
        <v>17612.900000000001</v>
      </c>
      <c r="H261" s="21">
        <f t="shared" si="175"/>
        <v>5612.9</v>
      </c>
      <c r="I261" s="21">
        <f t="shared" si="176"/>
        <v>6000</v>
      </c>
      <c r="J261" s="37">
        <f t="shared" si="177"/>
        <v>6000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</row>
    <row r="262" spans="2:19" s="78" customFormat="1" ht="13.5" customHeight="1">
      <c r="B262" s="53"/>
      <c r="C262" s="195">
        <v>1</v>
      </c>
      <c r="D262" s="132" t="s">
        <v>59</v>
      </c>
      <c r="E262" s="216" t="s">
        <v>61</v>
      </c>
      <c r="F262" s="20">
        <v>6000</v>
      </c>
      <c r="G262" s="21">
        <f t="shared" si="174"/>
        <v>17612.900000000001</v>
      </c>
      <c r="H262" s="21">
        <f t="shared" si="175"/>
        <v>5612.9</v>
      </c>
      <c r="I262" s="21">
        <f t="shared" si="176"/>
        <v>6000</v>
      </c>
      <c r="J262" s="37">
        <f t="shared" si="177"/>
        <v>6000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</row>
    <row r="263" spans="2:19" s="78" customFormat="1" ht="13.5" customHeight="1">
      <c r="B263" s="53"/>
      <c r="C263" s="195">
        <v>1</v>
      </c>
      <c r="D263" s="132" t="s">
        <v>59</v>
      </c>
      <c r="E263" s="216" t="s">
        <v>61</v>
      </c>
      <c r="F263" s="20">
        <v>6000</v>
      </c>
      <c r="G263" s="21">
        <f t="shared" si="174"/>
        <v>17612.900000000001</v>
      </c>
      <c r="H263" s="21">
        <f t="shared" si="175"/>
        <v>5612.9</v>
      </c>
      <c r="I263" s="21">
        <f t="shared" si="176"/>
        <v>6000</v>
      </c>
      <c r="J263" s="37">
        <f t="shared" si="177"/>
        <v>6000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</row>
    <row r="264" spans="2:19" s="78" customFormat="1" ht="13.5" customHeight="1">
      <c r="B264" s="53"/>
      <c r="C264" s="195">
        <v>1</v>
      </c>
      <c r="D264" s="132" t="s">
        <v>59</v>
      </c>
      <c r="E264" s="216" t="s">
        <v>61</v>
      </c>
      <c r="F264" s="20">
        <v>6000</v>
      </c>
      <c r="G264" s="21">
        <f t="shared" si="174"/>
        <v>17612.900000000001</v>
      </c>
      <c r="H264" s="21">
        <f t="shared" si="175"/>
        <v>5612.9</v>
      </c>
      <c r="I264" s="21">
        <f t="shared" si="176"/>
        <v>6000</v>
      </c>
      <c r="J264" s="37">
        <f t="shared" si="177"/>
        <v>6000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</row>
    <row r="265" spans="2:19" s="78" customFormat="1" ht="13.5" customHeight="1">
      <c r="B265" s="53"/>
      <c r="C265" s="195">
        <v>1</v>
      </c>
      <c r="D265" s="132" t="s">
        <v>59</v>
      </c>
      <c r="E265" s="216" t="s">
        <v>61</v>
      </c>
      <c r="F265" s="20">
        <v>6000</v>
      </c>
      <c r="G265" s="21">
        <f t="shared" si="174"/>
        <v>17612.900000000001</v>
      </c>
      <c r="H265" s="21">
        <f t="shared" si="175"/>
        <v>5612.9</v>
      </c>
      <c r="I265" s="21">
        <f t="shared" si="176"/>
        <v>6000</v>
      </c>
      <c r="J265" s="37">
        <f t="shared" si="177"/>
        <v>6000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</row>
    <row r="266" spans="2:19" s="78" customFormat="1" ht="13.5" customHeight="1">
      <c r="B266" s="53"/>
      <c r="C266" s="195">
        <v>1</v>
      </c>
      <c r="D266" s="132" t="s">
        <v>59</v>
      </c>
      <c r="E266" s="216" t="s">
        <v>61</v>
      </c>
      <c r="F266" s="20">
        <v>6000</v>
      </c>
      <c r="G266" s="21">
        <f t="shared" si="162"/>
        <v>17612.900000000001</v>
      </c>
      <c r="H266" s="21">
        <f t="shared" si="163"/>
        <v>5612.9</v>
      </c>
      <c r="I266" s="21">
        <f t="shared" si="164"/>
        <v>6000</v>
      </c>
      <c r="J266" s="37">
        <f t="shared" si="165"/>
        <v>6000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</row>
    <row r="267" spans="2:19" s="78" customFormat="1" ht="13.5" customHeight="1">
      <c r="B267" s="53"/>
      <c r="C267" s="243">
        <v>0</v>
      </c>
      <c r="D267" s="132" t="s">
        <v>59</v>
      </c>
      <c r="E267" s="216" t="s">
        <v>61</v>
      </c>
      <c r="F267" s="20">
        <v>6000</v>
      </c>
      <c r="G267" s="21">
        <v>0</v>
      </c>
      <c r="H267" s="21">
        <v>0</v>
      </c>
      <c r="I267" s="21">
        <v>0</v>
      </c>
      <c r="J267" s="37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</row>
    <row r="268" spans="2:19" s="78" customFormat="1" ht="13.5" customHeight="1">
      <c r="B268" s="53"/>
      <c r="C268" s="195">
        <v>1</v>
      </c>
      <c r="D268" s="132" t="s">
        <v>59</v>
      </c>
      <c r="E268" s="216" t="s">
        <v>61</v>
      </c>
      <c r="F268" s="20">
        <v>5000</v>
      </c>
      <c r="G268" s="21">
        <f t="shared" si="162"/>
        <v>14677.42</v>
      </c>
      <c r="H268" s="21">
        <f t="shared" si="163"/>
        <v>4677.42</v>
      </c>
      <c r="I268" s="21">
        <f t="shared" si="164"/>
        <v>5000</v>
      </c>
      <c r="J268" s="37">
        <f t="shared" si="165"/>
        <v>5000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</row>
    <row r="269" spans="2:19" ht="13.5" customHeight="1">
      <c r="B269" s="13"/>
      <c r="C269" s="195">
        <v>1</v>
      </c>
      <c r="D269" s="132" t="s">
        <v>59</v>
      </c>
      <c r="E269" s="216" t="s">
        <v>61</v>
      </c>
      <c r="F269" s="20">
        <v>4500</v>
      </c>
      <c r="G269" s="21">
        <f t="shared" si="162"/>
        <v>13209.68</v>
      </c>
      <c r="H269" s="21">
        <f t="shared" si="163"/>
        <v>4209.68</v>
      </c>
      <c r="I269" s="21">
        <f t="shared" si="164"/>
        <v>4500</v>
      </c>
      <c r="J269" s="37">
        <f t="shared" si="165"/>
        <v>4500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  <c r="S269" s="21">
        <v>0</v>
      </c>
    </row>
    <row r="270" spans="2:19" s="78" customFormat="1" ht="15" customHeight="1">
      <c r="B270" s="53"/>
      <c r="C270" s="253">
        <v>1</v>
      </c>
      <c r="D270" s="132" t="s">
        <v>116</v>
      </c>
      <c r="E270" s="216" t="s">
        <v>61</v>
      </c>
      <c r="F270" s="20">
        <v>3500</v>
      </c>
      <c r="G270" s="21">
        <f t="shared" si="162"/>
        <v>3500</v>
      </c>
      <c r="H270" s="21">
        <v>0</v>
      </c>
      <c r="I270" s="21">
        <v>0</v>
      </c>
      <c r="J270" s="21">
        <f t="shared" si="165"/>
        <v>3500</v>
      </c>
      <c r="K270" s="37">
        <v>0</v>
      </c>
      <c r="L270" s="37">
        <v>0</v>
      </c>
      <c r="M270" s="37">
        <v>0</v>
      </c>
      <c r="N270" s="37">
        <v>0</v>
      </c>
      <c r="O270" s="37">
        <v>0</v>
      </c>
      <c r="P270" s="37">
        <v>0</v>
      </c>
      <c r="Q270" s="37">
        <v>0</v>
      </c>
      <c r="R270" s="37">
        <v>0</v>
      </c>
      <c r="S270" s="37">
        <v>0</v>
      </c>
    </row>
    <row r="271" spans="2:19">
      <c r="B271" s="13"/>
      <c r="C271" s="19"/>
      <c r="D271" s="150"/>
      <c r="E271" s="275" t="s">
        <v>24</v>
      </c>
      <c r="F271" s="276"/>
      <c r="G271" s="37">
        <f>1986000-SUM(G243:G270)</f>
        <v>1435059.91</v>
      </c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</row>
    <row r="272" spans="2:19" s="74" customFormat="1">
      <c r="B272" s="247"/>
      <c r="C272" s="98"/>
      <c r="D272" s="151"/>
      <c r="E272" s="226"/>
      <c r="F272" s="102"/>
      <c r="G272" s="88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250"/>
    </row>
    <row r="273" spans="2:20">
      <c r="B273" s="273" t="s">
        <v>31</v>
      </c>
      <c r="C273" s="203"/>
      <c r="D273" s="166"/>
      <c r="E273" s="227"/>
      <c r="F273" s="97" t="s">
        <v>23</v>
      </c>
      <c r="G273" s="80">
        <f>G274+G275</f>
        <v>1146000</v>
      </c>
      <c r="H273" s="104"/>
      <c r="I273" s="104"/>
      <c r="J273" s="104"/>
      <c r="K273" s="104"/>
      <c r="L273" s="104"/>
      <c r="M273" s="105"/>
      <c r="N273" s="104"/>
      <c r="O273" s="104"/>
      <c r="P273" s="104"/>
      <c r="Q273" s="104"/>
      <c r="R273" s="104"/>
      <c r="S273" s="84"/>
    </row>
    <row r="274" spans="2:20">
      <c r="B274" s="274"/>
      <c r="C274" s="204"/>
      <c r="D274" s="163"/>
      <c r="E274" s="228"/>
      <c r="F274" s="82" t="s">
        <v>50</v>
      </c>
      <c r="G274" s="80">
        <f>G276</f>
        <v>262725.82</v>
      </c>
      <c r="H274" s="44"/>
      <c r="I274" s="44"/>
      <c r="J274" s="44"/>
      <c r="K274" s="44"/>
      <c r="L274" s="44"/>
      <c r="M274" s="47"/>
      <c r="N274" s="44"/>
      <c r="O274" s="44"/>
      <c r="P274" s="44"/>
      <c r="Q274" s="44"/>
      <c r="R274" s="44"/>
      <c r="S274" s="7"/>
    </row>
    <row r="275" spans="2:20" ht="30">
      <c r="B275" s="284"/>
      <c r="C275" s="135"/>
      <c r="D275" s="147"/>
      <c r="E275" s="218"/>
      <c r="F275" s="82" t="s">
        <v>24</v>
      </c>
      <c r="G275" s="80">
        <f>G287</f>
        <v>883274.18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2:20" ht="30" thickBot="1">
      <c r="B276" s="5" t="s">
        <v>89</v>
      </c>
      <c r="C276" s="127">
        <f>SUM(C277:C286)</f>
        <v>10</v>
      </c>
      <c r="D276" s="147"/>
      <c r="E276" s="212"/>
      <c r="F276" s="44"/>
      <c r="G276" s="12">
        <f t="shared" ref="G276:S276" si="178">SUBTOTAL(9,G277:G286)</f>
        <v>262725.82</v>
      </c>
      <c r="H276" s="10">
        <f t="shared" si="178"/>
        <v>83725.820000000007</v>
      </c>
      <c r="I276" s="10">
        <f t="shared" si="178"/>
        <v>89500</v>
      </c>
      <c r="J276" s="10">
        <f t="shared" si="178"/>
        <v>89500</v>
      </c>
      <c r="K276" s="10">
        <f t="shared" si="178"/>
        <v>0</v>
      </c>
      <c r="L276" s="10">
        <f t="shared" si="178"/>
        <v>0</v>
      </c>
      <c r="M276" s="10">
        <f t="shared" si="178"/>
        <v>0</v>
      </c>
      <c r="N276" s="10">
        <f t="shared" si="178"/>
        <v>0</v>
      </c>
      <c r="O276" s="10">
        <f t="shared" si="178"/>
        <v>0</v>
      </c>
      <c r="P276" s="10">
        <f t="shared" si="178"/>
        <v>0</v>
      </c>
      <c r="Q276" s="10">
        <f t="shared" si="178"/>
        <v>0</v>
      </c>
      <c r="R276" s="10">
        <f t="shared" si="178"/>
        <v>0</v>
      </c>
      <c r="S276" s="10">
        <f t="shared" si="178"/>
        <v>0</v>
      </c>
      <c r="T276" s="61"/>
    </row>
    <row r="277" spans="2:20" s="78" customFormat="1" ht="14.25" customHeight="1" thickTop="1">
      <c r="B277" s="53"/>
      <c r="C277" s="19">
        <v>1</v>
      </c>
      <c r="D277" s="132" t="s">
        <v>59</v>
      </c>
      <c r="E277" s="216" t="s">
        <v>62</v>
      </c>
      <c r="F277" s="20">
        <v>10000</v>
      </c>
      <c r="G277" s="21">
        <f t="shared" ref="G277:G286" si="179">SUM(H277:S277)</f>
        <v>29354.84</v>
      </c>
      <c r="H277" s="21">
        <f t="shared" ref="H277:H286" si="180">+F277*C277/31*29</f>
        <v>9354.84</v>
      </c>
      <c r="I277" s="21">
        <f t="shared" ref="I277:I286" si="181">+F277*C277</f>
        <v>10000</v>
      </c>
      <c r="J277" s="37">
        <f t="shared" ref="J277:J286" si="182">+F277*C277</f>
        <v>10000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</row>
    <row r="278" spans="2:20" s="78" customFormat="1" ht="14.25" customHeight="1">
      <c r="B278" s="53"/>
      <c r="C278" s="19">
        <v>1</v>
      </c>
      <c r="D278" s="132" t="s">
        <v>59</v>
      </c>
      <c r="E278" s="216" t="s">
        <v>62</v>
      </c>
      <c r="F278" s="20">
        <v>10000</v>
      </c>
      <c r="G278" s="21">
        <f t="shared" ref="G278:G282" si="183">SUM(H278:S278)</f>
        <v>29354.84</v>
      </c>
      <c r="H278" s="21">
        <f t="shared" ref="H278:H282" si="184">+F278*C278/31*29</f>
        <v>9354.84</v>
      </c>
      <c r="I278" s="21">
        <f t="shared" ref="I278:I282" si="185">+F278*C278</f>
        <v>10000</v>
      </c>
      <c r="J278" s="37">
        <f t="shared" ref="J278:J282" si="186">+F278*C278</f>
        <v>10000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</row>
    <row r="279" spans="2:20" s="78" customFormat="1" ht="14.25" customHeight="1">
      <c r="B279" s="53"/>
      <c r="C279" s="19">
        <v>1</v>
      </c>
      <c r="D279" s="132" t="s">
        <v>59</v>
      </c>
      <c r="E279" s="216" t="s">
        <v>62</v>
      </c>
      <c r="F279" s="20">
        <v>10000</v>
      </c>
      <c r="G279" s="21">
        <f t="shared" si="183"/>
        <v>29354.84</v>
      </c>
      <c r="H279" s="21">
        <f t="shared" si="184"/>
        <v>9354.84</v>
      </c>
      <c r="I279" s="21">
        <f t="shared" si="185"/>
        <v>10000</v>
      </c>
      <c r="J279" s="37">
        <f t="shared" si="186"/>
        <v>10000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0</v>
      </c>
    </row>
    <row r="280" spans="2:20" s="78" customFormat="1" ht="14.25" customHeight="1">
      <c r="B280" s="53"/>
      <c r="C280" s="19">
        <v>1</v>
      </c>
      <c r="D280" s="132" t="s">
        <v>59</v>
      </c>
      <c r="E280" s="216" t="s">
        <v>62</v>
      </c>
      <c r="F280" s="20">
        <v>10000</v>
      </c>
      <c r="G280" s="21">
        <f t="shared" si="183"/>
        <v>29354.84</v>
      </c>
      <c r="H280" s="21">
        <f t="shared" si="184"/>
        <v>9354.84</v>
      </c>
      <c r="I280" s="21">
        <f t="shared" si="185"/>
        <v>10000</v>
      </c>
      <c r="J280" s="37">
        <f t="shared" si="186"/>
        <v>10000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</row>
    <row r="281" spans="2:20" s="78" customFormat="1" ht="14.25" customHeight="1">
      <c r="B281" s="53"/>
      <c r="C281" s="19">
        <v>1</v>
      </c>
      <c r="D281" s="132" t="s">
        <v>59</v>
      </c>
      <c r="E281" s="216" t="s">
        <v>62</v>
      </c>
      <c r="F281" s="20">
        <v>10000</v>
      </c>
      <c r="G281" s="21">
        <f t="shared" si="183"/>
        <v>29354.84</v>
      </c>
      <c r="H281" s="21">
        <f t="shared" si="184"/>
        <v>9354.84</v>
      </c>
      <c r="I281" s="21">
        <f t="shared" si="185"/>
        <v>10000</v>
      </c>
      <c r="J281" s="37">
        <f t="shared" si="186"/>
        <v>10000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</row>
    <row r="282" spans="2:20" s="78" customFormat="1" ht="14.25" customHeight="1">
      <c r="B282" s="53"/>
      <c r="C282" s="19">
        <v>1</v>
      </c>
      <c r="D282" s="132" t="s">
        <v>59</v>
      </c>
      <c r="E282" s="216" t="s">
        <v>62</v>
      </c>
      <c r="F282" s="20">
        <v>10000</v>
      </c>
      <c r="G282" s="21">
        <f t="shared" si="183"/>
        <v>29354.84</v>
      </c>
      <c r="H282" s="21">
        <f t="shared" si="184"/>
        <v>9354.84</v>
      </c>
      <c r="I282" s="21">
        <f t="shared" si="185"/>
        <v>10000</v>
      </c>
      <c r="J282" s="37">
        <f t="shared" si="186"/>
        <v>10000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</row>
    <row r="283" spans="2:20" s="78" customFormat="1" ht="14.25" customHeight="1">
      <c r="B283" s="134"/>
      <c r="C283" s="205">
        <v>1</v>
      </c>
      <c r="D283" s="132" t="s">
        <v>59</v>
      </c>
      <c r="E283" s="216" t="s">
        <v>61</v>
      </c>
      <c r="F283" s="20">
        <v>10000</v>
      </c>
      <c r="G283" s="21">
        <f t="shared" si="179"/>
        <v>29354.84</v>
      </c>
      <c r="H283" s="21">
        <f t="shared" si="180"/>
        <v>9354.84</v>
      </c>
      <c r="I283" s="21">
        <f t="shared" si="181"/>
        <v>10000</v>
      </c>
      <c r="J283" s="37">
        <f t="shared" si="182"/>
        <v>10000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</row>
    <row r="284" spans="2:20" s="78" customFormat="1" ht="14.25" customHeight="1">
      <c r="B284" s="134"/>
      <c r="C284" s="205">
        <v>1</v>
      </c>
      <c r="D284" s="132" t="s">
        <v>59</v>
      </c>
      <c r="E284" s="216" t="s">
        <v>62</v>
      </c>
      <c r="F284" s="20">
        <v>7500</v>
      </c>
      <c r="G284" s="21">
        <f t="shared" si="179"/>
        <v>22016.13</v>
      </c>
      <c r="H284" s="21">
        <f t="shared" si="180"/>
        <v>7016.13</v>
      </c>
      <c r="I284" s="21">
        <f t="shared" si="181"/>
        <v>7500</v>
      </c>
      <c r="J284" s="37">
        <f t="shared" si="182"/>
        <v>7500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</row>
    <row r="285" spans="2:20" s="78" customFormat="1" ht="14.25" customHeight="1">
      <c r="B285" s="134"/>
      <c r="C285" s="205">
        <v>1</v>
      </c>
      <c r="D285" s="132" t="s">
        <v>59</v>
      </c>
      <c r="E285" s="216" t="s">
        <v>61</v>
      </c>
      <c r="F285" s="20">
        <v>7500</v>
      </c>
      <c r="G285" s="21">
        <f t="shared" si="179"/>
        <v>22016.13</v>
      </c>
      <c r="H285" s="21">
        <f t="shared" si="180"/>
        <v>7016.13</v>
      </c>
      <c r="I285" s="21">
        <f t="shared" si="181"/>
        <v>7500</v>
      </c>
      <c r="J285" s="37">
        <f t="shared" si="182"/>
        <v>7500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</row>
    <row r="286" spans="2:20" s="78" customFormat="1" ht="14.25" customHeight="1">
      <c r="B286" s="53"/>
      <c r="C286" s="195">
        <v>1</v>
      </c>
      <c r="D286" s="132" t="s">
        <v>59</v>
      </c>
      <c r="E286" s="216" t="s">
        <v>61</v>
      </c>
      <c r="F286" s="20">
        <v>4500</v>
      </c>
      <c r="G286" s="21">
        <f t="shared" si="179"/>
        <v>13209.68</v>
      </c>
      <c r="H286" s="21">
        <f t="shared" si="180"/>
        <v>4209.68</v>
      </c>
      <c r="I286" s="21">
        <f t="shared" si="181"/>
        <v>4500</v>
      </c>
      <c r="J286" s="37">
        <f t="shared" si="182"/>
        <v>4500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</row>
    <row r="287" spans="2:20">
      <c r="B287" s="13"/>
      <c r="C287" s="19"/>
      <c r="D287" s="150"/>
      <c r="E287" s="275" t="s">
        <v>24</v>
      </c>
      <c r="F287" s="276"/>
      <c r="G287" s="17">
        <f>1146000-SUM(G277:G286)</f>
        <v>883274.18</v>
      </c>
      <c r="H287" s="138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246"/>
    </row>
    <row r="288" spans="2:20" s="74" customFormat="1">
      <c r="B288" s="247"/>
      <c r="C288" s="98"/>
      <c r="D288" s="151"/>
      <c r="E288" s="226"/>
      <c r="F288" s="102"/>
      <c r="G288" s="88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95"/>
    </row>
    <row r="289" spans="2:20" s="74" customFormat="1">
      <c r="B289" s="272" t="s">
        <v>32</v>
      </c>
      <c r="C289" s="206"/>
      <c r="D289" s="166"/>
      <c r="E289" s="227"/>
      <c r="F289" s="97" t="s">
        <v>23</v>
      </c>
      <c r="G289" s="80">
        <f>G290+G291</f>
        <v>492000</v>
      </c>
      <c r="H289" s="104"/>
      <c r="I289" s="104"/>
      <c r="J289" s="104"/>
      <c r="K289" s="104"/>
      <c r="L289" s="104"/>
      <c r="M289" s="105"/>
      <c r="N289" s="104"/>
      <c r="O289" s="104"/>
      <c r="P289" s="104"/>
      <c r="Q289" s="104"/>
      <c r="R289" s="104"/>
      <c r="S289" s="84"/>
    </row>
    <row r="290" spans="2:20">
      <c r="B290" s="272"/>
      <c r="C290" s="207"/>
      <c r="D290" s="163"/>
      <c r="E290" s="228"/>
      <c r="F290" s="82" t="s">
        <v>50</v>
      </c>
      <c r="G290" s="80">
        <f>G292</f>
        <v>132096.78</v>
      </c>
      <c r="H290" s="44"/>
      <c r="I290" s="44"/>
      <c r="J290" s="44"/>
      <c r="K290" s="44"/>
      <c r="L290" s="44"/>
      <c r="M290" s="47"/>
      <c r="N290" s="44"/>
      <c r="O290" s="44"/>
      <c r="P290" s="44"/>
      <c r="Q290" s="44"/>
      <c r="R290" s="44"/>
      <c r="S290" s="7"/>
    </row>
    <row r="291" spans="2:20" ht="30">
      <c r="B291" s="272"/>
      <c r="C291" s="6"/>
      <c r="D291" s="147"/>
      <c r="E291" s="218"/>
      <c r="F291" s="82" t="s">
        <v>24</v>
      </c>
      <c r="G291" s="80">
        <f>G298</f>
        <v>359903.22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2:20" ht="29.25">
      <c r="B292" s="5" t="s">
        <v>90</v>
      </c>
      <c r="C292" s="6">
        <f>SUM(C293:C297)</f>
        <v>5</v>
      </c>
      <c r="D292" s="147"/>
      <c r="E292" s="212"/>
      <c r="F292" s="44"/>
      <c r="G292" s="12">
        <f>SUBTOTAL(9,G293:G297)</f>
        <v>132096.78</v>
      </c>
      <c r="H292" s="12">
        <f t="shared" ref="H292:S292" si="187">SUBTOTAL(9,H293:H298)</f>
        <v>42096.78</v>
      </c>
      <c r="I292" s="12">
        <f t="shared" si="187"/>
        <v>45000</v>
      </c>
      <c r="J292" s="12">
        <f t="shared" si="187"/>
        <v>45000</v>
      </c>
      <c r="K292" s="12">
        <f t="shared" si="187"/>
        <v>0</v>
      </c>
      <c r="L292" s="12">
        <f t="shared" si="187"/>
        <v>0</v>
      </c>
      <c r="M292" s="12">
        <f t="shared" si="187"/>
        <v>0</v>
      </c>
      <c r="N292" s="12">
        <f t="shared" si="187"/>
        <v>0</v>
      </c>
      <c r="O292" s="12">
        <f t="shared" si="187"/>
        <v>0</v>
      </c>
      <c r="P292" s="12">
        <f t="shared" si="187"/>
        <v>0</v>
      </c>
      <c r="Q292" s="12">
        <f t="shared" si="187"/>
        <v>0</v>
      </c>
      <c r="R292" s="12">
        <f t="shared" si="187"/>
        <v>0</v>
      </c>
      <c r="S292" s="12">
        <f t="shared" si="187"/>
        <v>0</v>
      </c>
      <c r="T292" s="61"/>
    </row>
    <row r="293" spans="2:20" s="78" customFormat="1" ht="14.25" customHeight="1">
      <c r="B293" s="53"/>
      <c r="C293" s="195">
        <v>1</v>
      </c>
      <c r="D293" s="132" t="s">
        <v>59</v>
      </c>
      <c r="E293" s="216" t="s">
        <v>61</v>
      </c>
      <c r="F293" s="20">
        <v>12000</v>
      </c>
      <c r="G293" s="21">
        <f t="shared" ref="G293:G297" si="188">SUM(H293:S293)</f>
        <v>35225.81</v>
      </c>
      <c r="H293" s="21">
        <f t="shared" ref="H293:H297" si="189">+F293*C293/31*29</f>
        <v>11225.81</v>
      </c>
      <c r="I293" s="21">
        <f t="shared" ref="I293:I297" si="190">+F293*C293</f>
        <v>12000</v>
      </c>
      <c r="J293" s="37">
        <f t="shared" ref="J293:J297" si="191">+F293*C293</f>
        <v>12000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</row>
    <row r="294" spans="2:20" s="78" customFormat="1" ht="14.25" customHeight="1">
      <c r="B294" s="53"/>
      <c r="C294" s="195">
        <v>1</v>
      </c>
      <c r="D294" s="132" t="s">
        <v>59</v>
      </c>
      <c r="E294" s="216" t="s">
        <v>61</v>
      </c>
      <c r="F294" s="20">
        <v>10000</v>
      </c>
      <c r="G294" s="21">
        <f t="shared" si="188"/>
        <v>29354.84</v>
      </c>
      <c r="H294" s="21">
        <f t="shared" si="189"/>
        <v>9354.84</v>
      </c>
      <c r="I294" s="21">
        <f t="shared" si="190"/>
        <v>10000</v>
      </c>
      <c r="J294" s="37">
        <f t="shared" si="191"/>
        <v>10000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</row>
    <row r="295" spans="2:20" s="78" customFormat="1" ht="14.25" customHeight="1">
      <c r="B295" s="53"/>
      <c r="C295" s="195">
        <v>1</v>
      </c>
      <c r="D295" s="132" t="s">
        <v>59</v>
      </c>
      <c r="E295" s="216" t="s">
        <v>62</v>
      </c>
      <c r="F295" s="20">
        <v>10000</v>
      </c>
      <c r="G295" s="21">
        <f t="shared" si="188"/>
        <v>29354.84</v>
      </c>
      <c r="H295" s="21">
        <f t="shared" si="189"/>
        <v>9354.84</v>
      </c>
      <c r="I295" s="21">
        <f t="shared" si="190"/>
        <v>10000</v>
      </c>
      <c r="J295" s="37">
        <f t="shared" si="191"/>
        <v>10000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</row>
    <row r="296" spans="2:20" s="78" customFormat="1" ht="14.25" customHeight="1">
      <c r="B296" s="53"/>
      <c r="C296" s="195">
        <v>1</v>
      </c>
      <c r="D296" s="132" t="s">
        <v>59</v>
      </c>
      <c r="E296" s="216" t="s">
        <v>62</v>
      </c>
      <c r="F296" s="20">
        <v>7000</v>
      </c>
      <c r="G296" s="21">
        <f t="shared" si="188"/>
        <v>20548.39</v>
      </c>
      <c r="H296" s="21">
        <f t="shared" si="189"/>
        <v>6548.39</v>
      </c>
      <c r="I296" s="21">
        <f t="shared" si="190"/>
        <v>7000</v>
      </c>
      <c r="J296" s="37">
        <f t="shared" si="191"/>
        <v>7000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</row>
    <row r="297" spans="2:20" s="78" customFormat="1" ht="14.25" customHeight="1">
      <c r="B297" s="53"/>
      <c r="C297" s="195">
        <v>1</v>
      </c>
      <c r="D297" s="132" t="s">
        <v>59</v>
      </c>
      <c r="E297" s="216" t="s">
        <v>61</v>
      </c>
      <c r="F297" s="20">
        <v>6000</v>
      </c>
      <c r="G297" s="21">
        <f t="shared" si="188"/>
        <v>17612.900000000001</v>
      </c>
      <c r="H297" s="21">
        <f t="shared" si="189"/>
        <v>5612.9</v>
      </c>
      <c r="I297" s="21">
        <f t="shared" si="190"/>
        <v>6000</v>
      </c>
      <c r="J297" s="37">
        <f t="shared" si="191"/>
        <v>6000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</row>
    <row r="298" spans="2:20">
      <c r="B298" s="13"/>
      <c r="C298" s="14"/>
      <c r="D298" s="150"/>
      <c r="E298" s="275" t="s">
        <v>24</v>
      </c>
      <c r="F298" s="276"/>
      <c r="G298" s="17">
        <f>492000-SUM(G293:G297)</f>
        <v>359903.22</v>
      </c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7"/>
    </row>
    <row r="299" spans="2:20" ht="43.5" hidden="1">
      <c r="B299" s="2" t="s">
        <v>33</v>
      </c>
      <c r="C299" s="50">
        <f>C301+C306</f>
        <v>0</v>
      </c>
      <c r="D299" s="141"/>
      <c r="E299" s="131"/>
      <c r="F299" s="51"/>
      <c r="G299" s="52">
        <f t="shared" ref="G299:S299" si="192">G301+G306</f>
        <v>0</v>
      </c>
      <c r="H299" s="52">
        <f t="shared" si="192"/>
        <v>0</v>
      </c>
      <c r="I299" s="52">
        <f t="shared" si="192"/>
        <v>0</v>
      </c>
      <c r="J299" s="52">
        <f t="shared" si="192"/>
        <v>0</v>
      </c>
      <c r="K299" s="52">
        <f t="shared" si="192"/>
        <v>0</v>
      </c>
      <c r="L299" s="52">
        <f t="shared" si="192"/>
        <v>0</v>
      </c>
      <c r="M299" s="52">
        <f t="shared" si="192"/>
        <v>0</v>
      </c>
      <c r="N299" s="52">
        <f t="shared" si="192"/>
        <v>0</v>
      </c>
      <c r="O299" s="52">
        <f t="shared" si="192"/>
        <v>0</v>
      </c>
      <c r="P299" s="52">
        <f t="shared" si="192"/>
        <v>0</v>
      </c>
      <c r="Q299" s="52">
        <f t="shared" si="192"/>
        <v>0</v>
      </c>
      <c r="R299" s="52">
        <f t="shared" si="192"/>
        <v>0</v>
      </c>
      <c r="S299" s="52">
        <f t="shared" si="192"/>
        <v>0</v>
      </c>
    </row>
    <row r="300" spans="2:20" ht="57.75" hidden="1">
      <c r="B300" s="33" t="s">
        <v>28</v>
      </c>
      <c r="C300" s="6"/>
      <c r="D300" s="147"/>
      <c r="E300" s="218"/>
      <c r="F300" s="44"/>
      <c r="G300" s="7"/>
      <c r="H300" s="7"/>
      <c r="I300" s="7"/>
      <c r="J300" s="7"/>
      <c r="K300" s="7"/>
      <c r="L300" s="7"/>
      <c r="M300" s="28"/>
      <c r="N300" s="7"/>
      <c r="O300" s="7"/>
      <c r="P300" s="7"/>
      <c r="Q300" s="7"/>
      <c r="R300" s="7"/>
      <c r="S300" s="7"/>
    </row>
    <row r="301" spans="2:20" ht="30" hidden="1" thickBot="1">
      <c r="B301" s="5" t="s">
        <v>34</v>
      </c>
      <c r="C301" s="6">
        <v>0</v>
      </c>
      <c r="D301" s="147"/>
      <c r="E301" s="212"/>
      <c r="F301" s="46"/>
      <c r="G301" s="10">
        <v>0</v>
      </c>
      <c r="H301" s="10">
        <f t="shared" ref="H301:S301" si="193">SUM(H303:H303)</f>
        <v>0</v>
      </c>
      <c r="I301" s="10">
        <f t="shared" si="193"/>
        <v>0</v>
      </c>
      <c r="J301" s="10">
        <f t="shared" si="193"/>
        <v>0</v>
      </c>
      <c r="K301" s="10">
        <f t="shared" si="193"/>
        <v>0</v>
      </c>
      <c r="L301" s="10">
        <f t="shared" si="193"/>
        <v>0</v>
      </c>
      <c r="M301" s="10">
        <f t="shared" si="193"/>
        <v>0</v>
      </c>
      <c r="N301" s="10">
        <f t="shared" si="193"/>
        <v>0</v>
      </c>
      <c r="O301" s="10">
        <f t="shared" si="193"/>
        <v>0</v>
      </c>
      <c r="P301" s="10">
        <f t="shared" si="193"/>
        <v>0</v>
      </c>
      <c r="Q301" s="10">
        <f t="shared" si="193"/>
        <v>0</v>
      </c>
      <c r="R301" s="10">
        <f t="shared" si="193"/>
        <v>0</v>
      </c>
      <c r="S301" s="10">
        <f t="shared" si="193"/>
        <v>0</v>
      </c>
      <c r="T301" s="61"/>
    </row>
    <row r="302" spans="2:20" ht="15.75" hidden="1" thickTop="1">
      <c r="B302" s="53"/>
      <c r="C302" s="19"/>
      <c r="D302" s="132"/>
      <c r="E302" s="229"/>
      <c r="F302" s="20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</row>
    <row r="303" spans="2:20" hidden="1">
      <c r="B303" s="13"/>
      <c r="C303" s="14"/>
      <c r="D303" s="150"/>
      <c r="E303" s="275" t="s">
        <v>24</v>
      </c>
      <c r="F303" s="276"/>
      <c r="G303" s="17">
        <v>0</v>
      </c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7">
        <f>G303</f>
        <v>0</v>
      </c>
    </row>
    <row r="304" spans="2:20" hidden="1">
      <c r="B304" s="34"/>
      <c r="C304" s="22"/>
      <c r="D304" s="153"/>
      <c r="E304" s="230"/>
      <c r="F304" s="43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</row>
    <row r="305" spans="2:20" ht="29.25" hidden="1">
      <c r="B305" s="185" t="s">
        <v>57</v>
      </c>
      <c r="C305" s="6"/>
      <c r="D305" s="147"/>
      <c r="E305" s="218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2:20" ht="30" hidden="1" thickBot="1">
      <c r="B306" s="5" t="s">
        <v>35</v>
      </c>
      <c r="C306" s="6">
        <v>0</v>
      </c>
      <c r="D306" s="147"/>
      <c r="E306" s="212"/>
      <c r="F306" s="7"/>
      <c r="G306" s="10">
        <f t="shared" ref="G306:S306" si="194">G307+G310</f>
        <v>0</v>
      </c>
      <c r="H306" s="10">
        <f t="shared" si="194"/>
        <v>0</v>
      </c>
      <c r="I306" s="10">
        <f t="shared" si="194"/>
        <v>0</v>
      </c>
      <c r="J306" s="10">
        <f t="shared" si="194"/>
        <v>0</v>
      </c>
      <c r="K306" s="10">
        <f t="shared" si="194"/>
        <v>0</v>
      </c>
      <c r="L306" s="10">
        <f t="shared" si="194"/>
        <v>0</v>
      </c>
      <c r="M306" s="10">
        <f t="shared" si="194"/>
        <v>0</v>
      </c>
      <c r="N306" s="10">
        <f t="shared" si="194"/>
        <v>0</v>
      </c>
      <c r="O306" s="10">
        <f t="shared" si="194"/>
        <v>0</v>
      </c>
      <c r="P306" s="10">
        <f t="shared" si="194"/>
        <v>0</v>
      </c>
      <c r="Q306" s="10">
        <f t="shared" si="194"/>
        <v>0</v>
      </c>
      <c r="R306" s="10">
        <f t="shared" si="194"/>
        <v>0</v>
      </c>
      <c r="S306" s="10">
        <f t="shared" si="194"/>
        <v>0</v>
      </c>
    </row>
    <row r="307" spans="2:20" ht="30" hidden="1" thickTop="1">
      <c r="B307" s="38" t="s">
        <v>36</v>
      </c>
      <c r="C307" s="48">
        <v>0</v>
      </c>
      <c r="D307" s="167"/>
      <c r="E307" s="231"/>
      <c r="F307" s="32"/>
      <c r="G307" s="55">
        <v>0</v>
      </c>
      <c r="H307" s="55">
        <f t="shared" ref="H307:S307" si="195">SUM(H308:H308)</f>
        <v>0</v>
      </c>
      <c r="I307" s="55">
        <f t="shared" si="195"/>
        <v>0</v>
      </c>
      <c r="J307" s="55">
        <f t="shared" si="195"/>
        <v>0</v>
      </c>
      <c r="K307" s="55">
        <f t="shared" si="195"/>
        <v>0</v>
      </c>
      <c r="L307" s="55">
        <f t="shared" si="195"/>
        <v>0</v>
      </c>
      <c r="M307" s="55">
        <f t="shared" si="195"/>
        <v>0</v>
      </c>
      <c r="N307" s="55">
        <f t="shared" si="195"/>
        <v>0</v>
      </c>
      <c r="O307" s="55">
        <f t="shared" si="195"/>
        <v>0</v>
      </c>
      <c r="P307" s="55">
        <f t="shared" si="195"/>
        <v>0</v>
      </c>
      <c r="Q307" s="55">
        <f t="shared" si="195"/>
        <v>0</v>
      </c>
      <c r="R307" s="55">
        <f t="shared" si="195"/>
        <v>0</v>
      </c>
      <c r="S307" s="55">
        <f t="shared" si="195"/>
        <v>0</v>
      </c>
    </row>
    <row r="308" spans="2:20" hidden="1">
      <c r="B308" s="13"/>
      <c r="C308" s="14"/>
      <c r="D308" s="150"/>
      <c r="E308" s="275" t="s">
        <v>24</v>
      </c>
      <c r="F308" s="276"/>
      <c r="G308" s="17">
        <v>0</v>
      </c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7">
        <f>G308</f>
        <v>0</v>
      </c>
    </row>
    <row r="309" spans="2:20" hidden="1">
      <c r="B309" s="13"/>
      <c r="C309" s="14"/>
      <c r="D309" s="150"/>
      <c r="E309" s="221"/>
      <c r="F309" s="15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</row>
    <row r="310" spans="2:20" ht="29.25" hidden="1">
      <c r="B310" s="13" t="s">
        <v>37</v>
      </c>
      <c r="C310" s="56">
        <v>0</v>
      </c>
      <c r="D310" s="168"/>
      <c r="E310" s="221" t="s">
        <v>38</v>
      </c>
      <c r="F310" s="15"/>
      <c r="G310" s="57">
        <v>0</v>
      </c>
      <c r="H310" s="57">
        <f t="shared" ref="H310:S310" si="196">H311</f>
        <v>0</v>
      </c>
      <c r="I310" s="57">
        <f t="shared" si="196"/>
        <v>0</v>
      </c>
      <c r="J310" s="57">
        <f t="shared" si="196"/>
        <v>0</v>
      </c>
      <c r="K310" s="57">
        <f t="shared" si="196"/>
        <v>0</v>
      </c>
      <c r="L310" s="57">
        <f t="shared" si="196"/>
        <v>0</v>
      </c>
      <c r="M310" s="57">
        <f t="shared" si="196"/>
        <v>0</v>
      </c>
      <c r="N310" s="57">
        <f t="shared" si="196"/>
        <v>0</v>
      </c>
      <c r="O310" s="57">
        <f t="shared" si="196"/>
        <v>0</v>
      </c>
      <c r="P310" s="57">
        <f t="shared" si="196"/>
        <v>0</v>
      </c>
      <c r="Q310" s="57">
        <f t="shared" si="196"/>
        <v>0</v>
      </c>
      <c r="R310" s="57">
        <f t="shared" si="196"/>
        <v>0</v>
      </c>
      <c r="S310" s="57">
        <f t="shared" si="196"/>
        <v>0</v>
      </c>
    </row>
    <row r="311" spans="2:20" hidden="1">
      <c r="B311" s="13"/>
      <c r="C311" s="14"/>
      <c r="D311" s="150"/>
      <c r="E311" s="275" t="s">
        <v>24</v>
      </c>
      <c r="F311" s="276"/>
      <c r="G311" s="16">
        <v>0</v>
      </c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7">
        <f>G311</f>
        <v>0</v>
      </c>
    </row>
    <row r="312" spans="2:20" ht="29.25">
      <c r="B312" s="2" t="s">
        <v>39</v>
      </c>
      <c r="C312" s="50">
        <f>C316</f>
        <v>12</v>
      </c>
      <c r="D312" s="131"/>
      <c r="E312" s="131"/>
      <c r="F312" s="3"/>
      <c r="G312" s="52">
        <f>G313</f>
        <v>1458000</v>
      </c>
      <c r="H312" s="52">
        <f>H316</f>
        <v>92612.9</v>
      </c>
      <c r="I312" s="52">
        <f t="shared" ref="I312:S312" si="197">I316</f>
        <v>106419.35</v>
      </c>
      <c r="J312" s="52">
        <f t="shared" si="197"/>
        <v>118000</v>
      </c>
      <c r="K312" s="52">
        <f t="shared" si="197"/>
        <v>0</v>
      </c>
      <c r="L312" s="52">
        <f t="shared" si="197"/>
        <v>0</v>
      </c>
      <c r="M312" s="52">
        <f t="shared" si="197"/>
        <v>0</v>
      </c>
      <c r="N312" s="52">
        <f t="shared" si="197"/>
        <v>0</v>
      </c>
      <c r="O312" s="52">
        <f t="shared" si="197"/>
        <v>0</v>
      </c>
      <c r="P312" s="52">
        <f t="shared" si="197"/>
        <v>0</v>
      </c>
      <c r="Q312" s="52">
        <f t="shared" si="197"/>
        <v>0</v>
      </c>
      <c r="R312" s="52">
        <f t="shared" si="197"/>
        <v>0</v>
      </c>
      <c r="S312" s="52">
        <f t="shared" si="197"/>
        <v>0</v>
      </c>
    </row>
    <row r="313" spans="2:20" ht="29.25" customHeight="1">
      <c r="B313" s="272" t="s">
        <v>63</v>
      </c>
      <c r="C313" s="22"/>
      <c r="D313" s="153"/>
      <c r="E313" s="234"/>
      <c r="F313" s="177" t="s">
        <v>23</v>
      </c>
      <c r="G313" s="178">
        <f>G314+G315</f>
        <v>1458000</v>
      </c>
      <c r="H313" s="44"/>
      <c r="I313" s="44"/>
      <c r="J313" s="44"/>
      <c r="K313" s="44"/>
      <c r="L313" s="44"/>
      <c r="M313" s="47"/>
      <c r="N313" s="44"/>
      <c r="O313" s="44"/>
      <c r="P313" s="44"/>
      <c r="Q313" s="44"/>
      <c r="R313" s="44"/>
      <c r="S313" s="7"/>
    </row>
    <row r="314" spans="2:20" ht="29.25" customHeight="1">
      <c r="B314" s="272"/>
      <c r="C314" s="22"/>
      <c r="D314" s="153"/>
      <c r="E314" s="234"/>
      <c r="F314" s="82" t="s">
        <v>50</v>
      </c>
      <c r="G314" s="80">
        <f>G316</f>
        <v>317032.25</v>
      </c>
      <c r="H314" s="44"/>
      <c r="I314" s="44"/>
      <c r="J314" s="44"/>
      <c r="K314" s="44"/>
      <c r="L314" s="44"/>
      <c r="M314" s="47"/>
      <c r="N314" s="44"/>
      <c r="O314" s="44"/>
      <c r="P314" s="44"/>
      <c r="Q314" s="44"/>
      <c r="R314" s="44"/>
      <c r="S314" s="7"/>
    </row>
    <row r="315" spans="2:20" ht="30">
      <c r="B315" s="272"/>
      <c r="C315" s="22"/>
      <c r="D315" s="153"/>
      <c r="E315" s="234"/>
      <c r="F315" s="82" t="s">
        <v>24</v>
      </c>
      <c r="G315" s="80">
        <f>G329</f>
        <v>1140967.75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2:20" ht="30" thickBot="1">
      <c r="B316" s="144" t="s">
        <v>91</v>
      </c>
      <c r="C316" s="6">
        <f>SUM(C317:C328)</f>
        <v>12</v>
      </c>
      <c r="D316" s="169"/>
      <c r="E316" s="212"/>
      <c r="F316" s="7"/>
      <c r="G316" s="12">
        <f>SUBTOTAL(9,G317:G328)</f>
        <v>317032.25</v>
      </c>
      <c r="H316" s="10">
        <f t="shared" ref="H316:S316" si="198">SUBTOTAL(9,H317:H329)</f>
        <v>92612.9</v>
      </c>
      <c r="I316" s="10">
        <f>SUBTOTAL(9,I317:I328)</f>
        <v>106419.35</v>
      </c>
      <c r="J316" s="10">
        <f t="shared" si="198"/>
        <v>118000</v>
      </c>
      <c r="K316" s="10">
        <f t="shared" si="198"/>
        <v>0</v>
      </c>
      <c r="L316" s="10">
        <f t="shared" si="198"/>
        <v>0</v>
      </c>
      <c r="M316" s="10">
        <f t="shared" si="198"/>
        <v>0</v>
      </c>
      <c r="N316" s="10">
        <f t="shared" si="198"/>
        <v>0</v>
      </c>
      <c r="O316" s="10">
        <f t="shared" si="198"/>
        <v>0</v>
      </c>
      <c r="P316" s="10">
        <f t="shared" si="198"/>
        <v>0</v>
      </c>
      <c r="Q316" s="10">
        <f t="shared" si="198"/>
        <v>0</v>
      </c>
      <c r="R316" s="10">
        <f t="shared" si="198"/>
        <v>0</v>
      </c>
      <c r="S316" s="10">
        <f t="shared" si="198"/>
        <v>0</v>
      </c>
      <c r="T316" s="61"/>
    </row>
    <row r="317" spans="2:20" s="78" customFormat="1" ht="14.25" customHeight="1" thickTop="1">
      <c r="B317" s="124"/>
      <c r="C317" s="208">
        <v>1</v>
      </c>
      <c r="D317" s="132" t="s">
        <v>59</v>
      </c>
      <c r="E317" s="216" t="s">
        <v>62</v>
      </c>
      <c r="F317" s="20">
        <v>15000</v>
      </c>
      <c r="G317" s="21">
        <f>SUM(H317:S317)</f>
        <v>44032.26</v>
      </c>
      <c r="H317" s="21">
        <f t="shared" ref="H317:H328" si="199">+F317*C317/31*29</f>
        <v>14032.26</v>
      </c>
      <c r="I317" s="21">
        <f t="shared" ref="I317:I328" si="200">+F317*C317</f>
        <v>15000</v>
      </c>
      <c r="J317" s="37">
        <f t="shared" ref="J317:J328" si="201">+F317*C317</f>
        <v>15000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</row>
    <row r="318" spans="2:20" ht="14.25" customHeight="1">
      <c r="B318" s="45"/>
      <c r="C318" s="208">
        <v>1</v>
      </c>
      <c r="D318" s="132" t="s">
        <v>59</v>
      </c>
      <c r="E318" s="216" t="s">
        <v>62</v>
      </c>
      <c r="F318" s="20">
        <v>10000</v>
      </c>
      <c r="G318" s="21">
        <f t="shared" ref="G318:G323" si="202">SUM(H318:S318)</f>
        <v>29354.84</v>
      </c>
      <c r="H318" s="21">
        <f t="shared" si="199"/>
        <v>9354.84</v>
      </c>
      <c r="I318" s="21">
        <f t="shared" si="200"/>
        <v>10000</v>
      </c>
      <c r="J318" s="37">
        <f t="shared" si="201"/>
        <v>10000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  <c r="S318" s="21">
        <v>0</v>
      </c>
    </row>
    <row r="319" spans="2:20" ht="14.25" customHeight="1">
      <c r="B319" s="45"/>
      <c r="C319" s="208">
        <v>1</v>
      </c>
      <c r="D319" s="132" t="s">
        <v>59</v>
      </c>
      <c r="E319" s="216" t="s">
        <v>62</v>
      </c>
      <c r="F319" s="20">
        <v>10000</v>
      </c>
      <c r="G319" s="21">
        <f t="shared" ref="G319" si="203">SUM(H319:S319)</f>
        <v>29354.84</v>
      </c>
      <c r="H319" s="21">
        <f t="shared" ref="H319" si="204">+F319*C319/31*29</f>
        <v>9354.84</v>
      </c>
      <c r="I319" s="21">
        <v>0</v>
      </c>
      <c r="J319" s="37">
        <v>20000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  <c r="S319" s="21">
        <v>0</v>
      </c>
    </row>
    <row r="320" spans="2:20" ht="14.25" customHeight="1">
      <c r="B320" s="45"/>
      <c r="C320" s="208">
        <v>1</v>
      </c>
      <c r="D320" s="132" t="s">
        <v>59</v>
      </c>
      <c r="E320" s="216" t="s">
        <v>62</v>
      </c>
      <c r="F320" s="20">
        <v>9000</v>
      </c>
      <c r="G320" s="21">
        <f t="shared" si="202"/>
        <v>26419.35</v>
      </c>
      <c r="H320" s="21">
        <f t="shared" si="199"/>
        <v>8419.35</v>
      </c>
      <c r="I320" s="21">
        <f t="shared" si="200"/>
        <v>9000</v>
      </c>
      <c r="J320" s="37">
        <f t="shared" si="201"/>
        <v>9000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</row>
    <row r="321" spans="2:19" ht="14.25" customHeight="1">
      <c r="B321" s="45"/>
      <c r="C321" s="208">
        <v>1</v>
      </c>
      <c r="D321" s="132" t="s">
        <v>59</v>
      </c>
      <c r="E321" s="216" t="s">
        <v>62</v>
      </c>
      <c r="F321" s="20">
        <v>9000</v>
      </c>
      <c r="G321" s="21">
        <f t="shared" ref="G321:G322" si="205">SUM(H321:S321)</f>
        <v>26419.35</v>
      </c>
      <c r="H321" s="21">
        <f t="shared" ref="H321" si="206">+F321*C321/31*29</f>
        <v>8419.35</v>
      </c>
      <c r="I321" s="21">
        <f t="shared" ref="I321" si="207">+F321*C321</f>
        <v>9000</v>
      </c>
      <c r="J321" s="37">
        <f t="shared" ref="J321:J322" si="208">+F321*C321</f>
        <v>9000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</row>
    <row r="322" spans="2:19" s="78" customFormat="1" ht="14.25" customHeight="1">
      <c r="B322" s="124"/>
      <c r="C322" s="208">
        <v>1</v>
      </c>
      <c r="D322" s="132" t="s">
        <v>59</v>
      </c>
      <c r="E322" s="216" t="s">
        <v>62</v>
      </c>
      <c r="F322" s="20">
        <v>9000</v>
      </c>
      <c r="G322" s="21">
        <f t="shared" si="205"/>
        <v>26419.35</v>
      </c>
      <c r="H322" s="21">
        <v>0</v>
      </c>
      <c r="I322" s="21">
        <f>290.322580645161*29+9000</f>
        <v>17419.349999999999</v>
      </c>
      <c r="J322" s="37">
        <f t="shared" si="208"/>
        <v>9000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</row>
    <row r="323" spans="2:19" ht="14.25" customHeight="1">
      <c r="B323" s="45"/>
      <c r="C323" s="208">
        <v>1</v>
      </c>
      <c r="D323" s="132" t="s">
        <v>59</v>
      </c>
      <c r="E323" s="216" t="s">
        <v>61</v>
      </c>
      <c r="F323" s="20">
        <v>9000</v>
      </c>
      <c r="G323" s="21">
        <f t="shared" si="202"/>
        <v>26419.35</v>
      </c>
      <c r="H323" s="21">
        <f t="shared" si="199"/>
        <v>8419.35</v>
      </c>
      <c r="I323" s="21">
        <f t="shared" si="200"/>
        <v>9000</v>
      </c>
      <c r="J323" s="37">
        <f t="shared" si="201"/>
        <v>9000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</row>
    <row r="324" spans="2:19" s="78" customFormat="1" ht="14.25" customHeight="1">
      <c r="B324" s="124"/>
      <c r="C324" s="208">
        <v>1</v>
      </c>
      <c r="D324" s="132" t="s">
        <v>59</v>
      </c>
      <c r="E324" s="216" t="s">
        <v>62</v>
      </c>
      <c r="F324" s="20">
        <v>9000</v>
      </c>
      <c r="G324" s="21">
        <f t="shared" ref="G324" si="209">SUM(H324:S324)</f>
        <v>26419.35</v>
      </c>
      <c r="H324" s="21">
        <f t="shared" ref="H324" si="210">+F324*C324/31*29</f>
        <v>8419.35</v>
      </c>
      <c r="I324" s="21">
        <f t="shared" ref="I324" si="211">+F324*C324</f>
        <v>9000</v>
      </c>
      <c r="J324" s="37">
        <f t="shared" ref="J324" si="212">+F324*C324</f>
        <v>9000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</row>
    <row r="325" spans="2:19" s="78" customFormat="1" ht="16.5" customHeight="1">
      <c r="B325" s="124"/>
      <c r="C325" s="208">
        <v>1</v>
      </c>
      <c r="D325" s="132" t="s">
        <v>59</v>
      </c>
      <c r="E325" s="216" t="s">
        <v>62</v>
      </c>
      <c r="F325" s="20">
        <v>7500</v>
      </c>
      <c r="G325" s="21">
        <f>SUM(H325:S325)</f>
        <v>22016.13</v>
      </c>
      <c r="H325" s="21">
        <f t="shared" si="199"/>
        <v>7016.13</v>
      </c>
      <c r="I325" s="21">
        <f t="shared" si="200"/>
        <v>7500</v>
      </c>
      <c r="J325" s="37">
        <f t="shared" si="201"/>
        <v>7500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</row>
    <row r="326" spans="2:19" ht="16.5" customHeight="1">
      <c r="B326" s="45"/>
      <c r="C326" s="126">
        <v>1</v>
      </c>
      <c r="D326" s="132" t="s">
        <v>59</v>
      </c>
      <c r="E326" s="216" t="s">
        <v>61</v>
      </c>
      <c r="F326" s="20">
        <v>7000</v>
      </c>
      <c r="G326" s="21">
        <f t="shared" ref="G326:G328" si="213">SUM(H326:S326)</f>
        <v>20548.39</v>
      </c>
      <c r="H326" s="21">
        <f t="shared" si="199"/>
        <v>6548.39</v>
      </c>
      <c r="I326" s="21">
        <f t="shared" si="200"/>
        <v>7000</v>
      </c>
      <c r="J326" s="37">
        <f t="shared" si="201"/>
        <v>7000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</row>
    <row r="327" spans="2:19" ht="16.5" customHeight="1">
      <c r="B327" s="45"/>
      <c r="C327" s="195">
        <v>1</v>
      </c>
      <c r="D327" s="132" t="s">
        <v>59</v>
      </c>
      <c r="E327" s="216" t="s">
        <v>62</v>
      </c>
      <c r="F327" s="20">
        <v>7000</v>
      </c>
      <c r="G327" s="21">
        <f t="shared" si="213"/>
        <v>20548.39</v>
      </c>
      <c r="H327" s="21">
        <f t="shared" si="199"/>
        <v>6548.39</v>
      </c>
      <c r="I327" s="21">
        <f t="shared" si="200"/>
        <v>7000</v>
      </c>
      <c r="J327" s="37">
        <f t="shared" si="201"/>
        <v>7000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  <c r="S327" s="21">
        <v>0</v>
      </c>
    </row>
    <row r="328" spans="2:19" ht="16.5" customHeight="1">
      <c r="B328" s="45"/>
      <c r="C328" s="195">
        <v>1</v>
      </c>
      <c r="D328" s="132" t="s">
        <v>59</v>
      </c>
      <c r="E328" s="216" t="s">
        <v>61</v>
      </c>
      <c r="F328" s="20">
        <v>6500</v>
      </c>
      <c r="G328" s="21">
        <f t="shared" si="213"/>
        <v>19080.650000000001</v>
      </c>
      <c r="H328" s="21">
        <f t="shared" si="199"/>
        <v>6080.65</v>
      </c>
      <c r="I328" s="21">
        <f t="shared" si="200"/>
        <v>6500</v>
      </c>
      <c r="J328" s="37">
        <f t="shared" si="201"/>
        <v>6500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</row>
    <row r="329" spans="2:19" ht="16.5" customHeight="1">
      <c r="B329" s="13"/>
      <c r="C329" s="14"/>
      <c r="D329" s="150"/>
      <c r="E329" s="275" t="s">
        <v>24</v>
      </c>
      <c r="F329" s="276"/>
      <c r="G329" s="16">
        <f>1458000-SUM(G317:G328)</f>
        <v>1140967.75</v>
      </c>
      <c r="H329" s="138"/>
      <c r="I329" s="139"/>
      <c r="J329" s="139"/>
      <c r="K329" s="139"/>
      <c r="L329" s="139"/>
      <c r="M329" s="139"/>
      <c r="N329" s="139"/>
      <c r="O329" s="139"/>
      <c r="P329" s="139"/>
      <c r="Q329" s="139"/>
      <c r="R329" s="139"/>
      <c r="S329" s="246"/>
    </row>
    <row r="330" spans="2:19" ht="16.5" hidden="1" customHeight="1">
      <c r="B330" s="106" t="s">
        <v>28</v>
      </c>
      <c r="C330" s="6"/>
      <c r="D330" s="147"/>
      <c r="E330" s="218"/>
      <c r="F330" s="7"/>
      <c r="G330" s="7"/>
      <c r="H330" s="7"/>
      <c r="I330" s="7"/>
      <c r="J330" s="7"/>
      <c r="K330" s="7"/>
      <c r="L330" s="7"/>
      <c r="M330" s="28"/>
      <c r="N330" s="7"/>
      <c r="O330" s="7"/>
      <c r="P330" s="7"/>
      <c r="Q330" s="7"/>
      <c r="R330" s="7"/>
      <c r="S330" s="7"/>
    </row>
    <row r="331" spans="2:19" ht="16.5" hidden="1" customHeight="1" thickBot="1">
      <c r="B331" s="5" t="s">
        <v>40</v>
      </c>
      <c r="C331" s="6">
        <v>0</v>
      </c>
      <c r="D331" s="147"/>
      <c r="E331" s="212"/>
      <c r="F331" s="7"/>
      <c r="G331" s="10">
        <f t="shared" ref="G331:S331" si="214">G332+G334+G336</f>
        <v>0</v>
      </c>
      <c r="H331" s="10">
        <f t="shared" si="214"/>
        <v>0</v>
      </c>
      <c r="I331" s="10">
        <f t="shared" si="214"/>
        <v>0</v>
      </c>
      <c r="J331" s="10">
        <f t="shared" si="214"/>
        <v>0</v>
      </c>
      <c r="K331" s="10">
        <f t="shared" si="214"/>
        <v>0</v>
      </c>
      <c r="L331" s="10">
        <f t="shared" si="214"/>
        <v>0</v>
      </c>
      <c r="M331" s="10">
        <f t="shared" si="214"/>
        <v>0</v>
      </c>
      <c r="N331" s="10">
        <f t="shared" si="214"/>
        <v>0</v>
      </c>
      <c r="O331" s="10">
        <f t="shared" si="214"/>
        <v>0</v>
      </c>
      <c r="P331" s="10">
        <f t="shared" si="214"/>
        <v>0</v>
      </c>
      <c r="Q331" s="10">
        <f t="shared" si="214"/>
        <v>0</v>
      </c>
      <c r="R331" s="10">
        <f t="shared" si="214"/>
        <v>0</v>
      </c>
      <c r="S331" s="10">
        <f t="shared" si="214"/>
        <v>0</v>
      </c>
    </row>
    <row r="332" spans="2:19" ht="16.5" hidden="1" customHeight="1" thickTop="1">
      <c r="B332" s="34" t="s">
        <v>41</v>
      </c>
      <c r="C332" s="22"/>
      <c r="D332" s="153"/>
      <c r="E332" s="218"/>
      <c r="F332" s="7"/>
      <c r="G332" s="36">
        <v>0</v>
      </c>
      <c r="H332" s="36">
        <f t="shared" ref="H332:S332" si="215">SUM(H333)</f>
        <v>0</v>
      </c>
      <c r="I332" s="36">
        <f t="shared" si="215"/>
        <v>0</v>
      </c>
      <c r="J332" s="36">
        <f t="shared" si="215"/>
        <v>0</v>
      </c>
      <c r="K332" s="36">
        <f t="shared" si="215"/>
        <v>0</v>
      </c>
      <c r="L332" s="36">
        <f t="shared" si="215"/>
        <v>0</v>
      </c>
      <c r="M332" s="36">
        <f t="shared" si="215"/>
        <v>0</v>
      </c>
      <c r="N332" s="36">
        <f t="shared" si="215"/>
        <v>0</v>
      </c>
      <c r="O332" s="36">
        <f t="shared" si="215"/>
        <v>0</v>
      </c>
      <c r="P332" s="36">
        <f t="shared" si="215"/>
        <v>0</v>
      </c>
      <c r="Q332" s="36">
        <f t="shared" si="215"/>
        <v>0</v>
      </c>
      <c r="R332" s="36">
        <f t="shared" si="215"/>
        <v>0</v>
      </c>
      <c r="S332" s="36">
        <f t="shared" si="215"/>
        <v>0</v>
      </c>
    </row>
    <row r="333" spans="2:19" ht="16.5" hidden="1" customHeight="1">
      <c r="B333" s="13"/>
      <c r="C333" s="14"/>
      <c r="D333" s="150"/>
      <c r="E333" s="275" t="s">
        <v>24</v>
      </c>
      <c r="F333" s="276"/>
      <c r="G333" s="16">
        <v>0</v>
      </c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7">
        <f>G333</f>
        <v>0</v>
      </c>
    </row>
    <row r="334" spans="2:19" ht="16.5" hidden="1" customHeight="1">
      <c r="B334" s="34" t="s">
        <v>42</v>
      </c>
      <c r="C334" s="22"/>
      <c r="D334" s="153"/>
      <c r="E334" s="218"/>
      <c r="F334" s="7"/>
      <c r="G334" s="36">
        <v>0</v>
      </c>
      <c r="H334" s="36">
        <f t="shared" ref="H334:S334" si="216">H335</f>
        <v>0</v>
      </c>
      <c r="I334" s="36">
        <f t="shared" si="216"/>
        <v>0</v>
      </c>
      <c r="J334" s="36">
        <f t="shared" si="216"/>
        <v>0</v>
      </c>
      <c r="K334" s="36">
        <f t="shared" si="216"/>
        <v>0</v>
      </c>
      <c r="L334" s="36">
        <f t="shared" si="216"/>
        <v>0</v>
      </c>
      <c r="M334" s="36">
        <f t="shared" si="216"/>
        <v>0</v>
      </c>
      <c r="N334" s="36">
        <f t="shared" si="216"/>
        <v>0</v>
      </c>
      <c r="O334" s="36">
        <f t="shared" si="216"/>
        <v>0</v>
      </c>
      <c r="P334" s="36">
        <f t="shared" si="216"/>
        <v>0</v>
      </c>
      <c r="Q334" s="36">
        <f t="shared" si="216"/>
        <v>0</v>
      </c>
      <c r="R334" s="36">
        <f t="shared" si="216"/>
        <v>0</v>
      </c>
      <c r="S334" s="36">
        <f t="shared" si="216"/>
        <v>0</v>
      </c>
    </row>
    <row r="335" spans="2:19" ht="16.5" hidden="1" customHeight="1">
      <c r="B335" s="13"/>
      <c r="C335" s="14"/>
      <c r="D335" s="150"/>
      <c r="E335" s="275" t="s">
        <v>24</v>
      </c>
      <c r="F335" s="276"/>
      <c r="G335" s="16">
        <v>0</v>
      </c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7">
        <f>G335</f>
        <v>0</v>
      </c>
    </row>
    <row r="336" spans="2:19" ht="16.5" hidden="1" customHeight="1">
      <c r="B336" s="13" t="s">
        <v>43</v>
      </c>
      <c r="C336" s="14"/>
      <c r="D336" s="150"/>
      <c r="E336" s="232"/>
      <c r="F336" s="17"/>
      <c r="G336" s="59">
        <v>0</v>
      </c>
      <c r="H336" s="59">
        <f t="shared" ref="H336:S336" si="217">SUM(H337)</f>
        <v>0</v>
      </c>
      <c r="I336" s="59">
        <f t="shared" si="217"/>
        <v>0</v>
      </c>
      <c r="J336" s="59">
        <f t="shared" si="217"/>
        <v>0</v>
      </c>
      <c r="K336" s="59">
        <f t="shared" si="217"/>
        <v>0</v>
      </c>
      <c r="L336" s="59">
        <f t="shared" si="217"/>
        <v>0</v>
      </c>
      <c r="M336" s="59">
        <f t="shared" si="217"/>
        <v>0</v>
      </c>
      <c r="N336" s="59">
        <f t="shared" si="217"/>
        <v>0</v>
      </c>
      <c r="O336" s="59">
        <f t="shared" si="217"/>
        <v>0</v>
      </c>
      <c r="P336" s="59">
        <f t="shared" si="217"/>
        <v>0</v>
      </c>
      <c r="Q336" s="59">
        <f t="shared" si="217"/>
        <v>0</v>
      </c>
      <c r="R336" s="59">
        <f t="shared" si="217"/>
        <v>0</v>
      </c>
      <c r="S336" s="59">
        <f t="shared" si="217"/>
        <v>0</v>
      </c>
    </row>
    <row r="337" spans="2:20" ht="16.5" hidden="1" customHeight="1">
      <c r="B337" s="13"/>
      <c r="C337" s="14"/>
      <c r="D337" s="150"/>
      <c r="E337" s="275" t="s">
        <v>24</v>
      </c>
      <c r="F337" s="276"/>
      <c r="G337" s="16">
        <v>0</v>
      </c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7">
        <f>G337</f>
        <v>0</v>
      </c>
    </row>
    <row r="338" spans="2:20" ht="16.5" hidden="1" customHeight="1">
      <c r="B338" s="33" t="s">
        <v>29</v>
      </c>
      <c r="C338" s="6"/>
      <c r="D338" s="147"/>
      <c r="E338" s="218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2:20" ht="16.5" hidden="1" customHeight="1" thickBot="1">
      <c r="B339" s="5" t="s">
        <v>44</v>
      </c>
      <c r="C339" s="6">
        <v>0</v>
      </c>
      <c r="D339" s="169"/>
      <c r="E339" s="212"/>
      <c r="F339" s="7"/>
      <c r="G339" s="10">
        <v>0</v>
      </c>
      <c r="H339" s="10">
        <f t="shared" ref="H339:S339" si="218">SUM(H340:H340)</f>
        <v>0</v>
      </c>
      <c r="I339" s="10">
        <f t="shared" si="218"/>
        <v>0</v>
      </c>
      <c r="J339" s="10">
        <f t="shared" si="218"/>
        <v>0</v>
      </c>
      <c r="K339" s="10">
        <f t="shared" si="218"/>
        <v>0</v>
      </c>
      <c r="L339" s="10">
        <f t="shared" si="218"/>
        <v>0</v>
      </c>
      <c r="M339" s="10">
        <f t="shared" si="218"/>
        <v>0</v>
      </c>
      <c r="N339" s="10">
        <f t="shared" si="218"/>
        <v>0</v>
      </c>
      <c r="O339" s="10">
        <f t="shared" si="218"/>
        <v>0</v>
      </c>
      <c r="P339" s="10">
        <f t="shared" si="218"/>
        <v>0</v>
      </c>
      <c r="Q339" s="10">
        <f t="shared" si="218"/>
        <v>0</v>
      </c>
      <c r="R339" s="10">
        <f t="shared" si="218"/>
        <v>0</v>
      </c>
      <c r="S339" s="10">
        <f t="shared" si="218"/>
        <v>0</v>
      </c>
    </row>
    <row r="340" spans="2:20" ht="16.5" hidden="1" customHeight="1" thickTop="1">
      <c r="B340" s="13"/>
      <c r="C340" s="14"/>
      <c r="D340" s="150"/>
      <c r="E340" s="275" t="s">
        <v>24</v>
      </c>
      <c r="F340" s="276"/>
      <c r="G340" s="16">
        <v>0</v>
      </c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7">
        <f>G340</f>
        <v>0</v>
      </c>
    </row>
    <row r="341" spans="2:20" ht="16.5" hidden="1" customHeight="1">
      <c r="B341" s="145" t="s">
        <v>45</v>
      </c>
      <c r="C341" s="6"/>
      <c r="D341" s="147"/>
      <c r="E341" s="218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2:20" ht="16.5" hidden="1" customHeight="1" thickBot="1">
      <c r="B342" s="144" t="s">
        <v>46</v>
      </c>
      <c r="C342" s="6">
        <v>0</v>
      </c>
      <c r="D342" s="169"/>
      <c r="E342" s="212"/>
      <c r="F342" s="7"/>
      <c r="G342" s="10">
        <v>0</v>
      </c>
      <c r="H342" s="10">
        <f t="shared" ref="H342:S342" si="219">SUBTOTAL(9,H343:H343)</f>
        <v>0</v>
      </c>
      <c r="I342" s="10">
        <f t="shared" si="219"/>
        <v>0</v>
      </c>
      <c r="J342" s="10">
        <f t="shared" si="219"/>
        <v>0</v>
      </c>
      <c r="K342" s="10">
        <f t="shared" si="219"/>
        <v>0</v>
      </c>
      <c r="L342" s="10">
        <f t="shared" si="219"/>
        <v>0</v>
      </c>
      <c r="M342" s="10">
        <f t="shared" si="219"/>
        <v>0</v>
      </c>
      <c r="N342" s="10">
        <f t="shared" si="219"/>
        <v>0</v>
      </c>
      <c r="O342" s="10">
        <f t="shared" si="219"/>
        <v>0</v>
      </c>
      <c r="P342" s="10">
        <f t="shared" si="219"/>
        <v>0</v>
      </c>
      <c r="Q342" s="10">
        <f t="shared" si="219"/>
        <v>0</v>
      </c>
      <c r="R342" s="10">
        <f t="shared" si="219"/>
        <v>0</v>
      </c>
      <c r="S342" s="10">
        <f t="shared" si="219"/>
        <v>0</v>
      </c>
    </row>
    <row r="343" spans="2:20" ht="16.5" hidden="1" customHeight="1" thickTop="1">
      <c r="B343" s="13"/>
      <c r="C343" s="14"/>
      <c r="D343" s="150"/>
      <c r="E343" s="275" t="s">
        <v>24</v>
      </c>
      <c r="F343" s="276"/>
      <c r="G343" s="16">
        <v>0</v>
      </c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7">
        <f>G343</f>
        <v>0</v>
      </c>
    </row>
    <row r="344" spans="2:20" s="74" customFormat="1" ht="16.5" hidden="1" customHeight="1">
      <c r="B344" s="94"/>
      <c r="C344" s="86"/>
      <c r="D344" s="151"/>
      <c r="E344" s="226"/>
      <c r="F344" s="102"/>
      <c r="G344" s="88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8"/>
    </row>
    <row r="345" spans="2:20" ht="16.5" hidden="1" customHeight="1">
      <c r="B345" s="187" t="s">
        <v>47</v>
      </c>
      <c r="C345" s="179">
        <f>C349</f>
        <v>0</v>
      </c>
      <c r="D345" s="233"/>
      <c r="E345" s="233"/>
      <c r="F345" s="180"/>
      <c r="G345" s="181">
        <f>G349</f>
        <v>0</v>
      </c>
      <c r="H345" s="181">
        <f t="shared" ref="H345:S345" si="220">H349+H356+H363</f>
        <v>0</v>
      </c>
      <c r="I345" s="181">
        <f t="shared" si="220"/>
        <v>0</v>
      </c>
      <c r="J345" s="181">
        <f t="shared" si="220"/>
        <v>0</v>
      </c>
      <c r="K345" s="181">
        <f t="shared" si="220"/>
        <v>0</v>
      </c>
      <c r="L345" s="181">
        <f t="shared" si="220"/>
        <v>0</v>
      </c>
      <c r="M345" s="181">
        <f t="shared" si="220"/>
        <v>0</v>
      </c>
      <c r="N345" s="181">
        <f t="shared" si="220"/>
        <v>0</v>
      </c>
      <c r="O345" s="181">
        <f t="shared" si="220"/>
        <v>0</v>
      </c>
      <c r="P345" s="181">
        <f t="shared" si="220"/>
        <v>0</v>
      </c>
      <c r="Q345" s="181">
        <f t="shared" si="220"/>
        <v>0</v>
      </c>
      <c r="R345" s="181">
        <f t="shared" si="220"/>
        <v>0</v>
      </c>
      <c r="S345" s="181">
        <f t="shared" si="220"/>
        <v>0</v>
      </c>
    </row>
    <row r="346" spans="2:20" ht="16.5" hidden="1" customHeight="1">
      <c r="B346" s="283" t="s">
        <v>63</v>
      </c>
      <c r="C346" s="22"/>
      <c r="D346" s="153"/>
      <c r="E346" s="234"/>
      <c r="F346" s="177" t="s">
        <v>23</v>
      </c>
      <c r="G346" s="178">
        <f>G347+G348</f>
        <v>0</v>
      </c>
      <c r="H346" s="44"/>
      <c r="I346" s="44"/>
      <c r="J346" s="44"/>
      <c r="K346" s="44"/>
      <c r="L346" s="44"/>
      <c r="M346" s="47"/>
      <c r="N346" s="44"/>
      <c r="O346" s="44"/>
      <c r="P346" s="44"/>
      <c r="Q346" s="44"/>
      <c r="R346" s="44"/>
      <c r="S346" s="7"/>
    </row>
    <row r="347" spans="2:20" ht="16.5" hidden="1" customHeight="1">
      <c r="B347" s="283"/>
      <c r="C347" s="22"/>
      <c r="D347" s="153"/>
      <c r="E347" s="234"/>
      <c r="F347" s="82" t="s">
        <v>50</v>
      </c>
      <c r="G347" s="80">
        <f>G349</f>
        <v>0</v>
      </c>
      <c r="H347" s="44"/>
      <c r="I347" s="44"/>
      <c r="J347" s="44"/>
      <c r="K347" s="44"/>
      <c r="L347" s="44"/>
      <c r="M347" s="47"/>
      <c r="N347" s="44"/>
      <c r="O347" s="44"/>
      <c r="P347" s="44"/>
      <c r="Q347" s="44"/>
      <c r="R347" s="44"/>
      <c r="S347" s="7"/>
    </row>
    <row r="348" spans="2:20" ht="16.5" hidden="1" customHeight="1">
      <c r="B348" s="283"/>
      <c r="C348" s="22"/>
      <c r="D348" s="153"/>
      <c r="E348" s="234"/>
      <c r="F348" s="82" t="s">
        <v>24</v>
      </c>
      <c r="G348" s="80">
        <f>G351</f>
        <v>0</v>
      </c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2:20" ht="16.5" hidden="1" customHeight="1" thickBot="1">
      <c r="B349" s="144" t="s">
        <v>48</v>
      </c>
      <c r="C349" s="6">
        <f>SUM(C350:C350)</f>
        <v>0</v>
      </c>
      <c r="D349" s="169"/>
      <c r="E349" s="212"/>
      <c r="F349" s="7"/>
      <c r="G349" s="12">
        <f>SUBTOTAL(9,G350:G350)</f>
        <v>0</v>
      </c>
      <c r="H349" s="10">
        <f t="shared" ref="H349:S349" si="221">SUBTOTAL(9,H350:H351)</f>
        <v>0</v>
      </c>
      <c r="I349" s="10">
        <f t="shared" si="221"/>
        <v>0</v>
      </c>
      <c r="J349" s="10">
        <f t="shared" si="221"/>
        <v>0</v>
      </c>
      <c r="K349" s="10">
        <f t="shared" si="221"/>
        <v>0</v>
      </c>
      <c r="L349" s="10">
        <f t="shared" si="221"/>
        <v>0</v>
      </c>
      <c r="M349" s="10">
        <f t="shared" si="221"/>
        <v>0</v>
      </c>
      <c r="N349" s="10">
        <f t="shared" si="221"/>
        <v>0</v>
      </c>
      <c r="O349" s="10">
        <f t="shared" si="221"/>
        <v>0</v>
      </c>
      <c r="P349" s="10">
        <f t="shared" si="221"/>
        <v>0</v>
      </c>
      <c r="Q349" s="10">
        <f t="shared" si="221"/>
        <v>0</v>
      </c>
      <c r="R349" s="10">
        <f t="shared" si="221"/>
        <v>0</v>
      </c>
      <c r="S349" s="10">
        <f t="shared" si="221"/>
        <v>0</v>
      </c>
      <c r="T349" s="61"/>
    </row>
    <row r="350" spans="2:20" ht="16.5" hidden="1" customHeight="1" thickTop="1">
      <c r="B350" s="45"/>
      <c r="C350" s="195"/>
      <c r="D350" s="132"/>
      <c r="E350" s="220"/>
      <c r="F350" s="20"/>
      <c r="G350" s="21">
        <f t="shared" ref="G350" si="222">SUM(H350:S350)</f>
        <v>0</v>
      </c>
      <c r="H350" s="21">
        <f t="shared" ref="H350:H351" si="223">+F350*C350/31*29</f>
        <v>0</v>
      </c>
      <c r="I350" s="21">
        <f t="shared" ref="I350:I351" si="224">+F350*C350</f>
        <v>0</v>
      </c>
      <c r="J350" s="37">
        <f t="shared" ref="J350:J351" si="225">+F350*C350</f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</row>
    <row r="351" spans="2:20" ht="16.5" hidden="1" customHeight="1">
      <c r="B351" s="13"/>
      <c r="C351" s="14"/>
      <c r="D351" s="150"/>
      <c r="E351" s="275" t="s">
        <v>24</v>
      </c>
      <c r="F351" s="276"/>
      <c r="G351" s="16">
        <v>0</v>
      </c>
      <c r="H351" s="21">
        <f t="shared" si="223"/>
        <v>0</v>
      </c>
      <c r="I351" s="21">
        <f t="shared" si="224"/>
        <v>0</v>
      </c>
      <c r="J351" s="37">
        <f t="shared" si="225"/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0</v>
      </c>
    </row>
    <row r="352" spans="2:20" ht="16.5" hidden="1" customHeight="1"/>
    <row r="353" ht="16.5" customHeight="1"/>
  </sheetData>
  <mergeCells count="41">
    <mergeCell ref="B176:B178"/>
    <mergeCell ref="E212:F212"/>
    <mergeCell ref="B120:B122"/>
    <mergeCell ref="E152:F152"/>
    <mergeCell ref="E160:F160"/>
    <mergeCell ref="E164:F164"/>
    <mergeCell ref="E271:F271"/>
    <mergeCell ref="B273:B275"/>
    <mergeCell ref="E287:F287"/>
    <mergeCell ref="E298:F298"/>
    <mergeCell ref="E224:F224"/>
    <mergeCell ref="E228:F228"/>
    <mergeCell ref="B230:B232"/>
    <mergeCell ref="E237:F237"/>
    <mergeCell ref="B239:B241"/>
    <mergeCell ref="E303:F303"/>
    <mergeCell ref="E340:F340"/>
    <mergeCell ref="E343:F343"/>
    <mergeCell ref="E351:F351"/>
    <mergeCell ref="B289:B291"/>
    <mergeCell ref="B346:B348"/>
    <mergeCell ref="E308:F308"/>
    <mergeCell ref="E311:F311"/>
    <mergeCell ref="E333:F333"/>
    <mergeCell ref="E335:F335"/>
    <mergeCell ref="E337:F337"/>
    <mergeCell ref="B313:B315"/>
    <mergeCell ref="E329:F329"/>
    <mergeCell ref="B18:B20"/>
    <mergeCell ref="B106:B108"/>
    <mergeCell ref="E169:F169"/>
    <mergeCell ref="E174:F174"/>
    <mergeCell ref="E104:F104"/>
    <mergeCell ref="E118:F118"/>
    <mergeCell ref="B125:B126"/>
    <mergeCell ref="C125:C126"/>
    <mergeCell ref="B4:S4"/>
    <mergeCell ref="F5:M5"/>
    <mergeCell ref="B11:B12"/>
    <mergeCell ref="H11:S11"/>
    <mergeCell ref="C10:C12"/>
  </mergeCells>
  <printOptions horizontalCentered="1"/>
  <pageMargins left="0.39370078740157483" right="0.39370078740157483" top="0.39370078740157483" bottom="0.39370078740157483" header="0.31496062992125984" footer="0.31496062992125984"/>
  <pageSetup paperSize="256" scale="38" fitToHeight="0" orientation="landscape" r:id="rId1"/>
  <headerFooter>
    <oddFooter>&amp;C&amp;P</oddFooter>
  </headerFooter>
  <rowBreaks count="3" manualBreakCount="3">
    <brk id="92" min="1" max="18" man="1"/>
    <brk id="175" min="1" max="18" man="1"/>
    <brk id="265" min="1" max="18" man="1"/>
  </rowBreaks>
  <ignoredErrors>
    <ignoredError sqref="K166 N13 G68 G128 S334:S336 G197 G182 G23:G24 G319 G136:G137 G131 G250:G258 I322 G324 J32 I25 J66 J72 J98 J134 J185 G76 G99 G248 J249 H21:I21 J35" formula="1"/>
    <ignoredError sqref="B10:G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2"/>
  <sheetViews>
    <sheetView zoomScale="115" zoomScaleNormal="115" workbookViewId="0">
      <selection activeCell="E8" sqref="E8:E24"/>
    </sheetView>
  </sheetViews>
  <sheetFormatPr baseColWidth="10" defaultRowHeight="15"/>
  <cols>
    <col min="1" max="1" width="50.5703125" customWidth="1"/>
    <col min="2" max="2" width="21.5703125" style="174" customWidth="1"/>
    <col min="3" max="3" width="30.140625" style="174" customWidth="1"/>
    <col min="4" max="4" width="15.85546875" style="174" bestFit="1" customWidth="1"/>
    <col min="5" max="5" width="28.7109375" style="174" bestFit="1" customWidth="1"/>
    <col min="6" max="6" width="13.7109375" bestFit="1" customWidth="1"/>
  </cols>
  <sheetData>
    <row r="2" spans="1:5">
      <c r="A2" s="300" t="s">
        <v>26</v>
      </c>
      <c r="B2" s="287"/>
      <c r="C2" s="288"/>
      <c r="D2" s="288"/>
      <c r="E2" s="289"/>
    </row>
    <row r="3" spans="1:5">
      <c r="A3" s="300"/>
      <c r="B3" s="290"/>
      <c r="C3" s="291"/>
      <c r="D3" s="291"/>
      <c r="E3" s="292"/>
    </row>
    <row r="4" spans="1:5">
      <c r="A4" s="300"/>
      <c r="B4" s="290"/>
      <c r="C4" s="291"/>
      <c r="D4" s="291"/>
      <c r="E4" s="292"/>
    </row>
    <row r="5" spans="1:5">
      <c r="A5" s="301" t="s">
        <v>75</v>
      </c>
      <c r="B5" s="290"/>
      <c r="C5" s="291"/>
      <c r="D5" s="291"/>
      <c r="E5" s="292"/>
    </row>
    <row r="6" spans="1:5">
      <c r="A6" s="301"/>
      <c r="B6" s="293"/>
      <c r="C6" s="294"/>
      <c r="D6" s="294"/>
      <c r="E6" s="295"/>
    </row>
    <row r="7" spans="1:5">
      <c r="A7" s="236" t="s">
        <v>64</v>
      </c>
      <c r="B7" s="237" t="s">
        <v>65</v>
      </c>
      <c r="C7" s="237" t="s">
        <v>66</v>
      </c>
      <c r="D7" s="237" t="s">
        <v>67</v>
      </c>
      <c r="E7" s="238" t="s">
        <v>68</v>
      </c>
    </row>
    <row r="8" spans="1:5">
      <c r="A8" s="303" t="s">
        <v>138</v>
      </c>
      <c r="B8" s="45" t="str">
        <f>'REPROGRAMACIÓN 2022 029'!E35</f>
        <v>TÉCNICOS</v>
      </c>
      <c r="C8" s="304" t="str">
        <f>'REPROGRAMACIÓN 2022 029'!D35</f>
        <v>01/02/2022 AL 30/06/2022</v>
      </c>
      <c r="D8" s="302">
        <f>'REPROGRAMACIÓN 2022 029'!F35</f>
        <v>13500</v>
      </c>
      <c r="E8" s="302">
        <f>'REPROGRAMACIÓN 2022 029'!G35</f>
        <v>67500</v>
      </c>
    </row>
    <row r="9" spans="1:5" s="78" customFormat="1">
      <c r="A9" s="256" t="s">
        <v>97</v>
      </c>
      <c r="B9" s="124" t="str">
        <f>'REPROGRAMACIÓN 2022 029'!E46</f>
        <v>PROFESIONALES</v>
      </c>
      <c r="C9" s="257" t="str">
        <f>'REPROGRAMACIÓN 2022 029'!D46</f>
        <v>15/02/2022 AL 31/03/2022</v>
      </c>
      <c r="D9" s="258">
        <f>'REPROGRAMACIÓN 2022 029'!F46</f>
        <v>12000</v>
      </c>
      <c r="E9" s="258">
        <f>'REPROGRAMACIÓN 2022 029'!G46</f>
        <v>18000</v>
      </c>
    </row>
    <row r="10" spans="1:5" s="78" customFormat="1">
      <c r="A10" s="256" t="s">
        <v>100</v>
      </c>
      <c r="B10" s="124" t="str">
        <f>'REPROGRAMACIÓN 2022 029'!E47</f>
        <v>PROFESIONALES</v>
      </c>
      <c r="C10" s="257" t="str">
        <f>'REPROGRAMACIÓN 2022 029'!D47</f>
        <v>16/02/2022 AL 31/03/2022</v>
      </c>
      <c r="D10" s="258">
        <f>'REPROGRAMACIÓN 2022 029'!F47</f>
        <v>12000</v>
      </c>
      <c r="E10" s="258">
        <f>'REPROGRAMACIÓN 2022 029'!G47</f>
        <v>17571.43</v>
      </c>
    </row>
    <row r="11" spans="1:5" s="78" customFormat="1">
      <c r="A11" s="256" t="s">
        <v>105</v>
      </c>
      <c r="B11" s="124" t="str">
        <f>'REPROGRAMACIÓN 2022 029'!E48</f>
        <v>TÉCNICOS</v>
      </c>
      <c r="C11" s="257" t="str">
        <f>'REPROGRAMACIÓN 2022 029'!D48</f>
        <v>21/02/2022 AL 31/03/2022</v>
      </c>
      <c r="D11" s="258">
        <f>'REPROGRAMACIÓN 2022 029'!F48</f>
        <v>12000</v>
      </c>
      <c r="E11" s="258">
        <f>'REPROGRAMACIÓN 2022 029'!G48</f>
        <v>15428.57</v>
      </c>
    </row>
    <row r="12" spans="1:5" s="78" customFormat="1">
      <c r="A12" s="256" t="s">
        <v>108</v>
      </c>
      <c r="B12" s="124" t="str">
        <f>'REPROGRAMACIÓN 2022 029'!E49</f>
        <v>TÉCNICOS</v>
      </c>
      <c r="C12" s="257" t="str">
        <f>'REPROGRAMACIÓN 2022 029'!D49</f>
        <v>01/03/2022 AL 31/03/2022</v>
      </c>
      <c r="D12" s="258">
        <f>'REPROGRAMACIÓN 2022 029'!F49</f>
        <v>12000</v>
      </c>
      <c r="E12" s="258">
        <f>'REPROGRAMACIÓN 2022 029'!G49</f>
        <v>12000</v>
      </c>
    </row>
    <row r="13" spans="1:5" s="78" customFormat="1">
      <c r="A13" s="256" t="s">
        <v>106</v>
      </c>
      <c r="B13" s="124" t="str">
        <f>'REPROGRAMACIÓN 2022 029'!E50</f>
        <v>PROFESIONALES</v>
      </c>
      <c r="C13" s="257" t="str">
        <f>'REPROGRAMACIÓN 2022 029'!D50</f>
        <v>01/03/2022 AL 31/03/2022</v>
      </c>
      <c r="D13" s="258">
        <f>'REPROGRAMACIÓN 2022 029'!F50</f>
        <v>11000</v>
      </c>
      <c r="E13" s="258">
        <f>'REPROGRAMACIÓN 2022 029'!G50</f>
        <v>11000</v>
      </c>
    </row>
    <row r="14" spans="1:5" s="78" customFormat="1">
      <c r="A14" s="256" t="s">
        <v>107</v>
      </c>
      <c r="B14" s="124" t="str">
        <f>'REPROGRAMACIÓN 2022 029'!E64</f>
        <v>PROFESIONALES</v>
      </c>
      <c r="C14" s="257" t="str">
        <f>'REPROGRAMACIÓN 2022 029'!D64</f>
        <v>01/03/2022 AL 31/03/2022</v>
      </c>
      <c r="D14" s="258">
        <f>'REPROGRAMACIÓN 2022 029'!F64</f>
        <v>10000</v>
      </c>
      <c r="E14" s="258">
        <f>'REPROGRAMACIÓN 2022 029'!G64</f>
        <v>10000</v>
      </c>
    </row>
    <row r="15" spans="1:5" s="78" customFormat="1">
      <c r="A15" s="256" t="s">
        <v>104</v>
      </c>
      <c r="B15" s="124" t="str">
        <f>'REPROGRAMACIÓN 2022 029'!E66</f>
        <v>PROFESIONALES</v>
      </c>
      <c r="C15" s="257" t="str">
        <f>'REPROGRAMACIÓN 2022 029'!D66</f>
        <v>16/02/2022 AL 31/03/2022</v>
      </c>
      <c r="D15" s="258">
        <f>'REPROGRAMACIÓN 2022 029'!F66</f>
        <v>9000</v>
      </c>
      <c r="E15" s="258">
        <f>'REPROGRAMACIÓN 2022 029'!G66</f>
        <v>13178.57</v>
      </c>
    </row>
    <row r="16" spans="1:5" s="78" customFormat="1">
      <c r="A16" s="256" t="s">
        <v>96</v>
      </c>
      <c r="B16" s="124" t="str">
        <f>'REPROGRAMACIÓN 2022 029'!E72</f>
        <v>TÉCNICOS</v>
      </c>
      <c r="C16" s="257" t="str">
        <f>'REPROGRAMACIÓN 2022 029'!D72</f>
        <v>07/02/2022 AL 31/03/2022</v>
      </c>
      <c r="D16" s="258">
        <f>'REPROGRAMACIÓN 2022 029'!F72</f>
        <v>8000</v>
      </c>
      <c r="E16" s="258">
        <f>'REPROGRAMACIÓN 2022 029'!G72</f>
        <v>14285.71</v>
      </c>
    </row>
    <row r="17" spans="1:7" s="78" customFormat="1">
      <c r="A17" s="256" t="s">
        <v>99</v>
      </c>
      <c r="B17" s="124" t="str">
        <f>'REPROGRAMACIÓN 2022 029'!E73</f>
        <v>TÉCNICOS</v>
      </c>
      <c r="C17" s="257" t="str">
        <f>'REPROGRAMACIÓN 2022 029'!D73</f>
        <v>16/02/2022 AL 31/03/2022</v>
      </c>
      <c r="D17" s="258">
        <f>'REPROGRAMACIÓN 2022 029'!F73</f>
        <v>8000</v>
      </c>
      <c r="E17" s="258">
        <f>'REPROGRAMACIÓN 2022 029'!G73</f>
        <v>11714.29</v>
      </c>
    </row>
    <row r="18" spans="1:7" s="78" customFormat="1">
      <c r="A18" s="256" t="s">
        <v>101</v>
      </c>
      <c r="B18" s="124" t="str">
        <f>'REPROGRAMACIÓN 2022 029'!E74</f>
        <v>TÉCNICOS</v>
      </c>
      <c r="C18" s="257" t="str">
        <f>'REPROGRAMACIÓN 2022 029'!D74</f>
        <v>16/02/2022 AL 31/03/2022</v>
      </c>
      <c r="D18" s="258">
        <f>'REPROGRAMACIÓN 2022 029'!F74</f>
        <v>8000</v>
      </c>
      <c r="E18" s="258">
        <f>'REPROGRAMACIÓN 2022 029'!G74</f>
        <v>11714.29</v>
      </c>
    </row>
    <row r="19" spans="1:7" s="78" customFormat="1">
      <c r="A19" s="256" t="s">
        <v>102</v>
      </c>
      <c r="B19" s="124" t="str">
        <f>'REPROGRAMACIÓN 2022 029'!E75</f>
        <v>TÉCNICOS</v>
      </c>
      <c r="C19" s="257" t="str">
        <f>'REPROGRAMACIÓN 2022 029'!D75</f>
        <v>16/02/2022 AL 31/03/2022</v>
      </c>
      <c r="D19" s="258">
        <f>'REPROGRAMACIÓN 2022 029'!F75</f>
        <v>8000</v>
      </c>
      <c r="E19" s="258">
        <f>'REPROGRAMACIÓN 2022 029'!G75</f>
        <v>11714.29</v>
      </c>
    </row>
    <row r="20" spans="1:7" s="78" customFormat="1" ht="15" customHeight="1">
      <c r="A20" s="256" t="s">
        <v>98</v>
      </c>
      <c r="B20" s="124" t="str">
        <f>'REPROGRAMACIÓN 2022 029'!E98</f>
        <v>TÉCNICOS</v>
      </c>
      <c r="C20" s="257" t="str">
        <f>'REPROGRAMACIÓN 2022 029'!D98</f>
        <v>16/02/2022 AL 31/03/2022</v>
      </c>
      <c r="D20" s="258">
        <f>'REPROGRAMACIÓN 2022 029'!F98</f>
        <v>5000</v>
      </c>
      <c r="E20" s="258">
        <f>'REPROGRAMACIÓN 2022 029'!G98</f>
        <v>7321.43</v>
      </c>
    </row>
    <row r="21" spans="1:7" s="78" customFormat="1">
      <c r="A21" s="256" t="s">
        <v>103</v>
      </c>
      <c r="B21" s="124" t="str">
        <f>'REPROGRAMACIÓN 2022 029'!E99</f>
        <v>TÉCNICOS</v>
      </c>
      <c r="C21" s="257" t="str">
        <f>'REPROGRAMACIÓN 2022 029'!D99</f>
        <v>16/02/2022 AL 31/03/2022</v>
      </c>
      <c r="D21" s="258">
        <f>'REPROGRAMACIÓN 2022 029'!F99</f>
        <v>5000</v>
      </c>
      <c r="E21" s="258">
        <f>'REPROGRAMACIÓN 2022 029'!G99</f>
        <v>7321.43</v>
      </c>
    </row>
    <row r="22" spans="1:7" s="78" customFormat="1">
      <c r="A22" s="256" t="s">
        <v>112</v>
      </c>
      <c r="B22" s="124" t="str">
        <f>'REPROGRAMACIÓN 2022 029'!E101</f>
        <v>TÉCNICOS</v>
      </c>
      <c r="C22" s="257" t="str">
        <f>'REPROGRAMACIÓN 2022 029'!D101</f>
        <v>01/03/2022 AL 31/03/2022</v>
      </c>
      <c r="D22" s="258">
        <f>'REPROGRAMACIÓN 2022 029'!F101</f>
        <v>3500</v>
      </c>
      <c r="E22" s="258">
        <f>'REPROGRAMACIÓN 2022 029'!G101</f>
        <v>3500</v>
      </c>
    </row>
    <row r="23" spans="1:7" s="78" customFormat="1">
      <c r="A23" s="256" t="s">
        <v>113</v>
      </c>
      <c r="B23" s="124" t="str">
        <f>'REPROGRAMACIÓN 2022 029'!E102</f>
        <v>TÉCNICOS</v>
      </c>
      <c r="C23" s="257" t="str">
        <f>'REPROGRAMACIÓN 2022 029'!D102</f>
        <v>01/03/2022 AL 31/03/2022</v>
      </c>
      <c r="D23" s="258">
        <f>'REPROGRAMACIÓN 2022 029'!F102</f>
        <v>3500</v>
      </c>
      <c r="E23" s="258">
        <f>'REPROGRAMACIÓN 2022 029'!G102</f>
        <v>3500</v>
      </c>
    </row>
    <row r="24" spans="1:7" s="78" customFormat="1">
      <c r="A24" s="256" t="s">
        <v>114</v>
      </c>
      <c r="B24" s="124" t="str">
        <f>'REPROGRAMACIÓN 2022 029'!E103</f>
        <v>TÉCNICOS</v>
      </c>
      <c r="C24" s="257" t="str">
        <f>'REPROGRAMACIÓN 2022 029'!D103</f>
        <v>01/03/2022 AL 31/03/2022</v>
      </c>
      <c r="D24" s="258">
        <f>'REPROGRAMACIÓN 2022 029'!F103</f>
        <v>3500</v>
      </c>
      <c r="E24" s="258">
        <f>'REPROGRAMACIÓN 2022 029'!G103</f>
        <v>3500</v>
      </c>
    </row>
    <row r="25" spans="1:7">
      <c r="D25" s="240">
        <f>SUM(D8:D24)</f>
        <v>144000</v>
      </c>
      <c r="E25" s="240">
        <f>SUM(E8:E24)</f>
        <v>239250.01</v>
      </c>
      <c r="F25" s="255"/>
      <c r="G25" s="255"/>
    </row>
    <row r="26" spans="1:7" ht="15" customHeight="1">
      <c r="A26" s="252"/>
      <c r="D26" s="241"/>
      <c r="E26"/>
    </row>
    <row r="27" spans="1:7" ht="15" customHeight="1">
      <c r="A27" s="252"/>
      <c r="D27" s="241"/>
      <c r="E27"/>
    </row>
    <row r="28" spans="1:7" ht="15" customHeight="1">
      <c r="A28" s="286" t="s">
        <v>27</v>
      </c>
      <c r="B28" s="287"/>
      <c r="C28" s="288"/>
      <c r="D28" s="288"/>
      <c r="E28" s="289"/>
    </row>
    <row r="29" spans="1:7" ht="15" customHeight="1">
      <c r="A29" s="286"/>
      <c r="B29" s="290"/>
      <c r="C29" s="291"/>
      <c r="D29" s="291"/>
      <c r="E29" s="292"/>
    </row>
    <row r="30" spans="1:7" ht="15" customHeight="1">
      <c r="A30" s="286"/>
      <c r="B30" s="290"/>
      <c r="C30" s="291"/>
      <c r="D30" s="291"/>
      <c r="E30" s="292"/>
    </row>
    <row r="31" spans="1:7" ht="15" customHeight="1">
      <c r="A31" s="301" t="s">
        <v>76</v>
      </c>
      <c r="B31" s="290"/>
      <c r="C31" s="291"/>
      <c r="D31" s="291"/>
      <c r="E31" s="292"/>
    </row>
    <row r="32" spans="1:7" ht="15" customHeight="1">
      <c r="A32" s="301"/>
      <c r="B32" s="293"/>
      <c r="C32" s="294"/>
      <c r="D32" s="294"/>
      <c r="E32" s="295"/>
    </row>
    <row r="33" spans="1:5" ht="15" customHeight="1">
      <c r="A33" s="236" t="s">
        <v>64</v>
      </c>
      <c r="B33" s="237" t="s">
        <v>65</v>
      </c>
      <c r="C33" s="237" t="s">
        <v>66</v>
      </c>
      <c r="D33" s="237" t="s">
        <v>67</v>
      </c>
      <c r="E33" s="238" t="s">
        <v>68</v>
      </c>
    </row>
    <row r="34" spans="1:5" s="78" customFormat="1" ht="15" customHeight="1">
      <c r="A34" s="256" t="s">
        <v>117</v>
      </c>
      <c r="B34" s="259" t="str">
        <f>'REPROGRAMACIÓN 2022 029'!E114</f>
        <v>TÉCNICOS</v>
      </c>
      <c r="C34" s="260" t="str">
        <f>'REPROGRAMACIÓN 2022 029'!D114</f>
        <v>16/02/2022 AL 31/03/2022</v>
      </c>
      <c r="D34" s="258">
        <f>'REPROGRAMACIÓN 2022 029'!F114</f>
        <v>3500</v>
      </c>
      <c r="E34" s="258">
        <f>'REPROGRAMACIÓN 2022 029'!G114</f>
        <v>5125</v>
      </c>
    </row>
    <row r="35" spans="1:5" s="78" customFormat="1" ht="15" customHeight="1">
      <c r="A35" s="256" t="s">
        <v>118</v>
      </c>
      <c r="B35" s="259" t="str">
        <f>'REPROGRAMACIÓN 2022 029'!E115</f>
        <v>TÉCNICOS</v>
      </c>
      <c r="C35" s="260" t="str">
        <f>'REPROGRAMACIÓN 2022 029'!D115</f>
        <v>16/02/2022 AL 31/03/2022</v>
      </c>
      <c r="D35" s="258">
        <f>'REPROGRAMACIÓN 2022 029'!F115</f>
        <v>3500</v>
      </c>
      <c r="E35" s="258">
        <f>'REPROGRAMACIÓN 2022 029'!G115</f>
        <v>5125</v>
      </c>
    </row>
    <row r="36" spans="1:5" s="78" customFormat="1" ht="15" customHeight="1">
      <c r="A36" s="256" t="s">
        <v>119</v>
      </c>
      <c r="B36" s="259" t="str">
        <f>'REPROGRAMACIÓN 2022 029'!E116</f>
        <v>TÉCNICOS</v>
      </c>
      <c r="C36" s="260" t="str">
        <f>'REPROGRAMACIÓN 2022 029'!D116</f>
        <v>16/02/2022 AL 31/03/2022</v>
      </c>
      <c r="D36" s="258">
        <f>'REPROGRAMACIÓN 2022 029'!F116</f>
        <v>3500</v>
      </c>
      <c r="E36" s="258">
        <f>'REPROGRAMACIÓN 2022 029'!G116</f>
        <v>5125</v>
      </c>
    </row>
    <row r="37" spans="1:5" s="78" customFormat="1" ht="15" customHeight="1">
      <c r="A37" s="256" t="s">
        <v>120</v>
      </c>
      <c r="B37" s="259" t="str">
        <f>'REPROGRAMACIÓN 2022 029'!E117</f>
        <v>TÉCNICOS</v>
      </c>
      <c r="C37" s="260" t="str">
        <f>'REPROGRAMACIÓN 2022 029'!D117</f>
        <v>01/03/2022 AL 31/03/2022</v>
      </c>
      <c r="D37" s="258">
        <f>'REPROGRAMACIÓN 2022 029'!F117</f>
        <v>3500</v>
      </c>
      <c r="E37" s="258">
        <f>'REPROGRAMACIÓN 2022 029'!G117</f>
        <v>3500</v>
      </c>
    </row>
    <row r="38" spans="1:5" ht="15" customHeight="1">
      <c r="D38" s="240">
        <f>SUM(D34:D37)</f>
        <v>14000</v>
      </c>
      <c r="E38" s="240">
        <f>SUM(E34:E37)</f>
        <v>18875</v>
      </c>
    </row>
    <row r="39" spans="1:5" ht="15" customHeight="1">
      <c r="D39" s="241"/>
      <c r="E39" s="241"/>
    </row>
    <row r="40" spans="1:5" ht="15" customHeight="1">
      <c r="D40" s="241"/>
      <c r="E40" s="241"/>
    </row>
    <row r="41" spans="1:5" ht="15" customHeight="1">
      <c r="A41" s="286" t="s">
        <v>28</v>
      </c>
      <c r="B41" s="287"/>
      <c r="C41" s="288"/>
      <c r="D41" s="288"/>
      <c r="E41" s="289"/>
    </row>
    <row r="42" spans="1:5" ht="15" customHeight="1">
      <c r="A42" s="286"/>
      <c r="B42" s="290"/>
      <c r="C42" s="291"/>
      <c r="D42" s="291"/>
      <c r="E42" s="292"/>
    </row>
    <row r="43" spans="1:5" ht="15" customHeight="1">
      <c r="A43" s="286"/>
      <c r="B43" s="290"/>
      <c r="C43" s="291"/>
      <c r="D43" s="291"/>
      <c r="E43" s="292"/>
    </row>
    <row r="44" spans="1:5" ht="15" customHeight="1">
      <c r="A44" s="296" t="s">
        <v>78</v>
      </c>
      <c r="B44" s="290"/>
      <c r="C44" s="291"/>
      <c r="D44" s="291"/>
      <c r="E44" s="292"/>
    </row>
    <row r="45" spans="1:5" ht="15" customHeight="1">
      <c r="A45" s="297"/>
      <c r="B45" s="293"/>
      <c r="C45" s="294"/>
      <c r="D45" s="294"/>
      <c r="E45" s="295"/>
    </row>
    <row r="46" spans="1:5" ht="15" customHeight="1">
      <c r="A46" s="236" t="s">
        <v>64</v>
      </c>
      <c r="B46" s="237" t="s">
        <v>65</v>
      </c>
      <c r="C46" s="237" t="s">
        <v>66</v>
      </c>
      <c r="D46" s="237" t="s">
        <v>67</v>
      </c>
      <c r="E46" s="238" t="s">
        <v>68</v>
      </c>
    </row>
    <row r="47" spans="1:5" s="78" customFormat="1" ht="15" customHeight="1">
      <c r="A47" s="256" t="s">
        <v>122</v>
      </c>
      <c r="B47" s="263" t="str">
        <f>'REPROGRAMACIÓN 2022 029'!E134</f>
        <v>TÉCNICOS</v>
      </c>
      <c r="C47" s="264" t="str">
        <f>'REPROGRAMACIÓN 2022 029'!D134</f>
        <v>16/02/2022 AL 31/03/2022</v>
      </c>
      <c r="D47" s="258">
        <f>'REPROGRAMACIÓN 2022 029'!F134</f>
        <v>8000</v>
      </c>
      <c r="E47" s="258">
        <f>'REPROGRAMACIÓN 2022 029'!G134</f>
        <v>11714.29</v>
      </c>
    </row>
    <row r="48" spans="1:5" s="78" customFormat="1" ht="15" customHeight="1">
      <c r="A48" s="256" t="s">
        <v>121</v>
      </c>
      <c r="B48" s="259" t="str">
        <f>'REPROGRAMACIÓN 2022 029'!E151</f>
        <v>TÉCNICOS</v>
      </c>
      <c r="C48" s="260" t="str">
        <f>'REPROGRAMACIÓN 2022 029'!D151</f>
        <v>16/02/2022 AL 31/03/2022</v>
      </c>
      <c r="D48" s="261">
        <f>'REPROGRAMACIÓN 2022 029'!F151</f>
        <v>3500</v>
      </c>
      <c r="E48" s="261">
        <f>'REPROGRAMACIÓN 2022 029'!G151</f>
        <v>5125</v>
      </c>
    </row>
    <row r="49" spans="1:5" ht="15" customHeight="1">
      <c r="D49" s="240">
        <f>SUM(D47:D48)</f>
        <v>11500</v>
      </c>
      <c r="E49" s="240">
        <f>SUM(E47:E48)</f>
        <v>16839.29</v>
      </c>
    </row>
    <row r="50" spans="1:5" ht="15" customHeight="1">
      <c r="D50" s="241"/>
      <c r="E50" s="241"/>
    </row>
    <row r="51" spans="1:5" ht="15" customHeight="1">
      <c r="A51" s="286" t="s">
        <v>57</v>
      </c>
      <c r="B51" s="287"/>
      <c r="C51" s="288"/>
      <c r="D51" s="288"/>
      <c r="E51" s="289"/>
    </row>
    <row r="52" spans="1:5" ht="15" customHeight="1">
      <c r="A52" s="286"/>
      <c r="B52" s="290"/>
      <c r="C52" s="291"/>
      <c r="D52" s="291"/>
      <c r="E52" s="292"/>
    </row>
    <row r="53" spans="1:5" ht="15" customHeight="1">
      <c r="A53" s="286"/>
      <c r="B53" s="290"/>
      <c r="C53" s="291"/>
      <c r="D53" s="291"/>
      <c r="E53" s="292"/>
    </row>
    <row r="54" spans="1:5" ht="15" customHeight="1">
      <c r="A54" s="296" t="s">
        <v>84</v>
      </c>
      <c r="B54" s="290"/>
      <c r="C54" s="291"/>
      <c r="D54" s="291"/>
      <c r="E54" s="292"/>
    </row>
    <row r="55" spans="1:5" ht="15" customHeight="1">
      <c r="A55" s="297"/>
      <c r="B55" s="293"/>
      <c r="C55" s="294"/>
      <c r="D55" s="294"/>
      <c r="E55" s="295"/>
    </row>
    <row r="56" spans="1:5" ht="15" customHeight="1">
      <c r="A56" s="236" t="s">
        <v>64</v>
      </c>
      <c r="B56" s="237" t="s">
        <v>65</v>
      </c>
      <c r="C56" s="237" t="s">
        <v>66</v>
      </c>
      <c r="D56" s="237" t="s">
        <v>67</v>
      </c>
      <c r="E56" s="238" t="s">
        <v>68</v>
      </c>
    </row>
    <row r="57" spans="1:5" s="78" customFormat="1" ht="15" customHeight="1">
      <c r="A57" s="262" t="s">
        <v>123</v>
      </c>
      <c r="B57" s="259" t="str">
        <f>'REPROGRAMACIÓN 2022 029'!E185</f>
        <v>TÉCNICOS</v>
      </c>
      <c r="C57" s="260" t="str">
        <f>'REPROGRAMACIÓN 2022 029'!D185</f>
        <v>21/02/2022 AL 31/03/2022</v>
      </c>
      <c r="D57" s="258">
        <f>'REPROGRAMACIÓN 2022 029'!F185</f>
        <v>8500</v>
      </c>
      <c r="E57" s="258">
        <f>'REPROGRAMACIÓN 2022 029'!G185</f>
        <v>10928.57</v>
      </c>
    </row>
    <row r="58" spans="1:5" s="78" customFormat="1" ht="15" customHeight="1">
      <c r="A58" s="262" t="s">
        <v>126</v>
      </c>
      <c r="B58" s="259" t="str">
        <f>'REPROGRAMACIÓN 2022 029'!E208</f>
        <v>TÉCNICOS</v>
      </c>
      <c r="C58" s="260" t="str">
        <f>'REPROGRAMACIÓN 2022 029'!D208</f>
        <v>01/03/2022 AL 31/03/2022</v>
      </c>
      <c r="D58" s="258">
        <f>'REPROGRAMACIÓN 2022 029'!F208</f>
        <v>3500</v>
      </c>
      <c r="E58" s="258">
        <f>'REPROGRAMACIÓN 2022 029'!G208</f>
        <v>3500</v>
      </c>
    </row>
    <row r="59" spans="1:5" s="78" customFormat="1" ht="15" customHeight="1">
      <c r="A59" s="262" t="s">
        <v>127</v>
      </c>
      <c r="B59" s="259" t="str">
        <f>'REPROGRAMACIÓN 2022 029'!E209</f>
        <v>TÉCNICOS</v>
      </c>
      <c r="C59" s="260" t="str">
        <f>'REPROGRAMACIÓN 2022 029'!D209</f>
        <v>01/03/2022 AL 31/03/2022</v>
      </c>
      <c r="D59" s="258">
        <f>'REPROGRAMACIÓN 2022 029'!F209</f>
        <v>3500</v>
      </c>
      <c r="E59" s="258">
        <f>'REPROGRAMACIÓN 2022 029'!G209</f>
        <v>3500</v>
      </c>
    </row>
    <row r="60" spans="1:5" s="78" customFormat="1" ht="15" customHeight="1">
      <c r="A60" s="256" t="s">
        <v>124</v>
      </c>
      <c r="B60" s="259" t="str">
        <f>'REPROGRAMACIÓN 2022 029'!E210</f>
        <v>TÉCNICOS</v>
      </c>
      <c r="C60" s="260" t="str">
        <f>'REPROGRAMACIÓN 2022 029'!D210</f>
        <v>16/02/2022 AL 31/03/2022</v>
      </c>
      <c r="D60" s="258">
        <f>'REPROGRAMACIÓN 2022 029'!F210</f>
        <v>3500</v>
      </c>
      <c r="E60" s="258">
        <f>'REPROGRAMACIÓN 2022 029'!G210</f>
        <v>5125</v>
      </c>
    </row>
    <row r="61" spans="1:5" s="78" customFormat="1" ht="15" customHeight="1">
      <c r="A61" s="256" t="s">
        <v>125</v>
      </c>
      <c r="B61" s="259" t="str">
        <f>'REPROGRAMACIÓN 2022 029'!E211</f>
        <v>TÉCNICOS</v>
      </c>
      <c r="C61" s="260" t="str">
        <f>'REPROGRAMACIÓN 2022 029'!D211</f>
        <v>16/02/2022 AL 31/03/2022</v>
      </c>
      <c r="D61" s="258">
        <f>'REPROGRAMACIÓN 2022 029'!F211</f>
        <v>3500</v>
      </c>
      <c r="E61" s="258">
        <f>'REPROGRAMACIÓN 2022 029'!G211</f>
        <v>5125</v>
      </c>
    </row>
    <row r="62" spans="1:5" ht="15" customHeight="1">
      <c r="D62" s="240">
        <f>SUM(D57:D61)</f>
        <v>22500</v>
      </c>
      <c r="E62" s="240">
        <f>SUM(E57:E61)</f>
        <v>28178.57</v>
      </c>
    </row>
    <row r="63" spans="1:5" ht="15" customHeight="1">
      <c r="D63" s="241"/>
      <c r="E63" s="241"/>
    </row>
    <row r="64" spans="1:5" ht="15" customHeight="1">
      <c r="A64" s="286" t="s">
        <v>57</v>
      </c>
      <c r="B64" s="287"/>
      <c r="C64" s="288"/>
      <c r="D64" s="288"/>
      <c r="E64" s="289"/>
    </row>
    <row r="65" spans="1:5" ht="15" customHeight="1">
      <c r="A65" s="286"/>
      <c r="B65" s="290"/>
      <c r="C65" s="291"/>
      <c r="D65" s="291"/>
      <c r="E65" s="292"/>
    </row>
    <row r="66" spans="1:5" ht="15" customHeight="1">
      <c r="A66" s="286"/>
      <c r="B66" s="290"/>
      <c r="C66" s="291"/>
      <c r="D66" s="291"/>
      <c r="E66" s="292"/>
    </row>
    <row r="67" spans="1:5" ht="15" customHeight="1">
      <c r="A67" s="296" t="s">
        <v>85</v>
      </c>
      <c r="B67" s="290"/>
      <c r="C67" s="291"/>
      <c r="D67" s="291"/>
      <c r="E67" s="292"/>
    </row>
    <row r="68" spans="1:5" ht="15" customHeight="1">
      <c r="A68" s="297"/>
      <c r="B68" s="293"/>
      <c r="C68" s="294"/>
      <c r="D68" s="294"/>
      <c r="E68" s="295"/>
    </row>
    <row r="69" spans="1:5" ht="15" customHeight="1">
      <c r="A69" s="236" t="s">
        <v>64</v>
      </c>
      <c r="B69" s="237" t="s">
        <v>65</v>
      </c>
      <c r="C69" s="237" t="s">
        <v>66</v>
      </c>
      <c r="D69" s="237" t="s">
        <v>67</v>
      </c>
      <c r="E69" s="238" t="s">
        <v>68</v>
      </c>
    </row>
    <row r="70" spans="1:5" s="78" customFormat="1" ht="15" customHeight="1">
      <c r="A70" s="262" t="s">
        <v>128</v>
      </c>
      <c r="B70" s="259" t="str">
        <f>'REPROGRAMACIÓN 2022 029'!E217</f>
        <v>TÉCNICOS</v>
      </c>
      <c r="C70" s="260" t="str">
        <f>'REPROGRAMACIÓN 2022 029'!D217</f>
        <v>16/02/2022 AL 31/03/2022</v>
      </c>
      <c r="D70" s="258">
        <f>'REPROGRAMACIÓN 2022 029'!F217</f>
        <v>7000</v>
      </c>
      <c r="E70" s="258">
        <f>'REPROGRAMACIÓN 2022 029'!G217</f>
        <v>10250</v>
      </c>
    </row>
    <row r="71" spans="1:5" s="78" customFormat="1" ht="15" customHeight="1">
      <c r="A71" s="262" t="s">
        <v>129</v>
      </c>
      <c r="B71" s="259" t="str">
        <f>'REPROGRAMACIÓN 2022 029'!E218</f>
        <v>TÉCNICOS</v>
      </c>
      <c r="C71" s="260" t="str">
        <f>'REPROGRAMACIÓN 2022 029'!D218</f>
        <v>16/02/2022 AL 31/03/2022</v>
      </c>
      <c r="D71" s="258">
        <f>'REPROGRAMACIÓN 2022 029'!F218</f>
        <v>6500</v>
      </c>
      <c r="E71" s="258">
        <f>'REPROGRAMACIÓN 2022 029'!G218</f>
        <v>9517.86</v>
      </c>
    </row>
    <row r="72" spans="1:5" s="78" customFormat="1" ht="15" customHeight="1">
      <c r="A72" s="262" t="s">
        <v>130</v>
      </c>
      <c r="B72" s="259" t="str">
        <f>'REPROGRAMACIÓN 2022 029'!E219</f>
        <v>TÉCNICOS</v>
      </c>
      <c r="C72" s="260" t="str">
        <f>'REPROGRAMACIÓN 2022 029'!D219</f>
        <v>21/02/2022 AL 31/03/2022</v>
      </c>
      <c r="D72" s="258">
        <f>'REPROGRAMACIÓN 2022 029'!F219</f>
        <v>6500</v>
      </c>
      <c r="E72" s="258">
        <f>'REPROGRAMACIÓN 2022 029'!G219</f>
        <v>8357.14</v>
      </c>
    </row>
    <row r="73" spans="1:5" s="78" customFormat="1" ht="15" customHeight="1">
      <c r="A73" s="256" t="s">
        <v>131</v>
      </c>
      <c r="B73" s="259" t="str">
        <f>'REPROGRAMACIÓN 2022 029'!E221</f>
        <v>TÉCNICOS</v>
      </c>
      <c r="C73" s="260" t="str">
        <f>'REPROGRAMACIÓN 2022 029'!D221</f>
        <v>07/02/2022 AL 31/03/2022</v>
      </c>
      <c r="D73" s="258">
        <f>'REPROGRAMACIÓN 2022 029'!F221</f>
        <v>5000</v>
      </c>
      <c r="E73" s="258">
        <f>'REPROGRAMACIÓN 2022 029'!G221</f>
        <v>8928.57</v>
      </c>
    </row>
    <row r="74" spans="1:5" s="78" customFormat="1" ht="15" customHeight="1">
      <c r="A74" s="256" t="s">
        <v>132</v>
      </c>
      <c r="B74" s="259" t="str">
        <f>'REPROGRAMACIÓN 2022 029'!E222</f>
        <v>TÉCNICOS</v>
      </c>
      <c r="C74" s="260" t="str">
        <f>'REPROGRAMACIÓN 2022 029'!D222</f>
        <v>16/02/2022 AL 31/03/2022</v>
      </c>
      <c r="D74" s="258">
        <f>'REPROGRAMACIÓN 2022 029'!F222</f>
        <v>3500</v>
      </c>
      <c r="E74" s="258">
        <f>'REPROGRAMACIÓN 2022 029'!G222</f>
        <v>5125</v>
      </c>
    </row>
    <row r="75" spans="1:5" s="78" customFormat="1" ht="15" customHeight="1">
      <c r="A75" s="134" t="s">
        <v>133</v>
      </c>
      <c r="B75" s="259" t="str">
        <f>'REPROGRAMACIÓN 2022 029'!E223</f>
        <v>TÉCNICOS</v>
      </c>
      <c r="C75" s="260" t="str">
        <f>'REPROGRAMACIÓN 2022 029'!D223</f>
        <v>01/03/2022 AL 31/03/2022</v>
      </c>
      <c r="D75" s="258">
        <f>'REPROGRAMACIÓN 2022 029'!F223</f>
        <v>3500</v>
      </c>
      <c r="E75" s="258">
        <f>'REPROGRAMACIÓN 2022 029'!G223</f>
        <v>3500</v>
      </c>
    </row>
    <row r="76" spans="1:5" ht="15" customHeight="1">
      <c r="B76" s="74"/>
      <c r="C76" s="74"/>
      <c r="D76" s="240">
        <f>SUM(D70:D75)</f>
        <v>32000</v>
      </c>
      <c r="E76" s="240">
        <f>SUM(E70:E75)</f>
        <v>45678.57</v>
      </c>
    </row>
    <row r="77" spans="1:5" ht="15" customHeight="1">
      <c r="B77" s="74"/>
      <c r="C77" s="74"/>
      <c r="D77" s="74"/>
      <c r="E77" s="74"/>
    </row>
    <row r="78" spans="1:5" ht="15" customHeight="1">
      <c r="A78" s="286" t="s">
        <v>56</v>
      </c>
      <c r="B78" s="287"/>
      <c r="C78" s="288"/>
      <c r="D78" s="288"/>
      <c r="E78" s="289"/>
    </row>
    <row r="79" spans="1:5" ht="15" customHeight="1">
      <c r="A79" s="286"/>
      <c r="B79" s="290"/>
      <c r="C79" s="291"/>
      <c r="D79" s="291"/>
      <c r="E79" s="292"/>
    </row>
    <row r="80" spans="1:5" ht="15" customHeight="1">
      <c r="A80" s="286"/>
      <c r="B80" s="290"/>
      <c r="C80" s="291"/>
      <c r="D80" s="291"/>
      <c r="E80" s="292"/>
    </row>
    <row r="81" spans="1:7" ht="15" customHeight="1">
      <c r="A81" s="296" t="s">
        <v>88</v>
      </c>
      <c r="B81" s="290"/>
      <c r="C81" s="291"/>
      <c r="D81" s="291"/>
      <c r="E81" s="292"/>
    </row>
    <row r="82" spans="1:7" ht="15" customHeight="1">
      <c r="A82" s="297"/>
      <c r="B82" s="293"/>
      <c r="C82" s="294"/>
      <c r="D82" s="294"/>
      <c r="E82" s="295"/>
    </row>
    <row r="83" spans="1:7" ht="15" customHeight="1">
      <c r="A83" s="236" t="s">
        <v>64</v>
      </c>
      <c r="B83" s="237" t="s">
        <v>65</v>
      </c>
      <c r="C83" s="237" t="s">
        <v>66</v>
      </c>
      <c r="D83" s="237" t="s">
        <v>67</v>
      </c>
      <c r="E83" s="238" t="s">
        <v>68</v>
      </c>
    </row>
    <row r="84" spans="1:7" s="78" customFormat="1" ht="15" customHeight="1">
      <c r="A84" s="134" t="s">
        <v>135</v>
      </c>
      <c r="B84" s="259" t="str">
        <f>'REPROGRAMACIÓN 2022 029'!E249</f>
        <v>PROFESIONALES</v>
      </c>
      <c r="C84" s="260" t="str">
        <f>'REPROGRAMACIÓN 2022 029'!D249</f>
        <v>16/02/2022 AL 31/03/2022</v>
      </c>
      <c r="D84" s="261">
        <f>'REPROGRAMACIÓN 2022 029'!F249</f>
        <v>8000</v>
      </c>
      <c r="E84" s="261">
        <f>'REPROGRAMACIÓN 2022 029'!G249</f>
        <v>11714.29</v>
      </c>
    </row>
    <row r="85" spans="1:7" s="78" customFormat="1" ht="15" customHeight="1">
      <c r="A85" s="262" t="s">
        <v>134</v>
      </c>
      <c r="B85" s="259" t="str">
        <f>'REPROGRAMACIÓN 2022 029'!E270</f>
        <v>TÉCNICOS</v>
      </c>
      <c r="C85" s="260" t="str">
        <f>'REPROGRAMACIÓN 2022 029'!D270</f>
        <v>01/03/2022 AL 31/03/2022</v>
      </c>
      <c r="D85" s="258">
        <f>'REPROGRAMACIÓN 2022 029'!F270</f>
        <v>3500</v>
      </c>
      <c r="E85" s="258">
        <f>'REPROGRAMACIÓN 2022 029'!G270</f>
        <v>3500</v>
      </c>
    </row>
    <row r="86" spans="1:7" ht="15" customHeight="1">
      <c r="B86" s="74"/>
      <c r="C86" s="74"/>
      <c r="D86" s="240">
        <f>SUM(D84:D85)</f>
        <v>11500</v>
      </c>
      <c r="E86" s="240">
        <f>SUM(E84:E85)</f>
        <v>15214.29</v>
      </c>
    </row>
    <row r="87" spans="1:7" ht="15" customHeight="1">
      <c r="B87" s="74"/>
      <c r="C87" s="74"/>
      <c r="D87" s="74"/>
      <c r="E87" s="74"/>
    </row>
    <row r="89" spans="1:7">
      <c r="C89" s="298" t="s">
        <v>94</v>
      </c>
      <c r="D89" s="299"/>
      <c r="E89" s="239">
        <f>+E25+E38+E49+E62+E76+E86</f>
        <v>364035.73</v>
      </c>
      <c r="F89" s="61"/>
      <c r="G89" s="61"/>
    </row>
    <row r="91" spans="1:7" ht="15" customHeight="1"/>
    <row r="112" spans="4:5">
      <c r="D112"/>
      <c r="E112"/>
    </row>
  </sheetData>
  <mergeCells count="19">
    <mergeCell ref="A51:A53"/>
    <mergeCell ref="B51:E55"/>
    <mergeCell ref="A54:A55"/>
    <mergeCell ref="A64:A66"/>
    <mergeCell ref="B64:E68"/>
    <mergeCell ref="A67:A68"/>
    <mergeCell ref="C89:D89"/>
    <mergeCell ref="A2:A4"/>
    <mergeCell ref="B2:E6"/>
    <mergeCell ref="A5:A6"/>
    <mergeCell ref="A28:A30"/>
    <mergeCell ref="B28:E32"/>
    <mergeCell ref="A31:A32"/>
    <mergeCell ref="A41:A43"/>
    <mergeCell ref="B41:E45"/>
    <mergeCell ref="A44:A45"/>
    <mergeCell ref="A78:A80"/>
    <mergeCell ref="B78:E82"/>
    <mergeCell ref="A81:A82"/>
  </mergeCells>
  <pageMargins left="0.7" right="0.7" top="0.75" bottom="0.75" header="0.3" footer="0.3"/>
  <pageSetup paperSize="256" fitToHeight="0" orientation="landscape" r:id="rId1"/>
  <rowBreaks count="2" manualBreakCount="2">
    <brk id="34" max="4" man="1"/>
    <brk id="6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REPROGRAMACIÓN 2022 029</vt:lpstr>
      <vt:lpstr>PERSONAL COMPROMETIDO MARZO</vt:lpstr>
      <vt:lpstr>'PERSONAL COMPROMETIDO MARZO'!Área_de_impresión</vt:lpstr>
      <vt:lpstr>'REPROGRAMACIÓN 2022 029'!Área_de_impresión</vt:lpstr>
      <vt:lpstr>'REPROGRAMACIÓN 2022 029'!Títulos_a_imprimir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Ermenegildo Elias Alvarado</dc:creator>
  <cp:lastModifiedBy>Alfonso</cp:lastModifiedBy>
  <cp:lastPrinted>2022-03-01T20:18:39Z</cp:lastPrinted>
  <dcterms:created xsi:type="dcterms:W3CDTF">2021-02-15T19:20:29Z</dcterms:created>
  <dcterms:modified xsi:type="dcterms:W3CDTF">2022-03-01T20:25:57Z</dcterms:modified>
</cp:coreProperties>
</file>