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o\Desktop\Reprogramacion 031\Diciembre\"/>
    </mc:Choice>
  </mc:AlternateContent>
  <bookViews>
    <workbookView xWindow="0" yWindow="0" windowWidth="28800" windowHeight="12330" tabRatio="625"/>
  </bookViews>
  <sheets>
    <sheet name="DGA-031 (2)" sheetId="2" r:id="rId1"/>
  </sheets>
  <definedNames>
    <definedName name="_xlnm.Print_Area" localSheetId="0">'DGA-031 (2)'!$A$1:$R$455</definedName>
    <definedName name="_xlnm.Print_Titles" localSheetId="0">'DGA-031 (2)'!$12:$13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2" l="1"/>
  <c r="S90" i="2"/>
  <c r="F90" i="2" s="1"/>
  <c r="H89" i="2"/>
  <c r="G89" i="2"/>
  <c r="R90" i="2"/>
  <c r="Q90" i="2"/>
  <c r="P90" i="2"/>
  <c r="O90" i="2"/>
  <c r="N90" i="2"/>
  <c r="M90" i="2"/>
  <c r="L90" i="2"/>
  <c r="K90" i="2"/>
  <c r="J90" i="2"/>
  <c r="I90" i="2"/>
  <c r="H90" i="2"/>
  <c r="G90" i="2"/>
  <c r="S88" i="2"/>
  <c r="S185" i="2"/>
  <c r="S181" i="2"/>
  <c r="F181" i="2"/>
  <c r="H181" i="2"/>
  <c r="H180" i="2"/>
  <c r="R181" i="2"/>
  <c r="Q181" i="2"/>
  <c r="P181" i="2"/>
  <c r="O181" i="2"/>
  <c r="N181" i="2"/>
  <c r="M181" i="2"/>
  <c r="L181" i="2"/>
  <c r="K181" i="2"/>
  <c r="J181" i="2"/>
  <c r="I181" i="2"/>
  <c r="G181" i="2"/>
  <c r="S165" i="2"/>
  <c r="S168" i="2"/>
  <c r="F168" i="2" s="1"/>
  <c r="S173" i="2"/>
  <c r="F173" i="2" s="1"/>
  <c r="F172" i="2"/>
  <c r="H173" i="2"/>
  <c r="H172" i="2"/>
  <c r="R173" i="2"/>
  <c r="Q173" i="2"/>
  <c r="P173" i="2"/>
  <c r="O173" i="2"/>
  <c r="N173" i="2"/>
  <c r="M173" i="2"/>
  <c r="L173" i="2"/>
  <c r="K173" i="2"/>
  <c r="J173" i="2"/>
  <c r="I173" i="2"/>
  <c r="G173" i="2"/>
  <c r="L168" i="2"/>
  <c r="S174" i="2"/>
  <c r="H167" i="2"/>
  <c r="L167" i="2"/>
  <c r="R168" i="2"/>
  <c r="Q168" i="2"/>
  <c r="P168" i="2"/>
  <c r="O168" i="2"/>
  <c r="N168" i="2"/>
  <c r="M168" i="2"/>
  <c r="K168" i="2"/>
  <c r="J168" i="2"/>
  <c r="I168" i="2"/>
  <c r="H168" i="2"/>
  <c r="G168" i="2"/>
  <c r="S233" i="2"/>
  <c r="F233" i="2" s="1"/>
  <c r="N232" i="2"/>
  <c r="M232" i="2"/>
  <c r="L232" i="2"/>
  <c r="K232" i="2"/>
  <c r="J232" i="2"/>
  <c r="I232" i="2"/>
  <c r="H232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S278" i="2"/>
  <c r="F278" i="2" s="1"/>
  <c r="S259" i="2"/>
  <c r="S274" i="2"/>
  <c r="N277" i="2"/>
  <c r="R278" i="2"/>
  <c r="Q278" i="2"/>
  <c r="P278" i="2"/>
  <c r="O278" i="2"/>
  <c r="N278" i="2"/>
  <c r="M278" i="2"/>
  <c r="L278" i="2"/>
  <c r="K278" i="2"/>
  <c r="J278" i="2"/>
  <c r="S277" i="2"/>
  <c r="S397" i="2"/>
  <c r="K397" i="2"/>
  <c r="L396" i="2"/>
  <c r="K396" i="2"/>
  <c r="J396" i="2"/>
  <c r="R397" i="2"/>
  <c r="Q397" i="2"/>
  <c r="P397" i="2"/>
  <c r="O397" i="2"/>
  <c r="N397" i="2"/>
  <c r="M397" i="2"/>
  <c r="L397" i="2"/>
  <c r="J397" i="2"/>
  <c r="I397" i="2"/>
  <c r="H397" i="2"/>
  <c r="G397" i="2"/>
  <c r="F397" i="2"/>
  <c r="S402" i="2"/>
  <c r="S396" i="2"/>
  <c r="S334" i="2"/>
  <c r="S337" i="2"/>
  <c r="S333" i="2"/>
  <c r="S296" i="2"/>
  <c r="S298" i="2"/>
  <c r="S303" i="2"/>
  <c r="F312" i="2"/>
  <c r="F78" i="2"/>
  <c r="R61" i="2" l="1"/>
  <c r="S61" i="2"/>
  <c r="F61" i="2" s="1"/>
  <c r="Q61" i="2"/>
  <c r="P61" i="2"/>
  <c r="O61" i="2"/>
  <c r="N61" i="2"/>
  <c r="M61" i="2"/>
  <c r="L61" i="2"/>
  <c r="K61" i="2"/>
  <c r="J61" i="2"/>
  <c r="I61" i="2"/>
  <c r="H61" i="2"/>
  <c r="G61" i="2"/>
  <c r="R402" i="2"/>
  <c r="S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S243" i="2" l="1"/>
  <c r="S25" i="2"/>
  <c r="F25" i="2" s="1"/>
  <c r="Q25" i="2"/>
  <c r="P25" i="2"/>
  <c r="O25" i="2"/>
  <c r="N25" i="2"/>
  <c r="M25" i="2"/>
  <c r="L25" i="2"/>
  <c r="K25" i="2"/>
  <c r="J25" i="2"/>
  <c r="I25" i="2"/>
  <c r="H25" i="2"/>
  <c r="G25" i="2"/>
  <c r="R26" i="2"/>
  <c r="Q402" i="2" l="1"/>
  <c r="F402" i="2"/>
  <c r="P402" i="2"/>
  <c r="O402" i="2"/>
  <c r="N402" i="2"/>
  <c r="M402" i="2"/>
  <c r="L402" i="2"/>
  <c r="K402" i="2"/>
  <c r="J402" i="2"/>
  <c r="I402" i="2"/>
  <c r="H402" i="2"/>
  <c r="G402" i="2"/>
  <c r="Q334" i="2"/>
  <c r="N334" i="2"/>
  <c r="O333" i="2"/>
  <c r="N333" i="2"/>
  <c r="M333" i="2"/>
  <c r="L333" i="2"/>
  <c r="K333" i="2"/>
  <c r="J333" i="2"/>
  <c r="I333" i="2"/>
  <c r="H333" i="2"/>
  <c r="R333" i="2"/>
  <c r="Q333" i="2"/>
  <c r="P333" i="2"/>
  <c r="G333" i="2"/>
  <c r="F333" i="2"/>
  <c r="O332" i="2"/>
  <c r="N332" i="2"/>
  <c r="M332" i="2"/>
  <c r="L332" i="2"/>
  <c r="K332" i="2"/>
  <c r="J332" i="2"/>
  <c r="R332" i="2"/>
  <c r="Q332" i="2"/>
  <c r="P332" i="2"/>
  <c r="I332" i="2"/>
  <c r="H332" i="2"/>
  <c r="G332" i="2"/>
  <c r="F332" i="2"/>
  <c r="I334" i="2"/>
  <c r="O334" i="2"/>
  <c r="S59" i="2"/>
  <c r="F59" i="2" s="1"/>
  <c r="Q59" i="2"/>
  <c r="R59" i="2"/>
  <c r="P59" i="2"/>
  <c r="O59" i="2"/>
  <c r="G59" i="2"/>
  <c r="H59" i="2"/>
  <c r="I59" i="2"/>
  <c r="J59" i="2"/>
  <c r="K59" i="2"/>
  <c r="L59" i="2"/>
  <c r="M59" i="2"/>
  <c r="N59" i="2"/>
  <c r="S237" i="2" l="1"/>
  <c r="Q237" i="2"/>
  <c r="F237" i="2" l="1"/>
  <c r="S234" i="2"/>
  <c r="R237" i="2"/>
  <c r="Q234" i="2"/>
  <c r="O238" i="2"/>
  <c r="P237" i="2"/>
  <c r="N237" i="2"/>
  <c r="M237" i="2"/>
  <c r="L237" i="2"/>
  <c r="K237" i="2"/>
  <c r="J237" i="2"/>
  <c r="I237" i="2"/>
  <c r="H237" i="2"/>
  <c r="G237" i="2"/>
  <c r="N62" i="2"/>
  <c r="Q57" i="2"/>
  <c r="F67" i="2"/>
  <c r="Q26" i="2"/>
  <c r="F297" i="2" l="1"/>
  <c r="F149" i="2"/>
  <c r="F150" i="2"/>
  <c r="F18" i="2" l="1"/>
  <c r="F50" i="2" l="1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321" i="2" l="1"/>
  <c r="F321" i="2" s="1"/>
  <c r="P321" i="2"/>
  <c r="O321" i="2"/>
  <c r="N321" i="2"/>
  <c r="M321" i="2"/>
  <c r="L321" i="2"/>
  <c r="K321" i="2"/>
  <c r="J321" i="2"/>
  <c r="I321" i="2"/>
  <c r="H321" i="2"/>
  <c r="G321" i="2"/>
  <c r="S290" i="2"/>
  <c r="F290" i="2" s="1"/>
  <c r="P290" i="2"/>
  <c r="O290" i="2"/>
  <c r="N290" i="2"/>
  <c r="M290" i="2"/>
  <c r="L290" i="2"/>
  <c r="K290" i="2"/>
  <c r="J290" i="2"/>
  <c r="I290" i="2"/>
  <c r="H290" i="2"/>
  <c r="G290" i="2"/>
  <c r="S178" i="2"/>
  <c r="F119" i="2"/>
  <c r="G119" i="2"/>
  <c r="H119" i="2"/>
  <c r="I119" i="2"/>
  <c r="J119" i="2"/>
  <c r="K119" i="2"/>
  <c r="L119" i="2"/>
  <c r="M119" i="2"/>
  <c r="N119" i="2"/>
  <c r="O119" i="2"/>
  <c r="G182" i="2"/>
  <c r="H182" i="2"/>
  <c r="I182" i="2"/>
  <c r="J182" i="2"/>
  <c r="K182" i="2"/>
  <c r="L182" i="2"/>
  <c r="M182" i="2"/>
  <c r="N182" i="2"/>
  <c r="O182" i="2"/>
  <c r="P182" i="2"/>
  <c r="S182" i="2"/>
  <c r="F182" i="2" s="1"/>
  <c r="H150" i="2"/>
  <c r="G150" i="2"/>
  <c r="P150" i="2"/>
  <c r="O150" i="2"/>
  <c r="N150" i="2"/>
  <c r="M150" i="2"/>
  <c r="L150" i="2"/>
  <c r="K150" i="2"/>
  <c r="J150" i="2"/>
  <c r="I150" i="2"/>
  <c r="G91" i="2"/>
  <c r="H91" i="2"/>
  <c r="S91" i="2"/>
  <c r="F91" i="2" s="1"/>
  <c r="I91" i="2"/>
  <c r="J91" i="2"/>
  <c r="K91" i="2"/>
  <c r="L91" i="2"/>
  <c r="M91" i="2"/>
  <c r="N91" i="2"/>
  <c r="O91" i="2"/>
  <c r="P91" i="2"/>
  <c r="Q200" i="2" l="1"/>
  <c r="Q199" i="2"/>
  <c r="Q198" i="2"/>
  <c r="Q187" i="2"/>
  <c r="Q186" i="2"/>
  <c r="Q128" i="2"/>
  <c r="P125" i="2"/>
  <c r="P302" i="2" l="1"/>
  <c r="Q265" i="2" l="1"/>
  <c r="P243" i="2" l="1"/>
  <c r="F165" i="2" l="1"/>
  <c r="O165" i="2"/>
  <c r="N165" i="2"/>
  <c r="M165" i="2"/>
  <c r="L165" i="2"/>
  <c r="K165" i="2"/>
  <c r="J165" i="2"/>
  <c r="I165" i="2"/>
  <c r="H165" i="2"/>
  <c r="G165" i="2"/>
  <c r="S71" i="2"/>
  <c r="F71" i="2" s="1"/>
  <c r="P164" i="2"/>
  <c r="Q164" i="2"/>
  <c r="R164" i="2"/>
  <c r="S64" i="2"/>
  <c r="F64" i="2" s="1"/>
  <c r="G64" i="2"/>
  <c r="H64" i="2"/>
  <c r="I64" i="2"/>
  <c r="J64" i="2"/>
  <c r="K64" i="2"/>
  <c r="L64" i="2"/>
  <c r="M64" i="2"/>
  <c r="N64" i="2"/>
  <c r="O64" i="2"/>
  <c r="O71" i="2"/>
  <c r="N71" i="2"/>
  <c r="M71" i="2"/>
  <c r="L71" i="2"/>
  <c r="K71" i="2"/>
  <c r="J71" i="2"/>
  <c r="I71" i="2"/>
  <c r="H71" i="2"/>
  <c r="G71" i="2"/>
  <c r="S56" i="2"/>
  <c r="S26" i="2"/>
  <c r="F218" i="2" l="1"/>
  <c r="G218" i="2"/>
  <c r="H218" i="2"/>
  <c r="I218" i="2"/>
  <c r="J218" i="2"/>
  <c r="K218" i="2"/>
  <c r="L218" i="2"/>
  <c r="M218" i="2"/>
  <c r="N218" i="2"/>
  <c r="O218" i="2"/>
  <c r="P218" i="2"/>
  <c r="Q218" i="2"/>
  <c r="R218" i="2"/>
  <c r="S200" i="2" l="1"/>
  <c r="F200" i="2" s="1"/>
  <c r="R200" i="2"/>
  <c r="R199" i="2"/>
  <c r="S199" i="2"/>
  <c r="F199" i="2" s="1"/>
  <c r="S198" i="2" l="1"/>
  <c r="F198" i="2" s="1"/>
  <c r="R198" i="2"/>
  <c r="S187" i="2" l="1"/>
  <c r="F187" i="2" s="1"/>
  <c r="R187" i="2"/>
  <c r="S186" i="2"/>
  <c r="F186" i="2" s="1"/>
  <c r="R186" i="2"/>
  <c r="S128" i="2"/>
  <c r="F128" i="2" s="1"/>
  <c r="R128" i="2"/>
  <c r="S280" i="2" l="1"/>
  <c r="S271" i="2"/>
  <c r="S267" i="2"/>
  <c r="S264" i="2"/>
  <c r="S260" i="2"/>
  <c r="S255" i="2"/>
  <c r="S252" i="2"/>
  <c r="S249" i="2"/>
  <c r="S281" i="2"/>
  <c r="F281" i="2" s="1"/>
  <c r="R281" i="2"/>
  <c r="Q281" i="2"/>
  <c r="P281" i="2"/>
  <c r="S272" i="2"/>
  <c r="F272" i="2" s="1"/>
  <c r="R272" i="2"/>
  <c r="Q272" i="2"/>
  <c r="P272" i="2"/>
  <c r="S268" i="2"/>
  <c r="F268" i="2" s="1"/>
  <c r="R268" i="2"/>
  <c r="Q268" i="2"/>
  <c r="P268" i="2"/>
  <c r="S265" i="2"/>
  <c r="F265" i="2" s="1"/>
  <c r="R265" i="2"/>
  <c r="S261" i="2"/>
  <c r="F261" i="2" s="1"/>
  <c r="R261" i="2"/>
  <c r="Q261" i="2"/>
  <c r="P261" i="2"/>
  <c r="S256" i="2"/>
  <c r="F256" i="2" s="1"/>
  <c r="S253" i="2"/>
  <c r="F253" i="2" s="1"/>
  <c r="R256" i="2"/>
  <c r="Q256" i="2"/>
  <c r="P256" i="2"/>
  <c r="R253" i="2"/>
  <c r="Q253" i="2"/>
  <c r="P253" i="2"/>
  <c r="S250" i="2"/>
  <c r="F250" i="2" s="1"/>
  <c r="R250" i="2"/>
  <c r="Q250" i="2"/>
  <c r="P250" i="2"/>
  <c r="S238" i="2" l="1"/>
  <c r="P276" i="2" l="1"/>
  <c r="F234" i="2"/>
  <c r="N234" i="2"/>
  <c r="M234" i="2"/>
  <c r="L234" i="2"/>
  <c r="K234" i="2"/>
  <c r="J234" i="2"/>
  <c r="I234" i="2"/>
  <c r="H234" i="2"/>
  <c r="R234" i="2"/>
  <c r="P234" i="2"/>
  <c r="G234" i="2"/>
  <c r="P197" i="2"/>
  <c r="O88" i="2"/>
  <c r="P138" i="2"/>
  <c r="P118" i="2"/>
  <c r="F26" i="2" l="1"/>
  <c r="N24" i="2"/>
  <c r="M26" i="2"/>
  <c r="L26" i="2"/>
  <c r="K26" i="2"/>
  <c r="J26" i="2"/>
  <c r="I26" i="2"/>
  <c r="H26" i="2"/>
  <c r="G26" i="2"/>
  <c r="F303" i="2" l="1"/>
  <c r="P303" i="2"/>
  <c r="R303" i="2"/>
  <c r="Q303" i="2"/>
  <c r="P127" i="2"/>
  <c r="R127" i="2"/>
  <c r="Q127" i="2"/>
  <c r="S127" i="2"/>
  <c r="F127" i="2" s="1"/>
  <c r="F56" i="2" l="1"/>
  <c r="N56" i="2"/>
  <c r="M56" i="2"/>
  <c r="L56" i="2"/>
  <c r="K56" i="2"/>
  <c r="J56" i="2"/>
  <c r="I56" i="2"/>
  <c r="H56" i="2"/>
  <c r="G56" i="2"/>
  <c r="S118" i="2"/>
  <c r="F118" i="2" s="1"/>
  <c r="R118" i="2" l="1"/>
  <c r="Q118" i="2"/>
  <c r="P196" i="2"/>
  <c r="S197" i="2"/>
  <c r="F197" i="2" s="1"/>
  <c r="R197" i="2"/>
  <c r="Q197" i="2"/>
  <c r="R276" i="2"/>
  <c r="Q276" i="2"/>
  <c r="S276" i="2"/>
  <c r="F276" i="2" s="1"/>
  <c r="S138" i="2"/>
  <c r="F138" i="2" s="1"/>
  <c r="Q138" i="2"/>
  <c r="R138" i="2"/>
  <c r="N279" i="2" l="1"/>
  <c r="S279" i="2"/>
  <c r="F279" i="2" s="1"/>
  <c r="M279" i="2"/>
  <c r="L279" i="2"/>
  <c r="K279" i="2"/>
  <c r="J279" i="2"/>
  <c r="N280" i="2" l="1"/>
  <c r="N257" i="2"/>
  <c r="N282" i="2"/>
  <c r="N319" i="2" l="1"/>
  <c r="F409" i="2"/>
  <c r="E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F415" i="2"/>
  <c r="F416" i="2"/>
  <c r="F417" i="2"/>
  <c r="F418" i="2"/>
  <c r="F419" i="2"/>
  <c r="F420" i="2"/>
  <c r="F421" i="2"/>
  <c r="F422" i="2"/>
  <c r="E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F426" i="2"/>
  <c r="F427" i="2"/>
  <c r="F428" i="2"/>
  <c r="E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F432" i="2"/>
  <c r="F433" i="2"/>
  <c r="F434" i="2"/>
  <c r="F435" i="2"/>
  <c r="F436" i="2"/>
  <c r="F437" i="2"/>
  <c r="F438" i="2"/>
  <c r="F439" i="2"/>
  <c r="F440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P409" i="2" l="1"/>
  <c r="H409" i="2"/>
  <c r="R409" i="2"/>
  <c r="J409" i="2"/>
  <c r="F425" i="2"/>
  <c r="Q409" i="2"/>
  <c r="I409" i="2"/>
  <c r="N409" i="2"/>
  <c r="K409" i="2"/>
  <c r="F431" i="2"/>
  <c r="O409" i="2"/>
  <c r="G409" i="2"/>
  <c r="E409" i="2"/>
  <c r="M409" i="2"/>
  <c r="L409" i="2"/>
  <c r="F414" i="2"/>
  <c r="M319" i="2"/>
  <c r="N28" i="2" l="1"/>
  <c r="N29" i="2"/>
  <c r="N30" i="2"/>
  <c r="N31" i="2"/>
  <c r="N32" i="2"/>
  <c r="N33" i="2"/>
  <c r="N34" i="2"/>
  <c r="N35" i="2"/>
  <c r="N36" i="2"/>
  <c r="N42" i="2"/>
  <c r="N44" i="2"/>
  <c r="N49" i="2"/>
  <c r="N55" i="2"/>
  <c r="N57" i="2"/>
  <c r="N58" i="2"/>
  <c r="N60" i="2"/>
  <c r="N63" i="2"/>
  <c r="N65" i="2"/>
  <c r="N66" i="2"/>
  <c r="N67" i="2"/>
  <c r="N68" i="2"/>
  <c r="N70" i="2"/>
  <c r="N72" i="2"/>
  <c r="N73" i="2"/>
  <c r="N74" i="2"/>
  <c r="N75" i="2"/>
  <c r="N76" i="2"/>
  <c r="N77" i="2"/>
  <c r="N78" i="2"/>
  <c r="N82" i="2"/>
  <c r="N83" i="2"/>
  <c r="N84" i="2"/>
  <c r="N85" i="2"/>
  <c r="N86" i="2"/>
  <c r="N87" i="2"/>
  <c r="N89" i="2"/>
  <c r="N108" i="2"/>
  <c r="N109" i="2"/>
  <c r="N110" i="2"/>
  <c r="N115" i="2"/>
  <c r="N116" i="2"/>
  <c r="N117" i="2"/>
  <c r="N121" i="2"/>
  <c r="N125" i="2"/>
  <c r="N129" i="2"/>
  <c r="N130" i="2"/>
  <c r="N134" i="2"/>
  <c r="N135" i="2"/>
  <c r="N136" i="2"/>
  <c r="N137" i="2"/>
  <c r="N139" i="2"/>
  <c r="N143" i="2"/>
  <c r="N144" i="2"/>
  <c r="N148" i="2"/>
  <c r="N149" i="2"/>
  <c r="N151" i="2"/>
  <c r="N152" i="2"/>
  <c r="N157" i="2"/>
  <c r="N158" i="2"/>
  <c r="N164" i="2"/>
  <c r="N166" i="2"/>
  <c r="N167" i="2"/>
  <c r="N169" i="2"/>
  <c r="N170" i="2"/>
  <c r="N171" i="2"/>
  <c r="N172" i="2"/>
  <c r="N175" i="2"/>
  <c r="N176" i="2"/>
  <c r="N177" i="2"/>
  <c r="N178" i="2"/>
  <c r="N179" i="2"/>
  <c r="N180" i="2"/>
  <c r="N183" i="2"/>
  <c r="N184" i="2"/>
  <c r="N185" i="2"/>
  <c r="N188" i="2"/>
  <c r="N193" i="2"/>
  <c r="N194" i="2"/>
  <c r="N195" i="2"/>
  <c r="N201" i="2"/>
  <c r="N205" i="2"/>
  <c r="N204" i="2" s="1"/>
  <c r="N209" i="2"/>
  <c r="N208" i="2" s="1"/>
  <c r="N213" i="2"/>
  <c r="N212" i="2" s="1"/>
  <c r="N219" i="2"/>
  <c r="N220" i="2"/>
  <c r="N221" i="2"/>
  <c r="N226" i="2"/>
  <c r="N227" i="2"/>
  <c r="N235" i="2"/>
  <c r="N236" i="2"/>
  <c r="N238" i="2"/>
  <c r="N239" i="2"/>
  <c r="N240" i="2"/>
  <c r="N241" i="2"/>
  <c r="N242" i="2"/>
  <c r="N243" i="2"/>
  <c r="N248" i="2"/>
  <c r="N249" i="2"/>
  <c r="N251" i="2"/>
  <c r="N252" i="2"/>
  <c r="N254" i="2"/>
  <c r="N255" i="2"/>
  <c r="N258" i="2"/>
  <c r="N260" i="2"/>
  <c r="N262" i="2"/>
  <c r="N263" i="2"/>
  <c r="N264" i="2"/>
  <c r="N266" i="2"/>
  <c r="N267" i="2"/>
  <c r="N269" i="2"/>
  <c r="N271" i="2"/>
  <c r="N287" i="2"/>
  <c r="N288" i="2"/>
  <c r="N289" i="2"/>
  <c r="N292" i="2"/>
  <c r="N293" i="2"/>
  <c r="N294" i="2"/>
  <c r="N297" i="2"/>
  <c r="N299" i="2"/>
  <c r="N301" i="2"/>
  <c r="N302" i="2"/>
  <c r="N304" i="2"/>
  <c r="N305" i="2"/>
  <c r="N306" i="2"/>
  <c r="N307" i="2"/>
  <c r="N308" i="2"/>
  <c r="N309" i="2"/>
  <c r="N310" i="2"/>
  <c r="N311" i="2"/>
  <c r="N312" i="2"/>
  <c r="N317" i="2"/>
  <c r="N318" i="2"/>
  <c r="N320" i="2"/>
  <c r="N322" i="2"/>
  <c r="N323" i="2"/>
  <c r="N324" i="2"/>
  <c r="N325" i="2"/>
  <c r="N326" i="2"/>
  <c r="N327" i="2"/>
  <c r="N328" i="2"/>
  <c r="N329" i="2"/>
  <c r="N330" i="2"/>
  <c r="N331" i="2"/>
  <c r="N335" i="2"/>
  <c r="N336" i="2"/>
  <c r="N337" i="2"/>
  <c r="N352" i="2"/>
  <c r="N356" i="2"/>
  <c r="N360" i="2"/>
  <c r="N364" i="2"/>
  <c r="N368" i="2"/>
  <c r="N372" i="2"/>
  <c r="N376" i="2"/>
  <c r="N381" i="2"/>
  <c r="N385" i="2"/>
  <c r="N389" i="2"/>
  <c r="N396" i="2"/>
  <c r="N398" i="2"/>
  <c r="N399" i="2"/>
  <c r="N400" i="2"/>
  <c r="N401" i="2"/>
  <c r="N403" i="2"/>
  <c r="N404" i="2"/>
  <c r="N224" i="2" l="1"/>
  <c r="N141" i="2"/>
  <c r="N315" i="2"/>
  <c r="N46" i="2"/>
  <c r="N191" i="2"/>
  <c r="N146" i="2"/>
  <c r="N22" i="2"/>
  <c r="N394" i="2"/>
  <c r="N392" i="2" s="1"/>
  <c r="N285" i="2"/>
  <c r="N351" i="2"/>
  <c r="N349" i="2" s="1"/>
  <c r="N216" i="2"/>
  <c r="N132" i="2"/>
  <c r="N113" i="2"/>
  <c r="N40" i="2"/>
  <c r="N39" i="2" s="1"/>
  <c r="N379" i="2"/>
  <c r="N230" i="2"/>
  <c r="N123" i="2"/>
  <c r="N53" i="2"/>
  <c r="N162" i="2"/>
  <c r="N80" i="2"/>
  <c r="N155" i="2"/>
  <c r="N161" i="2" l="1"/>
  <c r="M68" i="2" l="1"/>
  <c r="O243" i="2"/>
  <c r="M243" i="2"/>
  <c r="L243" i="2"/>
  <c r="K243" i="2"/>
  <c r="J243" i="2"/>
  <c r="I243" i="2"/>
  <c r="H243" i="2"/>
  <c r="G243" i="2"/>
  <c r="R242" i="2"/>
  <c r="Q242" i="2"/>
  <c r="P242" i="2"/>
  <c r="O242" i="2"/>
  <c r="M242" i="2"/>
  <c r="L242" i="2"/>
  <c r="K242" i="2"/>
  <c r="J242" i="2"/>
  <c r="I242" i="2"/>
  <c r="H242" i="2"/>
  <c r="G242" i="2"/>
  <c r="R241" i="2"/>
  <c r="Q241" i="2"/>
  <c r="P241" i="2"/>
  <c r="O241" i="2"/>
  <c r="M241" i="2"/>
  <c r="L241" i="2"/>
  <c r="K241" i="2"/>
  <c r="J241" i="2"/>
  <c r="I241" i="2"/>
  <c r="H241" i="2"/>
  <c r="G241" i="2"/>
  <c r="R240" i="2"/>
  <c r="Q240" i="2"/>
  <c r="P240" i="2"/>
  <c r="O240" i="2"/>
  <c r="M240" i="2"/>
  <c r="L240" i="2"/>
  <c r="K240" i="2"/>
  <c r="J240" i="2"/>
  <c r="I240" i="2"/>
  <c r="H240" i="2"/>
  <c r="G240" i="2"/>
  <c r="R239" i="2"/>
  <c r="Q239" i="2"/>
  <c r="P239" i="2"/>
  <c r="O239" i="2"/>
  <c r="M239" i="2"/>
  <c r="L239" i="2"/>
  <c r="K239" i="2"/>
  <c r="J239" i="2"/>
  <c r="I239" i="2"/>
  <c r="H239" i="2"/>
  <c r="G239" i="2"/>
  <c r="R238" i="2"/>
  <c r="Q238" i="2"/>
  <c r="P238" i="2"/>
  <c r="M238" i="2"/>
  <c r="L238" i="2"/>
  <c r="K238" i="2"/>
  <c r="J238" i="2"/>
  <c r="I238" i="2"/>
  <c r="H238" i="2"/>
  <c r="G238" i="2"/>
  <c r="R236" i="2"/>
  <c r="Q236" i="2"/>
  <c r="P236" i="2"/>
  <c r="O236" i="2"/>
  <c r="M236" i="2"/>
  <c r="L236" i="2"/>
  <c r="K236" i="2"/>
  <c r="J236" i="2"/>
  <c r="I236" i="2"/>
  <c r="H236" i="2"/>
  <c r="G236" i="2"/>
  <c r="R235" i="2"/>
  <c r="Q235" i="2"/>
  <c r="P235" i="2"/>
  <c r="O235" i="2"/>
  <c r="M235" i="2"/>
  <c r="L235" i="2"/>
  <c r="K235" i="2"/>
  <c r="J235" i="2"/>
  <c r="I235" i="2"/>
  <c r="H235" i="2"/>
  <c r="G235" i="2"/>
  <c r="R232" i="2"/>
  <c r="Q232" i="2"/>
  <c r="P232" i="2"/>
  <c r="O232" i="2"/>
  <c r="G232" i="2"/>
  <c r="O120" i="2" l="1"/>
  <c r="S120" i="2"/>
  <c r="F120" i="2" s="1"/>
  <c r="P120" i="2"/>
  <c r="Q120" i="2"/>
  <c r="R120" i="2"/>
  <c r="M116" i="2" l="1"/>
  <c r="R36" i="2" l="1"/>
  <c r="S33" i="2"/>
  <c r="R116" i="2" l="1"/>
  <c r="Q116" i="2"/>
  <c r="P116" i="2"/>
  <c r="O116" i="2"/>
  <c r="O196" i="2" l="1"/>
  <c r="R196" i="2"/>
  <c r="Q196" i="2"/>
  <c r="F196" i="2"/>
  <c r="S300" i="2"/>
  <c r="O300" i="2"/>
  <c r="H88" i="2"/>
  <c r="G88" i="2"/>
  <c r="F88" i="2"/>
  <c r="M88" i="2"/>
  <c r="L88" i="2"/>
  <c r="K88" i="2"/>
  <c r="J88" i="2"/>
  <c r="I88" i="2"/>
  <c r="S273" i="2" l="1"/>
  <c r="M269" i="2" l="1"/>
  <c r="S126" i="2"/>
  <c r="M266" i="2" l="1"/>
  <c r="M258" i="2" l="1"/>
  <c r="M260" i="2"/>
  <c r="M248" i="2" l="1"/>
  <c r="R319" i="2" l="1"/>
  <c r="Q319" i="2"/>
  <c r="P319" i="2"/>
  <c r="O319" i="2"/>
  <c r="L319" i="2"/>
  <c r="K319" i="2"/>
  <c r="J319" i="2"/>
  <c r="I319" i="2"/>
  <c r="H319" i="2"/>
  <c r="G319" i="2"/>
  <c r="F319" i="2"/>
  <c r="M334" i="2"/>
  <c r="M67" i="2" l="1"/>
  <c r="R68" i="2"/>
  <c r="Q68" i="2"/>
  <c r="P68" i="2"/>
  <c r="O68" i="2"/>
  <c r="L68" i="2"/>
  <c r="K68" i="2"/>
  <c r="J68" i="2"/>
  <c r="I68" i="2"/>
  <c r="H68" i="2"/>
  <c r="G68" i="2"/>
  <c r="F68" i="2"/>
  <c r="S92" i="2" l="1"/>
  <c r="M76" i="2"/>
  <c r="F185" i="2" l="1"/>
  <c r="M184" i="2"/>
  <c r="S184" i="2"/>
  <c r="M302" i="2"/>
  <c r="R302" i="2"/>
  <c r="Q302" i="2"/>
  <c r="O302" i="2"/>
  <c r="F302" i="2"/>
  <c r="M188" i="2"/>
  <c r="R185" i="2"/>
  <c r="Q185" i="2"/>
  <c r="P185" i="2"/>
  <c r="O185" i="2"/>
  <c r="R195" i="2" l="1"/>
  <c r="Q195" i="2"/>
  <c r="P195" i="2"/>
  <c r="O195" i="2"/>
  <c r="F195" i="2"/>
  <c r="S152" i="2"/>
  <c r="O152" i="2" l="1"/>
  <c r="P152" i="2"/>
  <c r="Q152" i="2"/>
  <c r="R152" i="2"/>
  <c r="F152" i="2"/>
  <c r="F174" i="2"/>
  <c r="H174" i="2"/>
  <c r="L174" i="2"/>
  <c r="K174" i="2"/>
  <c r="J174" i="2"/>
  <c r="I174" i="2"/>
  <c r="G174" i="2"/>
  <c r="F92" i="2"/>
  <c r="H92" i="2"/>
  <c r="G92" i="2"/>
  <c r="L92" i="2"/>
  <c r="K92" i="2"/>
  <c r="J92" i="2"/>
  <c r="I92" i="2"/>
  <c r="L296" i="2" l="1"/>
  <c r="L287" i="2"/>
  <c r="L301" i="2" l="1"/>
  <c r="L299" i="2"/>
  <c r="S93" i="2" l="1"/>
  <c r="L258" i="2"/>
  <c r="L334" i="2" l="1"/>
  <c r="F300" i="2" l="1"/>
  <c r="R300" i="2"/>
  <c r="Q300" i="2"/>
  <c r="P300" i="2"/>
  <c r="F93" i="2" l="1"/>
  <c r="H93" i="2"/>
  <c r="G93" i="2"/>
  <c r="K93" i="2"/>
  <c r="J93" i="2"/>
  <c r="I93" i="2"/>
  <c r="F126" i="2" l="1"/>
  <c r="K126" i="2"/>
  <c r="J126" i="2"/>
  <c r="I126" i="2"/>
  <c r="H126" i="2"/>
  <c r="G126" i="2"/>
  <c r="E146" i="2"/>
  <c r="S270" i="2"/>
  <c r="K273" i="2"/>
  <c r="F32" i="2" l="1"/>
  <c r="F33" i="2"/>
  <c r="O33" i="2"/>
  <c r="P33" i="2"/>
  <c r="Q33" i="2"/>
  <c r="R33" i="2"/>
  <c r="F273" i="2"/>
  <c r="J273" i="2"/>
  <c r="S299" i="2" l="1"/>
  <c r="S301" i="2" l="1"/>
  <c r="F259" i="2" l="1"/>
  <c r="K259" i="2"/>
  <c r="J259" i="2"/>
  <c r="L274" i="2"/>
  <c r="L151" i="2"/>
  <c r="S151" i="2"/>
  <c r="L78" i="2"/>
  <c r="S76" i="2"/>
  <c r="R76" i="2" l="1"/>
  <c r="Q76" i="2"/>
  <c r="P76" i="2"/>
  <c r="O76" i="2"/>
  <c r="S75" i="2"/>
  <c r="L75" i="2"/>
  <c r="F76" i="2" l="1"/>
  <c r="L77" i="2"/>
  <c r="S74" i="2"/>
  <c r="L74" i="2"/>
  <c r="S43" i="2" l="1"/>
  <c r="S27" i="2"/>
  <c r="F27" i="2" s="1"/>
  <c r="K27" i="2"/>
  <c r="J27" i="2"/>
  <c r="I27" i="2"/>
  <c r="H27" i="2"/>
  <c r="G27" i="2"/>
  <c r="K334" i="2" l="1"/>
  <c r="R304" i="2" l="1"/>
  <c r="Q304" i="2"/>
  <c r="P304" i="2"/>
  <c r="O304" i="2"/>
  <c r="F304" i="2"/>
  <c r="R184" i="2"/>
  <c r="Q184" i="2"/>
  <c r="P184" i="2"/>
  <c r="O184" i="2"/>
  <c r="F184" i="2"/>
  <c r="F270" i="2" l="1"/>
  <c r="K270" i="2"/>
  <c r="J270" i="2"/>
  <c r="F301" i="2" l="1"/>
  <c r="R301" i="2"/>
  <c r="Q301" i="2"/>
  <c r="P301" i="2"/>
  <c r="O301" i="2"/>
  <c r="M301" i="2"/>
  <c r="J260" i="2"/>
  <c r="F296" i="2"/>
  <c r="F294" i="2"/>
  <c r="J296" i="2"/>
  <c r="I296" i="2"/>
  <c r="H296" i="2"/>
  <c r="G296" i="2"/>
  <c r="L275" i="2"/>
  <c r="S275" i="2" l="1"/>
  <c r="F275" i="2" s="1"/>
  <c r="M275" i="2"/>
  <c r="F74" i="2" l="1"/>
  <c r="F77" i="2"/>
  <c r="F75" i="2"/>
  <c r="F73" i="2"/>
  <c r="F72" i="2"/>
  <c r="F70" i="2"/>
  <c r="F66" i="2"/>
  <c r="F65" i="2"/>
  <c r="F63" i="2"/>
  <c r="F62" i="2"/>
  <c r="F60" i="2"/>
  <c r="F58" i="2"/>
  <c r="F57" i="2"/>
  <c r="R78" i="2" l="1"/>
  <c r="R75" i="2"/>
  <c r="Q75" i="2"/>
  <c r="P75" i="2"/>
  <c r="O75" i="2"/>
  <c r="M75" i="2"/>
  <c r="J334" i="2" l="1"/>
  <c r="H334" i="2"/>
  <c r="R299" i="2" l="1"/>
  <c r="Q299" i="2"/>
  <c r="P299" i="2"/>
  <c r="O299" i="2"/>
  <c r="M299" i="2"/>
  <c r="F299" i="2"/>
  <c r="H55" i="2"/>
  <c r="O151" i="2"/>
  <c r="R151" i="2"/>
  <c r="Q151" i="2"/>
  <c r="P151" i="2"/>
  <c r="M151" i="2"/>
  <c r="F151" i="2"/>
  <c r="R74" i="2" l="1"/>
  <c r="M78" i="2"/>
  <c r="O78" i="2"/>
  <c r="P78" i="2"/>
  <c r="Q78" i="2"/>
  <c r="M77" i="2"/>
  <c r="O77" i="2"/>
  <c r="P77" i="2"/>
  <c r="Q77" i="2"/>
  <c r="R77" i="2"/>
  <c r="M74" i="2"/>
  <c r="O74" i="2"/>
  <c r="P74" i="2"/>
  <c r="Q74" i="2"/>
  <c r="F291" i="2" l="1"/>
  <c r="I291" i="2"/>
  <c r="H291" i="2"/>
  <c r="G291" i="2"/>
  <c r="G167" i="2" l="1"/>
  <c r="K274" i="2"/>
  <c r="F274" i="2"/>
  <c r="J194" i="2" l="1"/>
  <c r="I194" i="2"/>
  <c r="H149" i="2"/>
  <c r="H146" i="2" s="1"/>
  <c r="I148" i="2" l="1"/>
  <c r="I94" i="2"/>
  <c r="E155" i="2"/>
  <c r="E141" i="2"/>
  <c r="S148" i="2"/>
  <c r="I166" i="2" l="1"/>
  <c r="S69" i="2" l="1"/>
  <c r="F69" i="2" s="1"/>
  <c r="H69" i="2"/>
  <c r="G69" i="2"/>
  <c r="R404" i="2" l="1"/>
  <c r="Q404" i="2"/>
  <c r="P404" i="2"/>
  <c r="O404" i="2"/>
  <c r="M404" i="2"/>
  <c r="L404" i="2"/>
  <c r="K404" i="2"/>
  <c r="J404" i="2"/>
  <c r="I404" i="2"/>
  <c r="H404" i="2"/>
  <c r="G404" i="2"/>
  <c r="F404" i="2"/>
  <c r="R403" i="2"/>
  <c r="Q403" i="2"/>
  <c r="P403" i="2"/>
  <c r="O403" i="2"/>
  <c r="M403" i="2"/>
  <c r="L403" i="2"/>
  <c r="K403" i="2"/>
  <c r="J403" i="2"/>
  <c r="I403" i="2"/>
  <c r="H403" i="2"/>
  <c r="G403" i="2"/>
  <c r="F403" i="2"/>
  <c r="R401" i="2"/>
  <c r="Q401" i="2"/>
  <c r="P401" i="2"/>
  <c r="O401" i="2"/>
  <c r="M401" i="2"/>
  <c r="L401" i="2"/>
  <c r="K401" i="2"/>
  <c r="J401" i="2"/>
  <c r="I401" i="2"/>
  <c r="H401" i="2"/>
  <c r="G401" i="2"/>
  <c r="F401" i="2"/>
  <c r="R400" i="2"/>
  <c r="Q400" i="2"/>
  <c r="P400" i="2"/>
  <c r="O400" i="2"/>
  <c r="M400" i="2"/>
  <c r="L400" i="2"/>
  <c r="K400" i="2"/>
  <c r="J400" i="2"/>
  <c r="I400" i="2"/>
  <c r="H400" i="2"/>
  <c r="G400" i="2"/>
  <c r="F400" i="2"/>
  <c r="R399" i="2"/>
  <c r="Q399" i="2"/>
  <c r="P399" i="2"/>
  <c r="O399" i="2"/>
  <c r="M399" i="2"/>
  <c r="L399" i="2"/>
  <c r="K399" i="2"/>
  <c r="J399" i="2"/>
  <c r="I399" i="2"/>
  <c r="H399" i="2"/>
  <c r="G399" i="2"/>
  <c r="F399" i="2"/>
  <c r="R398" i="2"/>
  <c r="Q398" i="2"/>
  <c r="P398" i="2"/>
  <c r="O398" i="2"/>
  <c r="M398" i="2"/>
  <c r="L398" i="2"/>
  <c r="K398" i="2"/>
  <c r="J398" i="2"/>
  <c r="I398" i="2"/>
  <c r="H398" i="2"/>
  <c r="G398" i="2"/>
  <c r="F398" i="2"/>
  <c r="R396" i="2"/>
  <c r="Q396" i="2"/>
  <c r="P396" i="2"/>
  <c r="O396" i="2"/>
  <c r="M396" i="2"/>
  <c r="I396" i="2"/>
  <c r="H396" i="2"/>
  <c r="G396" i="2"/>
  <c r="F396" i="2"/>
  <c r="E394" i="2"/>
  <c r="E392" i="2" s="1"/>
  <c r="R389" i="2"/>
  <c r="Q389" i="2"/>
  <c r="P389" i="2"/>
  <c r="O389" i="2"/>
  <c r="M389" i="2"/>
  <c r="L389" i="2"/>
  <c r="K389" i="2"/>
  <c r="J389" i="2"/>
  <c r="I389" i="2"/>
  <c r="H389" i="2"/>
  <c r="G389" i="2"/>
  <c r="F389" i="2"/>
  <c r="R385" i="2"/>
  <c r="Q385" i="2"/>
  <c r="P385" i="2"/>
  <c r="O385" i="2"/>
  <c r="M385" i="2"/>
  <c r="L385" i="2"/>
  <c r="K385" i="2"/>
  <c r="J385" i="2"/>
  <c r="I385" i="2"/>
  <c r="H385" i="2"/>
  <c r="G385" i="2"/>
  <c r="F385" i="2"/>
  <c r="R381" i="2"/>
  <c r="Q381" i="2"/>
  <c r="P381" i="2"/>
  <c r="O381" i="2"/>
  <c r="M381" i="2"/>
  <c r="L381" i="2"/>
  <c r="K381" i="2"/>
  <c r="J381" i="2"/>
  <c r="I381" i="2"/>
  <c r="H381" i="2"/>
  <c r="G381" i="2"/>
  <c r="F381" i="2"/>
  <c r="E381" i="2"/>
  <c r="E379" i="2" s="1"/>
  <c r="R376" i="2"/>
  <c r="Q376" i="2"/>
  <c r="P376" i="2"/>
  <c r="O376" i="2"/>
  <c r="M376" i="2"/>
  <c r="L376" i="2"/>
  <c r="K376" i="2"/>
  <c r="J376" i="2"/>
  <c r="I376" i="2"/>
  <c r="H376" i="2"/>
  <c r="G376" i="2"/>
  <c r="F376" i="2"/>
  <c r="E376" i="2"/>
  <c r="R372" i="2"/>
  <c r="Q372" i="2"/>
  <c r="P372" i="2"/>
  <c r="O372" i="2"/>
  <c r="M372" i="2"/>
  <c r="L372" i="2"/>
  <c r="K372" i="2"/>
  <c r="J372" i="2"/>
  <c r="I372" i="2"/>
  <c r="H372" i="2"/>
  <c r="G372" i="2"/>
  <c r="F372" i="2"/>
  <c r="R368" i="2"/>
  <c r="Q368" i="2"/>
  <c r="P368" i="2"/>
  <c r="O368" i="2"/>
  <c r="M368" i="2"/>
  <c r="L368" i="2"/>
  <c r="K368" i="2"/>
  <c r="J368" i="2"/>
  <c r="I368" i="2"/>
  <c r="H368" i="2"/>
  <c r="G368" i="2"/>
  <c r="F368" i="2"/>
  <c r="E368" i="2"/>
  <c r="R364" i="2"/>
  <c r="Q364" i="2"/>
  <c r="P364" i="2"/>
  <c r="O364" i="2"/>
  <c r="M364" i="2"/>
  <c r="L364" i="2"/>
  <c r="K364" i="2"/>
  <c r="J364" i="2"/>
  <c r="I364" i="2"/>
  <c r="H364" i="2"/>
  <c r="G364" i="2"/>
  <c r="F364" i="2"/>
  <c r="R360" i="2"/>
  <c r="Q360" i="2"/>
  <c r="P360" i="2"/>
  <c r="O360" i="2"/>
  <c r="M360" i="2"/>
  <c r="L360" i="2"/>
  <c r="K360" i="2"/>
  <c r="J360" i="2"/>
  <c r="I360" i="2"/>
  <c r="H360" i="2"/>
  <c r="G360" i="2"/>
  <c r="F360" i="2"/>
  <c r="E360" i="2"/>
  <c r="R356" i="2"/>
  <c r="Q356" i="2"/>
  <c r="P356" i="2"/>
  <c r="O356" i="2"/>
  <c r="M356" i="2"/>
  <c r="L356" i="2"/>
  <c r="K356" i="2"/>
  <c r="J356" i="2"/>
  <c r="I356" i="2"/>
  <c r="H356" i="2"/>
  <c r="G356" i="2"/>
  <c r="F356" i="2"/>
  <c r="E356" i="2"/>
  <c r="R352" i="2"/>
  <c r="Q352" i="2"/>
  <c r="P352" i="2"/>
  <c r="O352" i="2"/>
  <c r="M352" i="2"/>
  <c r="L352" i="2"/>
  <c r="K352" i="2"/>
  <c r="J352" i="2"/>
  <c r="I352" i="2"/>
  <c r="H352" i="2"/>
  <c r="G352" i="2"/>
  <c r="F352" i="2"/>
  <c r="E352" i="2"/>
  <c r="R337" i="2"/>
  <c r="Q337" i="2"/>
  <c r="P337" i="2"/>
  <c r="O337" i="2"/>
  <c r="M337" i="2"/>
  <c r="L337" i="2"/>
  <c r="K337" i="2"/>
  <c r="J337" i="2"/>
  <c r="I337" i="2"/>
  <c r="H337" i="2"/>
  <c r="G337" i="2"/>
  <c r="F337" i="2"/>
  <c r="R336" i="2"/>
  <c r="Q336" i="2"/>
  <c r="P336" i="2"/>
  <c r="O336" i="2"/>
  <c r="M336" i="2"/>
  <c r="L336" i="2"/>
  <c r="K336" i="2"/>
  <c r="J336" i="2"/>
  <c r="I336" i="2"/>
  <c r="H336" i="2"/>
  <c r="G336" i="2"/>
  <c r="F336" i="2"/>
  <c r="R335" i="2"/>
  <c r="Q335" i="2"/>
  <c r="P335" i="2"/>
  <c r="O335" i="2"/>
  <c r="M335" i="2"/>
  <c r="L335" i="2"/>
  <c r="K335" i="2"/>
  <c r="J335" i="2"/>
  <c r="I335" i="2"/>
  <c r="H335" i="2"/>
  <c r="G335" i="2"/>
  <c r="F335" i="2"/>
  <c r="R334" i="2"/>
  <c r="P334" i="2"/>
  <c r="G334" i="2"/>
  <c r="F334" i="2"/>
  <c r="R331" i="2"/>
  <c r="Q331" i="2"/>
  <c r="P331" i="2"/>
  <c r="O331" i="2"/>
  <c r="M331" i="2"/>
  <c r="L331" i="2"/>
  <c r="K331" i="2"/>
  <c r="J331" i="2"/>
  <c r="I331" i="2"/>
  <c r="H331" i="2"/>
  <c r="G331" i="2"/>
  <c r="F331" i="2"/>
  <c r="R330" i="2"/>
  <c r="Q330" i="2"/>
  <c r="P330" i="2"/>
  <c r="O330" i="2"/>
  <c r="M330" i="2"/>
  <c r="L330" i="2"/>
  <c r="K330" i="2"/>
  <c r="J330" i="2"/>
  <c r="I330" i="2"/>
  <c r="H330" i="2"/>
  <c r="G330" i="2"/>
  <c r="F330" i="2"/>
  <c r="R329" i="2"/>
  <c r="Q329" i="2"/>
  <c r="P329" i="2"/>
  <c r="O329" i="2"/>
  <c r="M329" i="2"/>
  <c r="L329" i="2"/>
  <c r="K329" i="2"/>
  <c r="J329" i="2"/>
  <c r="I329" i="2"/>
  <c r="H329" i="2"/>
  <c r="G329" i="2"/>
  <c r="F329" i="2"/>
  <c r="R328" i="2"/>
  <c r="Q328" i="2"/>
  <c r="P328" i="2"/>
  <c r="O328" i="2"/>
  <c r="M328" i="2"/>
  <c r="L328" i="2"/>
  <c r="K328" i="2"/>
  <c r="J328" i="2"/>
  <c r="I328" i="2"/>
  <c r="H328" i="2"/>
  <c r="G328" i="2"/>
  <c r="F328" i="2"/>
  <c r="R327" i="2"/>
  <c r="Q327" i="2"/>
  <c r="P327" i="2"/>
  <c r="O327" i="2"/>
  <c r="M327" i="2"/>
  <c r="L327" i="2"/>
  <c r="K327" i="2"/>
  <c r="J327" i="2"/>
  <c r="I327" i="2"/>
  <c r="H327" i="2"/>
  <c r="G327" i="2"/>
  <c r="F327" i="2"/>
  <c r="R326" i="2"/>
  <c r="Q326" i="2"/>
  <c r="P326" i="2"/>
  <c r="O326" i="2"/>
  <c r="M326" i="2"/>
  <c r="L326" i="2"/>
  <c r="K326" i="2"/>
  <c r="J326" i="2"/>
  <c r="I326" i="2"/>
  <c r="H326" i="2"/>
  <c r="G326" i="2"/>
  <c r="F326" i="2"/>
  <c r="R325" i="2"/>
  <c r="Q325" i="2"/>
  <c r="P325" i="2"/>
  <c r="O325" i="2"/>
  <c r="M325" i="2"/>
  <c r="L325" i="2"/>
  <c r="K325" i="2"/>
  <c r="J325" i="2"/>
  <c r="I325" i="2"/>
  <c r="H325" i="2"/>
  <c r="G325" i="2"/>
  <c r="F325" i="2"/>
  <c r="R324" i="2"/>
  <c r="Q324" i="2"/>
  <c r="P324" i="2"/>
  <c r="O324" i="2"/>
  <c r="M324" i="2"/>
  <c r="L324" i="2"/>
  <c r="K324" i="2"/>
  <c r="J324" i="2"/>
  <c r="I324" i="2"/>
  <c r="H324" i="2"/>
  <c r="G324" i="2"/>
  <c r="F324" i="2"/>
  <c r="R323" i="2"/>
  <c r="Q323" i="2"/>
  <c r="P323" i="2"/>
  <c r="O323" i="2"/>
  <c r="M323" i="2"/>
  <c r="L323" i="2"/>
  <c r="K323" i="2"/>
  <c r="J323" i="2"/>
  <c r="I323" i="2"/>
  <c r="H323" i="2"/>
  <c r="G323" i="2"/>
  <c r="F323" i="2"/>
  <c r="R322" i="2"/>
  <c r="Q322" i="2"/>
  <c r="P322" i="2"/>
  <c r="O322" i="2"/>
  <c r="M322" i="2"/>
  <c r="L322" i="2"/>
  <c r="K322" i="2"/>
  <c r="J322" i="2"/>
  <c r="I322" i="2"/>
  <c r="H322" i="2"/>
  <c r="G322" i="2"/>
  <c r="F322" i="2"/>
  <c r="R320" i="2"/>
  <c r="Q320" i="2"/>
  <c r="P320" i="2"/>
  <c r="O320" i="2"/>
  <c r="M320" i="2"/>
  <c r="L320" i="2"/>
  <c r="K320" i="2"/>
  <c r="J320" i="2"/>
  <c r="I320" i="2"/>
  <c r="H320" i="2"/>
  <c r="G320" i="2"/>
  <c r="F320" i="2"/>
  <c r="R318" i="2"/>
  <c r="Q318" i="2"/>
  <c r="P318" i="2"/>
  <c r="O318" i="2"/>
  <c r="M318" i="2"/>
  <c r="L318" i="2"/>
  <c r="K318" i="2"/>
  <c r="J318" i="2"/>
  <c r="I318" i="2"/>
  <c r="H318" i="2"/>
  <c r="G318" i="2"/>
  <c r="F318" i="2"/>
  <c r="R317" i="2"/>
  <c r="Q317" i="2"/>
  <c r="P317" i="2"/>
  <c r="O317" i="2"/>
  <c r="M317" i="2"/>
  <c r="L317" i="2"/>
  <c r="K317" i="2"/>
  <c r="J317" i="2"/>
  <c r="I317" i="2"/>
  <c r="H317" i="2"/>
  <c r="G317" i="2"/>
  <c r="F317" i="2"/>
  <c r="E315" i="2"/>
  <c r="R312" i="2"/>
  <c r="Q312" i="2"/>
  <c r="P312" i="2"/>
  <c r="O312" i="2"/>
  <c r="M312" i="2"/>
  <c r="L312" i="2"/>
  <c r="K312" i="2"/>
  <c r="J312" i="2"/>
  <c r="I312" i="2"/>
  <c r="H312" i="2"/>
  <c r="G312" i="2"/>
  <c r="R311" i="2"/>
  <c r="Q311" i="2"/>
  <c r="P311" i="2"/>
  <c r="O311" i="2"/>
  <c r="M311" i="2"/>
  <c r="L311" i="2"/>
  <c r="K311" i="2"/>
  <c r="J311" i="2"/>
  <c r="I311" i="2"/>
  <c r="H311" i="2"/>
  <c r="G311" i="2"/>
  <c r="F311" i="2"/>
  <c r="R310" i="2"/>
  <c r="Q310" i="2"/>
  <c r="P310" i="2"/>
  <c r="O310" i="2"/>
  <c r="M310" i="2"/>
  <c r="L310" i="2"/>
  <c r="K310" i="2"/>
  <c r="J310" i="2"/>
  <c r="I310" i="2"/>
  <c r="H310" i="2"/>
  <c r="G310" i="2"/>
  <c r="F310" i="2"/>
  <c r="R309" i="2"/>
  <c r="Q309" i="2"/>
  <c r="P309" i="2"/>
  <c r="O309" i="2"/>
  <c r="M309" i="2"/>
  <c r="L309" i="2"/>
  <c r="K309" i="2"/>
  <c r="J309" i="2"/>
  <c r="I309" i="2"/>
  <c r="H309" i="2"/>
  <c r="G309" i="2"/>
  <c r="F309" i="2"/>
  <c r="R308" i="2"/>
  <c r="Q308" i="2"/>
  <c r="P308" i="2"/>
  <c r="O308" i="2"/>
  <c r="M308" i="2"/>
  <c r="L308" i="2"/>
  <c r="K308" i="2"/>
  <c r="J308" i="2"/>
  <c r="I308" i="2"/>
  <c r="H308" i="2"/>
  <c r="G308" i="2"/>
  <c r="F308" i="2"/>
  <c r="R307" i="2"/>
  <c r="Q307" i="2"/>
  <c r="P307" i="2"/>
  <c r="O307" i="2"/>
  <c r="M307" i="2"/>
  <c r="L307" i="2"/>
  <c r="K307" i="2"/>
  <c r="J307" i="2"/>
  <c r="I307" i="2"/>
  <c r="H307" i="2"/>
  <c r="G307" i="2"/>
  <c r="F307" i="2"/>
  <c r="R306" i="2"/>
  <c r="Q306" i="2"/>
  <c r="P306" i="2"/>
  <c r="O306" i="2"/>
  <c r="M306" i="2"/>
  <c r="L306" i="2"/>
  <c r="K306" i="2"/>
  <c r="J306" i="2"/>
  <c r="I306" i="2"/>
  <c r="H306" i="2"/>
  <c r="G306" i="2"/>
  <c r="F306" i="2"/>
  <c r="R305" i="2"/>
  <c r="Q305" i="2"/>
  <c r="P305" i="2"/>
  <c r="O305" i="2"/>
  <c r="M305" i="2"/>
  <c r="L305" i="2"/>
  <c r="K305" i="2"/>
  <c r="J305" i="2"/>
  <c r="I305" i="2"/>
  <c r="H305" i="2"/>
  <c r="G305" i="2"/>
  <c r="F305" i="2"/>
  <c r="I298" i="2"/>
  <c r="H298" i="2"/>
  <c r="G298" i="2"/>
  <c r="F298" i="2"/>
  <c r="R297" i="2"/>
  <c r="Q297" i="2"/>
  <c r="P297" i="2"/>
  <c r="O297" i="2"/>
  <c r="M297" i="2"/>
  <c r="L297" i="2"/>
  <c r="K297" i="2"/>
  <c r="J297" i="2"/>
  <c r="I297" i="2"/>
  <c r="H297" i="2"/>
  <c r="G297" i="2"/>
  <c r="R294" i="2"/>
  <c r="Q294" i="2"/>
  <c r="P294" i="2"/>
  <c r="O294" i="2"/>
  <c r="M294" i="2"/>
  <c r="L294" i="2"/>
  <c r="K294" i="2"/>
  <c r="J294" i="2"/>
  <c r="I294" i="2"/>
  <c r="H294" i="2"/>
  <c r="G294" i="2"/>
  <c r="R293" i="2"/>
  <c r="Q293" i="2"/>
  <c r="P293" i="2"/>
  <c r="O293" i="2"/>
  <c r="M293" i="2"/>
  <c r="L293" i="2"/>
  <c r="K293" i="2"/>
  <c r="J293" i="2"/>
  <c r="I293" i="2"/>
  <c r="H293" i="2"/>
  <c r="G293" i="2"/>
  <c r="F293" i="2"/>
  <c r="R292" i="2"/>
  <c r="Q292" i="2"/>
  <c r="P292" i="2"/>
  <c r="O292" i="2"/>
  <c r="M292" i="2"/>
  <c r="L292" i="2"/>
  <c r="K292" i="2"/>
  <c r="J292" i="2"/>
  <c r="I292" i="2"/>
  <c r="H292" i="2"/>
  <c r="G292" i="2"/>
  <c r="F292" i="2"/>
  <c r="R289" i="2"/>
  <c r="Q289" i="2"/>
  <c r="P289" i="2"/>
  <c r="O289" i="2"/>
  <c r="M289" i="2"/>
  <c r="L289" i="2"/>
  <c r="K289" i="2"/>
  <c r="J289" i="2"/>
  <c r="I289" i="2"/>
  <c r="H289" i="2"/>
  <c r="G289" i="2"/>
  <c r="F289" i="2"/>
  <c r="R288" i="2"/>
  <c r="Q288" i="2"/>
  <c r="P288" i="2"/>
  <c r="O288" i="2"/>
  <c r="M288" i="2"/>
  <c r="L288" i="2"/>
  <c r="K288" i="2"/>
  <c r="J288" i="2"/>
  <c r="I288" i="2"/>
  <c r="H288" i="2"/>
  <c r="G288" i="2"/>
  <c r="F288" i="2"/>
  <c r="R287" i="2"/>
  <c r="Q287" i="2"/>
  <c r="P287" i="2"/>
  <c r="O287" i="2"/>
  <c r="M287" i="2"/>
  <c r="K287" i="2"/>
  <c r="J287" i="2"/>
  <c r="I287" i="2"/>
  <c r="H287" i="2"/>
  <c r="G287" i="2"/>
  <c r="F287" i="2"/>
  <c r="E285" i="2"/>
  <c r="S282" i="2"/>
  <c r="F282" i="2" s="1"/>
  <c r="R282" i="2"/>
  <c r="Q282" i="2"/>
  <c r="P282" i="2"/>
  <c r="O282" i="2"/>
  <c r="M282" i="2"/>
  <c r="L282" i="2"/>
  <c r="K282" i="2"/>
  <c r="J282" i="2"/>
  <c r="F280" i="2"/>
  <c r="O280" i="2"/>
  <c r="M280" i="2"/>
  <c r="L280" i="2"/>
  <c r="K280" i="2"/>
  <c r="J280" i="2"/>
  <c r="F277" i="2"/>
  <c r="R277" i="2"/>
  <c r="Q277" i="2"/>
  <c r="P277" i="2"/>
  <c r="O277" i="2"/>
  <c r="M277" i="2"/>
  <c r="L277" i="2"/>
  <c r="K277" i="2"/>
  <c r="J277" i="2"/>
  <c r="I246" i="2"/>
  <c r="F271" i="2"/>
  <c r="O271" i="2"/>
  <c r="M271" i="2"/>
  <c r="L271" i="2"/>
  <c r="K271" i="2"/>
  <c r="J271" i="2"/>
  <c r="S269" i="2"/>
  <c r="F269" i="2" s="1"/>
  <c r="R269" i="2"/>
  <c r="Q269" i="2"/>
  <c r="P269" i="2"/>
  <c r="O269" i="2"/>
  <c r="L269" i="2"/>
  <c r="K269" i="2"/>
  <c r="J269" i="2"/>
  <c r="F267" i="2"/>
  <c r="O267" i="2"/>
  <c r="M267" i="2"/>
  <c r="L267" i="2"/>
  <c r="K267" i="2"/>
  <c r="J267" i="2"/>
  <c r="S266" i="2"/>
  <c r="F266" i="2" s="1"/>
  <c r="R266" i="2"/>
  <c r="Q266" i="2"/>
  <c r="P266" i="2"/>
  <c r="O266" i="2"/>
  <c r="L266" i="2"/>
  <c r="K266" i="2"/>
  <c r="J266" i="2"/>
  <c r="F264" i="2"/>
  <c r="O264" i="2"/>
  <c r="M264" i="2"/>
  <c r="L264" i="2"/>
  <c r="K264" i="2"/>
  <c r="J264" i="2"/>
  <c r="S263" i="2"/>
  <c r="F263" i="2" s="1"/>
  <c r="R263" i="2"/>
  <c r="Q263" i="2"/>
  <c r="P263" i="2"/>
  <c r="O263" i="2"/>
  <c r="M263" i="2"/>
  <c r="L263" i="2"/>
  <c r="K263" i="2"/>
  <c r="J263" i="2"/>
  <c r="S262" i="2"/>
  <c r="F262" i="2" s="1"/>
  <c r="R262" i="2"/>
  <c r="Q262" i="2"/>
  <c r="P262" i="2"/>
  <c r="O262" i="2"/>
  <c r="M262" i="2"/>
  <c r="L262" i="2"/>
  <c r="K262" i="2"/>
  <c r="J262" i="2"/>
  <c r="F260" i="2"/>
  <c r="O260" i="2"/>
  <c r="L260" i="2"/>
  <c r="K260" i="2"/>
  <c r="S258" i="2"/>
  <c r="F258" i="2" s="1"/>
  <c r="R258" i="2"/>
  <c r="Q258" i="2"/>
  <c r="P258" i="2"/>
  <c r="O258" i="2"/>
  <c r="K258" i="2"/>
  <c r="J258" i="2"/>
  <c r="S257" i="2"/>
  <c r="F257" i="2" s="1"/>
  <c r="R257" i="2"/>
  <c r="Q257" i="2"/>
  <c r="P257" i="2"/>
  <c r="O257" i="2"/>
  <c r="M257" i="2"/>
  <c r="L257" i="2"/>
  <c r="K257" i="2"/>
  <c r="J257" i="2"/>
  <c r="F255" i="2"/>
  <c r="O255" i="2"/>
  <c r="M255" i="2"/>
  <c r="L255" i="2"/>
  <c r="K255" i="2"/>
  <c r="J255" i="2"/>
  <c r="S254" i="2"/>
  <c r="F254" i="2" s="1"/>
  <c r="R254" i="2"/>
  <c r="Q254" i="2"/>
  <c r="P254" i="2"/>
  <c r="O254" i="2"/>
  <c r="M254" i="2"/>
  <c r="L254" i="2"/>
  <c r="K254" i="2"/>
  <c r="J254" i="2"/>
  <c r="F252" i="2"/>
  <c r="O252" i="2"/>
  <c r="M252" i="2"/>
  <c r="L252" i="2"/>
  <c r="K252" i="2"/>
  <c r="J252" i="2"/>
  <c r="S251" i="2"/>
  <c r="F251" i="2" s="1"/>
  <c r="R251" i="2"/>
  <c r="Q251" i="2"/>
  <c r="P251" i="2"/>
  <c r="O251" i="2"/>
  <c r="M251" i="2"/>
  <c r="L251" i="2"/>
  <c r="K251" i="2"/>
  <c r="J251" i="2"/>
  <c r="F249" i="2"/>
  <c r="O249" i="2"/>
  <c r="M249" i="2"/>
  <c r="L249" i="2"/>
  <c r="K249" i="2"/>
  <c r="J249" i="2"/>
  <c r="S248" i="2"/>
  <c r="F248" i="2" s="1"/>
  <c r="F283" i="2" s="1"/>
  <c r="S283" i="2" s="1"/>
  <c r="R248" i="2"/>
  <c r="Q248" i="2"/>
  <c r="P248" i="2"/>
  <c r="O248" i="2"/>
  <c r="L248" i="2"/>
  <c r="K248" i="2"/>
  <c r="J248" i="2"/>
  <c r="H246" i="2"/>
  <c r="G246" i="2"/>
  <c r="E246" i="2"/>
  <c r="F243" i="2"/>
  <c r="F242" i="2"/>
  <c r="F241" i="2"/>
  <c r="F240" i="2"/>
  <c r="F239" i="2"/>
  <c r="F238" i="2"/>
  <c r="F236" i="2"/>
  <c r="F235" i="2"/>
  <c r="F232" i="2"/>
  <c r="E230" i="2"/>
  <c r="R227" i="2"/>
  <c r="Q227" i="2"/>
  <c r="P227" i="2"/>
  <c r="O227" i="2"/>
  <c r="M227" i="2"/>
  <c r="L227" i="2"/>
  <c r="K227" i="2"/>
  <c r="J227" i="2"/>
  <c r="I227" i="2"/>
  <c r="H227" i="2"/>
  <c r="G227" i="2"/>
  <c r="F227" i="2"/>
  <c r="R226" i="2"/>
  <c r="Q226" i="2"/>
  <c r="P226" i="2"/>
  <c r="O226" i="2"/>
  <c r="M226" i="2"/>
  <c r="L226" i="2"/>
  <c r="K226" i="2"/>
  <c r="J226" i="2"/>
  <c r="I226" i="2"/>
  <c r="H226" i="2"/>
  <c r="G226" i="2"/>
  <c r="F226" i="2"/>
  <c r="E224" i="2"/>
  <c r="R221" i="2"/>
  <c r="Q221" i="2"/>
  <c r="P221" i="2"/>
  <c r="O221" i="2"/>
  <c r="M221" i="2"/>
  <c r="L221" i="2"/>
  <c r="K221" i="2"/>
  <c r="J221" i="2"/>
  <c r="I221" i="2"/>
  <c r="H221" i="2"/>
  <c r="G221" i="2"/>
  <c r="F221" i="2"/>
  <c r="R220" i="2"/>
  <c r="Q220" i="2"/>
  <c r="P220" i="2"/>
  <c r="O220" i="2"/>
  <c r="M220" i="2"/>
  <c r="L220" i="2"/>
  <c r="K220" i="2"/>
  <c r="J220" i="2"/>
  <c r="I220" i="2"/>
  <c r="H220" i="2"/>
  <c r="G220" i="2"/>
  <c r="F220" i="2"/>
  <c r="R219" i="2"/>
  <c r="Q219" i="2"/>
  <c r="P219" i="2"/>
  <c r="O219" i="2"/>
  <c r="M219" i="2"/>
  <c r="L219" i="2"/>
  <c r="K219" i="2"/>
  <c r="J219" i="2"/>
  <c r="I219" i="2"/>
  <c r="H219" i="2"/>
  <c r="G219" i="2"/>
  <c r="F219" i="2"/>
  <c r="E216" i="2"/>
  <c r="R213" i="2"/>
  <c r="R212" i="2" s="1"/>
  <c r="Q213" i="2"/>
  <c r="Q212" i="2" s="1"/>
  <c r="P213" i="2"/>
  <c r="P212" i="2" s="1"/>
  <c r="O213" i="2"/>
  <c r="O212" i="2" s="1"/>
  <c r="M213" i="2"/>
  <c r="M212" i="2" s="1"/>
  <c r="L213" i="2"/>
  <c r="L212" i="2" s="1"/>
  <c r="K213" i="2"/>
  <c r="K212" i="2" s="1"/>
  <c r="J213" i="2"/>
  <c r="J212" i="2" s="1"/>
  <c r="I213" i="2"/>
  <c r="I212" i="2" s="1"/>
  <c r="H213" i="2"/>
  <c r="H212" i="2" s="1"/>
  <c r="G213" i="2"/>
  <c r="G212" i="2" s="1"/>
  <c r="F213" i="2"/>
  <c r="F212" i="2" s="1"/>
  <c r="E212" i="2"/>
  <c r="R209" i="2"/>
  <c r="R208" i="2" s="1"/>
  <c r="Q209" i="2"/>
  <c r="Q208" i="2" s="1"/>
  <c r="P209" i="2"/>
  <c r="P208" i="2" s="1"/>
  <c r="O209" i="2"/>
  <c r="O208" i="2" s="1"/>
  <c r="M209" i="2"/>
  <c r="M208" i="2" s="1"/>
  <c r="L209" i="2"/>
  <c r="L208" i="2" s="1"/>
  <c r="K209" i="2"/>
  <c r="K208" i="2" s="1"/>
  <c r="J209" i="2"/>
  <c r="J208" i="2" s="1"/>
  <c r="I209" i="2"/>
  <c r="I208" i="2" s="1"/>
  <c r="H209" i="2"/>
  <c r="H208" i="2" s="1"/>
  <c r="G209" i="2"/>
  <c r="G208" i="2" s="1"/>
  <c r="F209" i="2"/>
  <c r="F208" i="2" s="1"/>
  <c r="E208" i="2"/>
  <c r="R205" i="2"/>
  <c r="R204" i="2" s="1"/>
  <c r="Q205" i="2"/>
  <c r="Q204" i="2" s="1"/>
  <c r="P205" i="2"/>
  <c r="P204" i="2" s="1"/>
  <c r="O205" i="2"/>
  <c r="O204" i="2" s="1"/>
  <c r="M205" i="2"/>
  <c r="M204" i="2" s="1"/>
  <c r="L205" i="2"/>
  <c r="L204" i="2" s="1"/>
  <c r="K205" i="2"/>
  <c r="K204" i="2" s="1"/>
  <c r="J205" i="2"/>
  <c r="J204" i="2" s="1"/>
  <c r="I205" i="2"/>
  <c r="I204" i="2" s="1"/>
  <c r="H205" i="2"/>
  <c r="H204" i="2" s="1"/>
  <c r="G205" i="2"/>
  <c r="G204" i="2" s="1"/>
  <c r="F205" i="2"/>
  <c r="F204" i="2" s="1"/>
  <c r="E204" i="2"/>
  <c r="R201" i="2"/>
  <c r="Q201" i="2"/>
  <c r="P201" i="2"/>
  <c r="O201" i="2"/>
  <c r="M201" i="2"/>
  <c r="L201" i="2"/>
  <c r="K201" i="2"/>
  <c r="J201" i="2"/>
  <c r="I201" i="2"/>
  <c r="H201" i="2"/>
  <c r="G201" i="2"/>
  <c r="F201" i="2"/>
  <c r="R194" i="2"/>
  <c r="Q194" i="2"/>
  <c r="P194" i="2"/>
  <c r="O194" i="2"/>
  <c r="M194" i="2"/>
  <c r="L194" i="2"/>
  <c r="K194" i="2"/>
  <c r="H194" i="2"/>
  <c r="G194" i="2"/>
  <c r="F194" i="2"/>
  <c r="R193" i="2"/>
  <c r="Q193" i="2"/>
  <c r="P193" i="2"/>
  <c r="O193" i="2"/>
  <c r="M193" i="2"/>
  <c r="L193" i="2"/>
  <c r="K193" i="2"/>
  <c r="J193" i="2"/>
  <c r="I193" i="2"/>
  <c r="H193" i="2"/>
  <c r="G193" i="2"/>
  <c r="F193" i="2"/>
  <c r="E191" i="2"/>
  <c r="R188" i="2"/>
  <c r="Q188" i="2"/>
  <c r="P188" i="2"/>
  <c r="O188" i="2"/>
  <c r="L188" i="2"/>
  <c r="K188" i="2"/>
  <c r="J188" i="2"/>
  <c r="I188" i="2"/>
  <c r="H188" i="2"/>
  <c r="G188" i="2"/>
  <c r="F188" i="2"/>
  <c r="R183" i="2"/>
  <c r="Q183" i="2"/>
  <c r="P183" i="2"/>
  <c r="O183" i="2"/>
  <c r="M183" i="2"/>
  <c r="L183" i="2"/>
  <c r="K183" i="2"/>
  <c r="J183" i="2"/>
  <c r="I183" i="2"/>
  <c r="H183" i="2"/>
  <c r="G183" i="2"/>
  <c r="F183" i="2"/>
  <c r="R180" i="2"/>
  <c r="Q180" i="2"/>
  <c r="P180" i="2"/>
  <c r="O180" i="2"/>
  <c r="M180" i="2"/>
  <c r="L180" i="2"/>
  <c r="K180" i="2"/>
  <c r="J180" i="2"/>
  <c r="I180" i="2"/>
  <c r="G180" i="2"/>
  <c r="F180" i="2"/>
  <c r="R179" i="2"/>
  <c r="Q179" i="2"/>
  <c r="P179" i="2"/>
  <c r="O179" i="2"/>
  <c r="M179" i="2"/>
  <c r="L179" i="2"/>
  <c r="K179" i="2"/>
  <c r="J179" i="2"/>
  <c r="I179" i="2"/>
  <c r="H179" i="2"/>
  <c r="G179" i="2"/>
  <c r="F179" i="2"/>
  <c r="P178" i="2"/>
  <c r="O178" i="2"/>
  <c r="M178" i="2"/>
  <c r="L178" i="2"/>
  <c r="K178" i="2"/>
  <c r="J178" i="2"/>
  <c r="I178" i="2"/>
  <c r="H178" i="2"/>
  <c r="G178" i="2"/>
  <c r="F178" i="2"/>
  <c r="R177" i="2"/>
  <c r="Q177" i="2"/>
  <c r="P177" i="2"/>
  <c r="O177" i="2"/>
  <c r="M177" i="2"/>
  <c r="L177" i="2"/>
  <c r="K177" i="2"/>
  <c r="J177" i="2"/>
  <c r="I177" i="2"/>
  <c r="H177" i="2"/>
  <c r="G177" i="2"/>
  <c r="F177" i="2"/>
  <c r="R176" i="2"/>
  <c r="Q176" i="2"/>
  <c r="P176" i="2"/>
  <c r="O176" i="2"/>
  <c r="M176" i="2"/>
  <c r="L176" i="2"/>
  <c r="K176" i="2"/>
  <c r="J176" i="2"/>
  <c r="I176" i="2"/>
  <c r="H176" i="2"/>
  <c r="G176" i="2"/>
  <c r="F176" i="2"/>
  <c r="R175" i="2"/>
  <c r="Q175" i="2"/>
  <c r="P175" i="2"/>
  <c r="O175" i="2"/>
  <c r="M175" i="2"/>
  <c r="L175" i="2"/>
  <c r="K175" i="2"/>
  <c r="J175" i="2"/>
  <c r="I175" i="2"/>
  <c r="H175" i="2"/>
  <c r="G175" i="2"/>
  <c r="F175" i="2"/>
  <c r="R172" i="2"/>
  <c r="Q172" i="2"/>
  <c r="P172" i="2"/>
  <c r="O172" i="2"/>
  <c r="M172" i="2"/>
  <c r="L172" i="2"/>
  <c r="K172" i="2"/>
  <c r="J172" i="2"/>
  <c r="I172" i="2"/>
  <c r="G172" i="2"/>
  <c r="R171" i="2"/>
  <c r="Q171" i="2"/>
  <c r="P171" i="2"/>
  <c r="O171" i="2"/>
  <c r="M171" i="2"/>
  <c r="L171" i="2"/>
  <c r="K171" i="2"/>
  <c r="J171" i="2"/>
  <c r="I171" i="2"/>
  <c r="H171" i="2"/>
  <c r="G171" i="2"/>
  <c r="F171" i="2"/>
  <c r="R170" i="2"/>
  <c r="Q170" i="2"/>
  <c r="P170" i="2"/>
  <c r="O170" i="2"/>
  <c r="M170" i="2"/>
  <c r="L170" i="2"/>
  <c r="K170" i="2"/>
  <c r="J170" i="2"/>
  <c r="I170" i="2"/>
  <c r="H170" i="2"/>
  <c r="G170" i="2"/>
  <c r="F170" i="2"/>
  <c r="R169" i="2"/>
  <c r="Q169" i="2"/>
  <c r="P169" i="2"/>
  <c r="O169" i="2"/>
  <c r="M169" i="2"/>
  <c r="L169" i="2"/>
  <c r="K169" i="2"/>
  <c r="J169" i="2"/>
  <c r="I169" i="2"/>
  <c r="H169" i="2"/>
  <c r="G169" i="2"/>
  <c r="F169" i="2"/>
  <c r="R167" i="2"/>
  <c r="Q167" i="2"/>
  <c r="P167" i="2"/>
  <c r="O167" i="2"/>
  <c r="M167" i="2"/>
  <c r="K167" i="2"/>
  <c r="J167" i="2"/>
  <c r="I167" i="2"/>
  <c r="F167" i="2"/>
  <c r="R166" i="2"/>
  <c r="Q166" i="2"/>
  <c r="P166" i="2"/>
  <c r="O166" i="2"/>
  <c r="M166" i="2"/>
  <c r="L166" i="2"/>
  <c r="K166" i="2"/>
  <c r="J166" i="2"/>
  <c r="H166" i="2"/>
  <c r="G166" i="2"/>
  <c r="F166" i="2"/>
  <c r="O164" i="2"/>
  <c r="M164" i="2"/>
  <c r="L164" i="2"/>
  <c r="K164" i="2"/>
  <c r="J164" i="2"/>
  <c r="I164" i="2"/>
  <c r="H164" i="2"/>
  <c r="G164" i="2"/>
  <c r="F164" i="2"/>
  <c r="E162" i="2"/>
  <c r="R158" i="2"/>
  <c r="Q158" i="2"/>
  <c r="P158" i="2"/>
  <c r="O158" i="2"/>
  <c r="M158" i="2"/>
  <c r="L158" i="2"/>
  <c r="K158" i="2"/>
  <c r="J158" i="2"/>
  <c r="I158" i="2"/>
  <c r="H158" i="2"/>
  <c r="G158" i="2"/>
  <c r="F158" i="2"/>
  <c r="R157" i="2"/>
  <c r="Q157" i="2"/>
  <c r="P157" i="2"/>
  <c r="O157" i="2"/>
  <c r="M157" i="2"/>
  <c r="L157" i="2"/>
  <c r="K157" i="2"/>
  <c r="J157" i="2"/>
  <c r="I157" i="2"/>
  <c r="H157" i="2"/>
  <c r="G157" i="2"/>
  <c r="F157" i="2"/>
  <c r="F159" i="2" s="1"/>
  <c r="R149" i="2"/>
  <c r="Q149" i="2"/>
  <c r="P149" i="2"/>
  <c r="O149" i="2"/>
  <c r="M149" i="2"/>
  <c r="L149" i="2"/>
  <c r="K149" i="2"/>
  <c r="J149" i="2"/>
  <c r="I149" i="2"/>
  <c r="I146" i="2" s="1"/>
  <c r="G149" i="2"/>
  <c r="G146" i="2" s="1"/>
  <c r="F148" i="2"/>
  <c r="R148" i="2"/>
  <c r="Q148" i="2"/>
  <c r="P148" i="2"/>
  <c r="O148" i="2"/>
  <c r="M148" i="2"/>
  <c r="L148" i="2"/>
  <c r="K148" i="2"/>
  <c r="J148" i="2"/>
  <c r="R144" i="2"/>
  <c r="Q144" i="2"/>
  <c r="P144" i="2"/>
  <c r="O144" i="2"/>
  <c r="M144" i="2"/>
  <c r="L144" i="2"/>
  <c r="K144" i="2"/>
  <c r="J144" i="2"/>
  <c r="I144" i="2"/>
  <c r="H144" i="2"/>
  <c r="G144" i="2"/>
  <c r="F144" i="2"/>
  <c r="R143" i="2"/>
  <c r="Q143" i="2"/>
  <c r="P143" i="2"/>
  <c r="O143" i="2"/>
  <c r="M143" i="2"/>
  <c r="L143" i="2"/>
  <c r="K143" i="2"/>
  <c r="J143" i="2"/>
  <c r="I143" i="2"/>
  <c r="H143" i="2"/>
  <c r="G143" i="2"/>
  <c r="F143" i="2"/>
  <c r="R139" i="2"/>
  <c r="Q139" i="2"/>
  <c r="P139" i="2"/>
  <c r="O139" i="2"/>
  <c r="M139" i="2"/>
  <c r="L139" i="2"/>
  <c r="K139" i="2"/>
  <c r="J139" i="2"/>
  <c r="I139" i="2"/>
  <c r="H139" i="2"/>
  <c r="G139" i="2"/>
  <c r="F139" i="2"/>
  <c r="S137" i="2"/>
  <c r="F137" i="2" s="1"/>
  <c r="R137" i="2"/>
  <c r="Q137" i="2"/>
  <c r="P137" i="2"/>
  <c r="O137" i="2"/>
  <c r="M137" i="2"/>
  <c r="L137" i="2"/>
  <c r="K137" i="2"/>
  <c r="J137" i="2"/>
  <c r="R136" i="2"/>
  <c r="Q136" i="2"/>
  <c r="P136" i="2"/>
  <c r="O136" i="2"/>
  <c r="M136" i="2"/>
  <c r="L136" i="2"/>
  <c r="K136" i="2"/>
  <c r="J136" i="2"/>
  <c r="I136" i="2"/>
  <c r="H136" i="2"/>
  <c r="G136" i="2"/>
  <c r="F136" i="2"/>
  <c r="R135" i="2"/>
  <c r="Q135" i="2"/>
  <c r="P135" i="2"/>
  <c r="O135" i="2"/>
  <c r="M135" i="2"/>
  <c r="L135" i="2"/>
  <c r="K135" i="2"/>
  <c r="J135" i="2"/>
  <c r="I135" i="2"/>
  <c r="H135" i="2"/>
  <c r="G135" i="2"/>
  <c r="F135" i="2"/>
  <c r="R134" i="2"/>
  <c r="Q134" i="2"/>
  <c r="P134" i="2"/>
  <c r="O134" i="2"/>
  <c r="M134" i="2"/>
  <c r="L134" i="2"/>
  <c r="K134" i="2"/>
  <c r="J134" i="2"/>
  <c r="I134" i="2"/>
  <c r="H134" i="2"/>
  <c r="G134" i="2"/>
  <c r="F134" i="2"/>
  <c r="E132" i="2"/>
  <c r="R130" i="2"/>
  <c r="Q130" i="2"/>
  <c r="P130" i="2"/>
  <c r="O130" i="2"/>
  <c r="M130" i="2"/>
  <c r="L130" i="2"/>
  <c r="K130" i="2"/>
  <c r="J130" i="2"/>
  <c r="I130" i="2"/>
  <c r="H130" i="2"/>
  <c r="G130" i="2"/>
  <c r="F130" i="2"/>
  <c r="R129" i="2"/>
  <c r="Q129" i="2"/>
  <c r="P129" i="2"/>
  <c r="O129" i="2"/>
  <c r="M129" i="2"/>
  <c r="L129" i="2"/>
  <c r="K129" i="2"/>
  <c r="J129" i="2"/>
  <c r="I129" i="2"/>
  <c r="H129" i="2"/>
  <c r="G129" i="2"/>
  <c r="F129" i="2"/>
  <c r="R125" i="2"/>
  <c r="Q125" i="2"/>
  <c r="O125" i="2"/>
  <c r="M125" i="2"/>
  <c r="L125" i="2"/>
  <c r="K125" i="2"/>
  <c r="J125" i="2"/>
  <c r="I125" i="2"/>
  <c r="H125" i="2"/>
  <c r="G125" i="2"/>
  <c r="F125" i="2"/>
  <c r="E123" i="2"/>
  <c r="R121" i="2"/>
  <c r="Q121" i="2"/>
  <c r="P121" i="2"/>
  <c r="O121" i="2"/>
  <c r="M121" i="2"/>
  <c r="L121" i="2"/>
  <c r="K121" i="2"/>
  <c r="J121" i="2"/>
  <c r="I121" i="2"/>
  <c r="H121" i="2"/>
  <c r="G121" i="2"/>
  <c r="F121" i="2"/>
  <c r="R119" i="2"/>
  <c r="Q119" i="2"/>
  <c r="P119" i="2"/>
  <c r="R117" i="2"/>
  <c r="Q117" i="2"/>
  <c r="P117" i="2"/>
  <c r="O117" i="2"/>
  <c r="M117" i="2"/>
  <c r="L117" i="2"/>
  <c r="K117" i="2"/>
  <c r="J117" i="2"/>
  <c r="I117" i="2"/>
  <c r="H117" i="2"/>
  <c r="G117" i="2"/>
  <c r="F117" i="2"/>
  <c r="L116" i="2"/>
  <c r="K116" i="2"/>
  <c r="J116" i="2"/>
  <c r="I116" i="2"/>
  <c r="H116" i="2"/>
  <c r="G116" i="2"/>
  <c r="F116" i="2"/>
  <c r="R115" i="2"/>
  <c r="Q115" i="2"/>
  <c r="P115" i="2"/>
  <c r="O115" i="2"/>
  <c r="M115" i="2"/>
  <c r="L115" i="2"/>
  <c r="K115" i="2"/>
  <c r="J115" i="2"/>
  <c r="I115" i="2"/>
  <c r="H115" i="2"/>
  <c r="G115" i="2"/>
  <c r="F115" i="2"/>
  <c r="E113" i="2"/>
  <c r="E111" i="2"/>
  <c r="R110" i="2"/>
  <c r="Q110" i="2"/>
  <c r="P110" i="2"/>
  <c r="O110" i="2"/>
  <c r="M110" i="2"/>
  <c r="L110" i="2"/>
  <c r="K110" i="2"/>
  <c r="J110" i="2"/>
  <c r="I110" i="2"/>
  <c r="H110" i="2"/>
  <c r="G110" i="2"/>
  <c r="F110" i="2"/>
  <c r="R109" i="2"/>
  <c r="Q109" i="2"/>
  <c r="P109" i="2"/>
  <c r="O109" i="2"/>
  <c r="M109" i="2"/>
  <c r="L109" i="2"/>
  <c r="K109" i="2"/>
  <c r="J109" i="2"/>
  <c r="I109" i="2"/>
  <c r="H109" i="2"/>
  <c r="G109" i="2"/>
  <c r="F109" i="2"/>
  <c r="R108" i="2"/>
  <c r="Q108" i="2"/>
  <c r="P108" i="2"/>
  <c r="O108" i="2"/>
  <c r="M108" i="2"/>
  <c r="L108" i="2"/>
  <c r="K108" i="2"/>
  <c r="J108" i="2"/>
  <c r="I108" i="2"/>
  <c r="H108" i="2"/>
  <c r="G108" i="2"/>
  <c r="F108" i="2"/>
  <c r="E107" i="2"/>
  <c r="N107" i="2" s="1"/>
  <c r="F94" i="2"/>
  <c r="R89" i="2"/>
  <c r="Q89" i="2"/>
  <c r="P89" i="2"/>
  <c r="O89" i="2"/>
  <c r="M89" i="2"/>
  <c r="L89" i="2"/>
  <c r="K89" i="2"/>
  <c r="J89" i="2"/>
  <c r="I89" i="2"/>
  <c r="F89" i="2"/>
  <c r="R87" i="2"/>
  <c r="Q87" i="2"/>
  <c r="P87" i="2"/>
  <c r="O87" i="2"/>
  <c r="M87" i="2"/>
  <c r="L87" i="2"/>
  <c r="K87" i="2"/>
  <c r="J87" i="2"/>
  <c r="I87" i="2"/>
  <c r="H87" i="2"/>
  <c r="G87" i="2"/>
  <c r="F87" i="2"/>
  <c r="R86" i="2"/>
  <c r="Q86" i="2"/>
  <c r="P86" i="2"/>
  <c r="O86" i="2"/>
  <c r="M86" i="2"/>
  <c r="L86" i="2"/>
  <c r="K86" i="2"/>
  <c r="J86" i="2"/>
  <c r="I86" i="2"/>
  <c r="H86" i="2"/>
  <c r="G86" i="2"/>
  <c r="F86" i="2"/>
  <c r="R85" i="2"/>
  <c r="Q85" i="2"/>
  <c r="P85" i="2"/>
  <c r="O85" i="2"/>
  <c r="M85" i="2"/>
  <c r="L85" i="2"/>
  <c r="K85" i="2"/>
  <c r="J85" i="2"/>
  <c r="I85" i="2"/>
  <c r="H85" i="2"/>
  <c r="G85" i="2"/>
  <c r="F85" i="2"/>
  <c r="R84" i="2"/>
  <c r="Q84" i="2"/>
  <c r="P84" i="2"/>
  <c r="O84" i="2"/>
  <c r="M84" i="2"/>
  <c r="L84" i="2"/>
  <c r="K84" i="2"/>
  <c r="J84" i="2"/>
  <c r="I84" i="2"/>
  <c r="H84" i="2"/>
  <c r="G84" i="2"/>
  <c r="F84" i="2"/>
  <c r="R83" i="2"/>
  <c r="Q83" i="2"/>
  <c r="P83" i="2"/>
  <c r="O83" i="2"/>
  <c r="M83" i="2"/>
  <c r="L83" i="2"/>
  <c r="K83" i="2"/>
  <c r="J83" i="2"/>
  <c r="I83" i="2"/>
  <c r="H83" i="2"/>
  <c r="G83" i="2"/>
  <c r="F83" i="2"/>
  <c r="R82" i="2"/>
  <c r="Q82" i="2"/>
  <c r="P82" i="2"/>
  <c r="O82" i="2"/>
  <c r="M82" i="2"/>
  <c r="L82" i="2"/>
  <c r="K82" i="2"/>
  <c r="J82" i="2"/>
  <c r="I82" i="2"/>
  <c r="H82" i="2"/>
  <c r="G82" i="2"/>
  <c r="F82" i="2"/>
  <c r="E80" i="2"/>
  <c r="R73" i="2"/>
  <c r="Q73" i="2"/>
  <c r="P73" i="2"/>
  <c r="O73" i="2"/>
  <c r="M73" i="2"/>
  <c r="L73" i="2"/>
  <c r="K73" i="2"/>
  <c r="J73" i="2"/>
  <c r="I73" i="2"/>
  <c r="H73" i="2"/>
  <c r="G73" i="2"/>
  <c r="R72" i="2"/>
  <c r="Q72" i="2"/>
  <c r="P72" i="2"/>
  <c r="O72" i="2"/>
  <c r="M72" i="2"/>
  <c r="L72" i="2"/>
  <c r="K72" i="2"/>
  <c r="J72" i="2"/>
  <c r="I72" i="2"/>
  <c r="H72" i="2"/>
  <c r="G72" i="2"/>
  <c r="R70" i="2"/>
  <c r="Q70" i="2"/>
  <c r="P70" i="2"/>
  <c r="O70" i="2"/>
  <c r="M70" i="2"/>
  <c r="L70" i="2"/>
  <c r="K70" i="2"/>
  <c r="J70" i="2"/>
  <c r="I70" i="2"/>
  <c r="H70" i="2"/>
  <c r="G70" i="2"/>
  <c r="R67" i="2"/>
  <c r="Q67" i="2"/>
  <c r="P67" i="2"/>
  <c r="O67" i="2"/>
  <c r="L67" i="2"/>
  <c r="K67" i="2"/>
  <c r="J67" i="2"/>
  <c r="I67" i="2"/>
  <c r="H67" i="2"/>
  <c r="G67" i="2"/>
  <c r="R66" i="2"/>
  <c r="Q66" i="2"/>
  <c r="P66" i="2"/>
  <c r="O66" i="2"/>
  <c r="M66" i="2"/>
  <c r="L66" i="2"/>
  <c r="K66" i="2"/>
  <c r="J66" i="2"/>
  <c r="I66" i="2"/>
  <c r="H66" i="2"/>
  <c r="G66" i="2"/>
  <c r="R65" i="2"/>
  <c r="Q65" i="2"/>
  <c r="P65" i="2"/>
  <c r="O65" i="2"/>
  <c r="M65" i="2"/>
  <c r="L65" i="2"/>
  <c r="K65" i="2"/>
  <c r="J65" i="2"/>
  <c r="I65" i="2"/>
  <c r="H65" i="2"/>
  <c r="G65" i="2"/>
  <c r="R63" i="2"/>
  <c r="Q63" i="2"/>
  <c r="P63" i="2"/>
  <c r="O63" i="2"/>
  <c r="M63" i="2"/>
  <c r="L63" i="2"/>
  <c r="K63" i="2"/>
  <c r="J63" i="2"/>
  <c r="I63" i="2"/>
  <c r="H63" i="2"/>
  <c r="G63" i="2"/>
  <c r="R62" i="2"/>
  <c r="Q62" i="2"/>
  <c r="P62" i="2"/>
  <c r="O62" i="2"/>
  <c r="M62" i="2"/>
  <c r="L62" i="2"/>
  <c r="K62" i="2"/>
  <c r="J62" i="2"/>
  <c r="I62" i="2"/>
  <c r="H62" i="2"/>
  <c r="G62" i="2"/>
  <c r="R60" i="2"/>
  <c r="Q60" i="2"/>
  <c r="P60" i="2"/>
  <c r="O60" i="2"/>
  <c r="M60" i="2"/>
  <c r="L60" i="2"/>
  <c r="K60" i="2"/>
  <c r="J60" i="2"/>
  <c r="I60" i="2"/>
  <c r="H60" i="2"/>
  <c r="G60" i="2"/>
  <c r="R58" i="2"/>
  <c r="Q58" i="2"/>
  <c r="P58" i="2"/>
  <c r="O58" i="2"/>
  <c r="M58" i="2"/>
  <c r="L58" i="2"/>
  <c r="K58" i="2"/>
  <c r="J58" i="2"/>
  <c r="I58" i="2"/>
  <c r="H58" i="2"/>
  <c r="G58" i="2"/>
  <c r="R57" i="2"/>
  <c r="P57" i="2"/>
  <c r="O57" i="2"/>
  <c r="M57" i="2"/>
  <c r="L57" i="2"/>
  <c r="K57" i="2"/>
  <c r="J57" i="2"/>
  <c r="I57" i="2"/>
  <c r="H57" i="2"/>
  <c r="G57" i="2"/>
  <c r="R55" i="2"/>
  <c r="Q55" i="2"/>
  <c r="P55" i="2"/>
  <c r="O55" i="2"/>
  <c r="M55" i="2"/>
  <c r="L55" i="2"/>
  <c r="K55" i="2"/>
  <c r="J55" i="2"/>
  <c r="I55" i="2"/>
  <c r="G55" i="2"/>
  <c r="F55" i="2"/>
  <c r="F79" i="2" s="1"/>
  <c r="S79" i="2" s="1"/>
  <c r="E53" i="2"/>
  <c r="R49" i="2"/>
  <c r="Q49" i="2"/>
  <c r="P49" i="2"/>
  <c r="O49" i="2"/>
  <c r="M49" i="2"/>
  <c r="L49" i="2"/>
  <c r="K49" i="2"/>
  <c r="J49" i="2"/>
  <c r="I49" i="2"/>
  <c r="H49" i="2"/>
  <c r="G49" i="2"/>
  <c r="F49" i="2"/>
  <c r="E46" i="2"/>
  <c r="R44" i="2"/>
  <c r="Q44" i="2"/>
  <c r="P44" i="2"/>
  <c r="O44" i="2"/>
  <c r="M44" i="2"/>
  <c r="L44" i="2"/>
  <c r="K44" i="2"/>
  <c r="J44" i="2"/>
  <c r="I44" i="2"/>
  <c r="H44" i="2"/>
  <c r="G44" i="2"/>
  <c r="F44" i="2"/>
  <c r="J43" i="2"/>
  <c r="I43" i="2"/>
  <c r="H43" i="2"/>
  <c r="G43" i="2"/>
  <c r="F43" i="2"/>
  <c r="R42" i="2"/>
  <c r="Q42" i="2"/>
  <c r="P42" i="2"/>
  <c r="O42" i="2"/>
  <c r="M42" i="2"/>
  <c r="L42" i="2"/>
  <c r="K42" i="2"/>
  <c r="J42" i="2"/>
  <c r="I42" i="2"/>
  <c r="H42" i="2"/>
  <c r="G42" i="2"/>
  <c r="F42" i="2"/>
  <c r="E40" i="2"/>
  <c r="Q36" i="2"/>
  <c r="P36" i="2"/>
  <c r="O36" i="2"/>
  <c r="M36" i="2"/>
  <c r="L36" i="2"/>
  <c r="K36" i="2"/>
  <c r="J36" i="2"/>
  <c r="I36" i="2"/>
  <c r="H36" i="2"/>
  <c r="G36" i="2"/>
  <c r="F36" i="2"/>
  <c r="R35" i="2"/>
  <c r="Q35" i="2"/>
  <c r="P35" i="2"/>
  <c r="O35" i="2"/>
  <c r="M35" i="2"/>
  <c r="L35" i="2"/>
  <c r="K35" i="2"/>
  <c r="J35" i="2"/>
  <c r="I35" i="2"/>
  <c r="H35" i="2"/>
  <c r="G35" i="2"/>
  <c r="F35" i="2"/>
  <c r="R34" i="2"/>
  <c r="Q34" i="2"/>
  <c r="P34" i="2"/>
  <c r="O34" i="2"/>
  <c r="M34" i="2"/>
  <c r="L34" i="2"/>
  <c r="K34" i="2"/>
  <c r="J34" i="2"/>
  <c r="I34" i="2"/>
  <c r="H34" i="2"/>
  <c r="G34" i="2"/>
  <c r="F34" i="2"/>
  <c r="R32" i="2"/>
  <c r="Q32" i="2"/>
  <c r="P32" i="2"/>
  <c r="O32" i="2"/>
  <c r="M32" i="2"/>
  <c r="L32" i="2"/>
  <c r="K32" i="2"/>
  <c r="J32" i="2"/>
  <c r="I32" i="2"/>
  <c r="H32" i="2"/>
  <c r="G32" i="2"/>
  <c r="R31" i="2"/>
  <c r="Q31" i="2"/>
  <c r="P31" i="2"/>
  <c r="O31" i="2"/>
  <c r="M31" i="2"/>
  <c r="L31" i="2"/>
  <c r="K31" i="2"/>
  <c r="J31" i="2"/>
  <c r="I31" i="2"/>
  <c r="H31" i="2"/>
  <c r="G31" i="2"/>
  <c r="F31" i="2"/>
  <c r="R30" i="2"/>
  <c r="Q30" i="2"/>
  <c r="P30" i="2"/>
  <c r="O30" i="2"/>
  <c r="M30" i="2"/>
  <c r="L30" i="2"/>
  <c r="K30" i="2"/>
  <c r="J30" i="2"/>
  <c r="I30" i="2"/>
  <c r="H30" i="2"/>
  <c r="G30" i="2"/>
  <c r="F30" i="2"/>
  <c r="R29" i="2"/>
  <c r="Q29" i="2"/>
  <c r="P29" i="2"/>
  <c r="O29" i="2"/>
  <c r="M29" i="2"/>
  <c r="L29" i="2"/>
  <c r="K29" i="2"/>
  <c r="J29" i="2"/>
  <c r="I29" i="2"/>
  <c r="H29" i="2"/>
  <c r="G29" i="2"/>
  <c r="F29" i="2"/>
  <c r="R28" i="2"/>
  <c r="Q28" i="2"/>
  <c r="P28" i="2"/>
  <c r="O28" i="2"/>
  <c r="M28" i="2"/>
  <c r="L28" i="2"/>
  <c r="K28" i="2"/>
  <c r="J28" i="2"/>
  <c r="I28" i="2"/>
  <c r="H28" i="2"/>
  <c r="G28" i="2"/>
  <c r="F28" i="2"/>
  <c r="R24" i="2"/>
  <c r="Q24" i="2"/>
  <c r="P24" i="2"/>
  <c r="O24" i="2"/>
  <c r="M24" i="2"/>
  <c r="L24" i="2"/>
  <c r="K24" i="2"/>
  <c r="J24" i="2"/>
  <c r="I24" i="2"/>
  <c r="H24" i="2"/>
  <c r="G24" i="2"/>
  <c r="F24" i="2"/>
  <c r="E22" i="2"/>
  <c r="F348" i="2" l="1"/>
  <c r="F45" i="2"/>
  <c r="F104" i="2"/>
  <c r="S104" i="2" s="1"/>
  <c r="F131" i="2"/>
  <c r="F123" i="2" s="1"/>
  <c r="F153" i="2"/>
  <c r="F146" i="2" s="1"/>
  <c r="S348" i="2"/>
  <c r="F313" i="2"/>
  <c r="S313" i="2" s="1"/>
  <c r="F222" i="2"/>
  <c r="F37" i="2"/>
  <c r="F22" i="2" s="1"/>
  <c r="F244" i="2"/>
  <c r="S244" i="2" s="1"/>
  <c r="F189" i="2"/>
  <c r="F155" i="2"/>
  <c r="F202" i="2"/>
  <c r="R191" i="2" s="1"/>
  <c r="F140" i="2"/>
  <c r="R132" i="2" s="1"/>
  <c r="F122" i="2"/>
  <c r="R113" i="2" s="1"/>
  <c r="Q111" i="2"/>
  <c r="N111" i="2"/>
  <c r="N105" i="2" s="1"/>
  <c r="N52" i="2" s="1"/>
  <c r="R22" i="2"/>
  <c r="M246" i="2"/>
  <c r="M53" i="2"/>
  <c r="L285" i="2"/>
  <c r="M146" i="2"/>
  <c r="M285" i="2"/>
  <c r="E161" i="2"/>
  <c r="I53" i="2"/>
  <c r="P155" i="2"/>
  <c r="H46" i="2"/>
  <c r="P46" i="2"/>
  <c r="I191" i="2"/>
  <c r="Q191" i="2"/>
  <c r="P123" i="2"/>
  <c r="P113" i="2" s="1"/>
  <c r="H224" i="2"/>
  <c r="R46" i="2"/>
  <c r="J146" i="2"/>
  <c r="I141" i="2"/>
  <c r="L146" i="2"/>
  <c r="K141" i="2"/>
  <c r="Q141" i="2"/>
  <c r="R111" i="2"/>
  <c r="M155" i="2"/>
  <c r="M191" i="2"/>
  <c r="R351" i="2"/>
  <c r="R349" i="2" s="1"/>
  <c r="F46" i="2"/>
  <c r="H40" i="2"/>
  <c r="P40" i="2"/>
  <c r="K40" i="2"/>
  <c r="F107" i="2"/>
  <c r="H123" i="2"/>
  <c r="J155" i="2"/>
  <c r="R216" i="2"/>
  <c r="I224" i="2"/>
  <c r="Q224" i="2"/>
  <c r="I107" i="2"/>
  <c r="I155" i="2"/>
  <c r="Q155" i="2"/>
  <c r="K224" i="2"/>
  <c r="P230" i="2"/>
  <c r="Q351" i="2"/>
  <c r="Q349" i="2" s="1"/>
  <c r="O394" i="2"/>
  <c r="O392" i="2" s="1"/>
  <c r="Q246" i="2"/>
  <c r="H53" i="2"/>
  <c r="O107" i="2"/>
  <c r="K113" i="2"/>
  <c r="O146" i="2"/>
  <c r="M315" i="2"/>
  <c r="M379" i="2"/>
  <c r="I132" i="2"/>
  <c r="K155" i="2"/>
  <c r="K191" i="2"/>
  <c r="M224" i="2"/>
  <c r="H107" i="2"/>
  <c r="G46" i="2"/>
  <c r="O46" i="2"/>
  <c r="G191" i="2"/>
  <c r="O191" i="2"/>
  <c r="J191" i="2"/>
  <c r="E105" i="2"/>
  <c r="E52" i="2" s="1"/>
  <c r="H155" i="2"/>
  <c r="Q53" i="2"/>
  <c r="Q107" i="2"/>
  <c r="I123" i="2"/>
  <c r="Q123" i="2"/>
  <c r="M132" i="2"/>
  <c r="H132" i="2"/>
  <c r="P146" i="2"/>
  <c r="H216" i="2"/>
  <c r="P216" i="2"/>
  <c r="K246" i="2"/>
  <c r="G22" i="2"/>
  <c r="I46" i="2"/>
  <c r="Q46" i="2"/>
  <c r="G141" i="2"/>
  <c r="Q146" i="2"/>
  <c r="P224" i="2"/>
  <c r="J230" i="2"/>
  <c r="M230" i="2"/>
  <c r="G230" i="2"/>
  <c r="P22" i="2"/>
  <c r="L113" i="2"/>
  <c r="G113" i="2"/>
  <c r="O113" i="2"/>
  <c r="M141" i="2"/>
  <c r="H141" i="2"/>
  <c r="P141" i="2"/>
  <c r="G216" i="2"/>
  <c r="O216" i="2"/>
  <c r="F228" i="2"/>
  <c r="F224" i="2" s="1"/>
  <c r="I351" i="2"/>
  <c r="I349" i="2" s="1"/>
  <c r="O22" i="2"/>
  <c r="H22" i="2"/>
  <c r="K46" i="2"/>
  <c r="M46" i="2"/>
  <c r="J224" i="2"/>
  <c r="R224" i="2"/>
  <c r="H315" i="2"/>
  <c r="P315" i="2"/>
  <c r="L315" i="2"/>
  <c r="J351" i="2"/>
  <c r="J349" i="2" s="1"/>
  <c r="F379" i="2"/>
  <c r="G40" i="2"/>
  <c r="I113" i="2"/>
  <c r="Q113" i="2"/>
  <c r="M123" i="2"/>
  <c r="J141" i="2"/>
  <c r="P285" i="2"/>
  <c r="K285" i="2"/>
  <c r="J379" i="2"/>
  <c r="R379" i="2"/>
  <c r="E39" i="2"/>
  <c r="J132" i="2"/>
  <c r="L191" i="2"/>
  <c r="H379" i="2"/>
  <c r="P379" i="2"/>
  <c r="O40" i="2"/>
  <c r="M40" i="2"/>
  <c r="I40" i="2"/>
  <c r="Q40" i="2"/>
  <c r="G123" i="2"/>
  <c r="O123" i="2"/>
  <c r="K132" i="2"/>
  <c r="H191" i="2"/>
  <c r="P191" i="2"/>
  <c r="P246" i="2"/>
  <c r="G394" i="2"/>
  <c r="G392" i="2" s="1"/>
  <c r="J394" i="2"/>
  <c r="J392" i="2" s="1"/>
  <c r="J22" i="2"/>
  <c r="J46" i="2"/>
  <c r="L46" i="2"/>
  <c r="P107" i="2"/>
  <c r="M113" i="2"/>
  <c r="H113" i="2"/>
  <c r="L132" i="2"/>
  <c r="G132" i="2"/>
  <c r="O132" i="2"/>
  <c r="I285" i="2"/>
  <c r="Q285" i="2"/>
  <c r="F405" i="2"/>
  <c r="S405" i="2" s="1"/>
  <c r="L394" i="2"/>
  <c r="L392" i="2" s="1"/>
  <c r="H285" i="2"/>
  <c r="J113" i="2"/>
  <c r="Q132" i="2"/>
  <c r="M394" i="2"/>
  <c r="M392" i="2" s="1"/>
  <c r="J111" i="2"/>
  <c r="L155" i="2"/>
  <c r="G155" i="2"/>
  <c r="O155" i="2"/>
  <c r="G351" i="2"/>
  <c r="G349" i="2" s="1"/>
  <c r="O351" i="2"/>
  <c r="O349" i="2" s="1"/>
  <c r="K111" i="2"/>
  <c r="K146" i="2"/>
  <c r="K162" i="2"/>
  <c r="I162" i="2"/>
  <c r="H351" i="2"/>
  <c r="H349" i="2" s="1"/>
  <c r="P351" i="2"/>
  <c r="P349" i="2" s="1"/>
  <c r="K379" i="2"/>
  <c r="I394" i="2"/>
  <c r="I392" i="2" s="1"/>
  <c r="Q394" i="2"/>
  <c r="G107" i="2"/>
  <c r="L111" i="2"/>
  <c r="K123" i="2"/>
  <c r="Q162" i="2"/>
  <c r="J162" i="2"/>
  <c r="R162" i="2"/>
  <c r="I216" i="2"/>
  <c r="Q216" i="2"/>
  <c r="L216" i="2"/>
  <c r="L224" i="2"/>
  <c r="G224" i="2"/>
  <c r="O224" i="2"/>
  <c r="I379" i="2"/>
  <c r="Q379" i="2"/>
  <c r="L379" i="2"/>
  <c r="M22" i="2"/>
  <c r="L40" i="2"/>
  <c r="J40" i="2"/>
  <c r="J80" i="2"/>
  <c r="L123" i="2"/>
  <c r="J123" i="2"/>
  <c r="J216" i="2"/>
  <c r="M216" i="2"/>
  <c r="K230" i="2"/>
  <c r="K351" i="2"/>
  <c r="K349" i="2" s="1"/>
  <c r="G379" i="2"/>
  <c r="O379" i="2"/>
  <c r="K22" i="2"/>
  <c r="J53" i="2"/>
  <c r="P53" i="2"/>
  <c r="M80" i="2"/>
  <c r="H80" i="2"/>
  <c r="P80" i="2"/>
  <c r="K80" i="2"/>
  <c r="L80" i="2"/>
  <c r="L141" i="2"/>
  <c r="O141" i="2"/>
  <c r="O230" i="2"/>
  <c r="H230" i="2"/>
  <c r="L162" i="2"/>
  <c r="G162" i="2"/>
  <c r="O162" i="2"/>
  <c r="G285" i="2"/>
  <c r="O285" i="2"/>
  <c r="K53" i="2"/>
  <c r="P132" i="2"/>
  <c r="M162" i="2"/>
  <c r="H162" i="2"/>
  <c r="P162" i="2"/>
  <c r="I315" i="2"/>
  <c r="Q315" i="2"/>
  <c r="L351" i="2"/>
  <c r="L349" i="2" s="1"/>
  <c r="E351" i="2"/>
  <c r="E349" i="2" s="1"/>
  <c r="M351" i="2"/>
  <c r="M349" i="2" s="1"/>
  <c r="G53" i="2"/>
  <c r="I22" i="2"/>
  <c r="Q22" i="2"/>
  <c r="L22" i="2"/>
  <c r="G80" i="2"/>
  <c r="O80" i="2"/>
  <c r="O53" i="2" s="1"/>
  <c r="I230" i="2"/>
  <c r="Q230" i="2"/>
  <c r="L230" i="2"/>
  <c r="G315" i="2"/>
  <c r="O315" i="2"/>
  <c r="J315" i="2"/>
  <c r="K315" i="2"/>
  <c r="H394" i="2"/>
  <c r="H392" i="2" s="1"/>
  <c r="P394" i="2"/>
  <c r="P392" i="2" s="1"/>
  <c r="K394" i="2"/>
  <c r="K392" i="2" s="1"/>
  <c r="F145" i="2"/>
  <c r="I80" i="2"/>
  <c r="Q80" i="2"/>
  <c r="K216" i="2"/>
  <c r="L246" i="2"/>
  <c r="J246" i="2"/>
  <c r="S246" i="2" s="1"/>
  <c r="O246" i="2"/>
  <c r="L53" i="2"/>
  <c r="J285" i="2"/>
  <c r="J107" i="2"/>
  <c r="R107" i="2"/>
  <c r="M111" i="2"/>
  <c r="K107" i="2"/>
  <c r="F111" i="2"/>
  <c r="L107" i="2"/>
  <c r="G111" i="2"/>
  <c r="O111" i="2"/>
  <c r="M107" i="2"/>
  <c r="H111" i="2"/>
  <c r="P111" i="2"/>
  <c r="F351" i="2"/>
  <c r="F349" i="2" s="1"/>
  <c r="I111" i="2"/>
  <c r="F162" i="2" l="1"/>
  <c r="S189" i="2"/>
  <c r="Q392" i="2"/>
  <c r="Q105" i="2"/>
  <c r="R123" i="2"/>
  <c r="R40" i="2"/>
  <c r="R39" i="2" s="1"/>
  <c r="R285" i="2"/>
  <c r="R246" i="2"/>
  <c r="R394" i="2"/>
  <c r="F191" i="2"/>
  <c r="K105" i="2"/>
  <c r="K52" i="2" s="1"/>
  <c r="H39" i="2"/>
  <c r="F53" i="2"/>
  <c r="R53" i="2"/>
  <c r="R146" i="2"/>
  <c r="R80" i="2"/>
  <c r="I105" i="2"/>
  <c r="I52" i="2" s="1"/>
  <c r="F112" i="2"/>
  <c r="R105" i="2" s="1"/>
  <c r="G39" i="2"/>
  <c r="F216" i="2"/>
  <c r="H161" i="2"/>
  <c r="P39" i="2"/>
  <c r="R230" i="2"/>
  <c r="R315" i="2"/>
  <c r="F132" i="2"/>
  <c r="I161" i="2"/>
  <c r="F40" i="2"/>
  <c r="Q39" i="2"/>
  <c r="K39" i="2"/>
  <c r="O105" i="2"/>
  <c r="O52" i="2" s="1"/>
  <c r="J105" i="2"/>
  <c r="J52" i="2" s="1"/>
  <c r="O39" i="2"/>
  <c r="L105" i="2"/>
  <c r="L52" i="2" s="1"/>
  <c r="F285" i="2"/>
  <c r="I39" i="2"/>
  <c r="M161" i="2"/>
  <c r="G161" i="2"/>
  <c r="E20" i="2"/>
  <c r="E15" i="2" s="1"/>
  <c r="F80" i="2"/>
  <c r="Q52" i="2"/>
  <c r="H105" i="2"/>
  <c r="H52" i="2" s="1"/>
  <c r="P105" i="2"/>
  <c r="P52" i="2" s="1"/>
  <c r="J39" i="2"/>
  <c r="P161" i="2"/>
  <c r="O161" i="2"/>
  <c r="F230" i="2"/>
  <c r="M39" i="2"/>
  <c r="M105" i="2"/>
  <c r="G105" i="2"/>
  <c r="G52" i="2" s="1"/>
  <c r="J161" i="2"/>
  <c r="F394" i="2"/>
  <c r="K161" i="2"/>
  <c r="L39" i="2"/>
  <c r="Q161" i="2"/>
  <c r="L161" i="2"/>
  <c r="R161" i="2"/>
  <c r="F315" i="2"/>
  <c r="R141" i="2"/>
  <c r="F141" i="2"/>
  <c r="F113" i="2"/>
  <c r="F246" i="2"/>
  <c r="R392" i="2" l="1"/>
  <c r="F39" i="2"/>
  <c r="F161" i="2"/>
  <c r="I20" i="2"/>
  <c r="I15" i="2" s="1"/>
  <c r="H20" i="2"/>
  <c r="H15" i="2" s="1"/>
  <c r="F17" i="2"/>
  <c r="T52" i="2" s="1"/>
  <c r="T15" i="2" s="1"/>
  <c r="F105" i="2"/>
  <c r="G20" i="2"/>
  <c r="G15" i="2" s="1"/>
  <c r="P20" i="2"/>
  <c r="P15" i="2" s="1"/>
  <c r="Q20" i="2"/>
  <c r="Q15" i="2" s="1"/>
  <c r="J20" i="2"/>
  <c r="J15" i="2" s="1"/>
  <c r="O20" i="2"/>
  <c r="O15" i="2" s="1"/>
  <c r="L20" i="2"/>
  <c r="L15" i="2" s="1"/>
  <c r="F392" i="2"/>
  <c r="K20" i="2"/>
  <c r="K15" i="2" s="1"/>
  <c r="F52" i="2" l="1"/>
  <c r="F20" i="2" l="1"/>
  <c r="F15" i="2"/>
  <c r="F16" i="2" l="1"/>
  <c r="T16" i="2" s="1"/>
  <c r="M52" i="2" l="1"/>
  <c r="M20" i="2" l="1"/>
  <c r="M15" i="2" s="1"/>
  <c r="N246" i="2" l="1"/>
  <c r="N20" i="2" s="1"/>
  <c r="N15" i="2" s="1"/>
  <c r="R155" i="2" l="1"/>
  <c r="R52" i="2" l="1"/>
  <c r="R20" i="2" l="1"/>
  <c r="R15" i="2" s="1"/>
  <c r="S15" i="2" s="1"/>
  <c r="T17" i="2" s="1"/>
</calcChain>
</file>

<file path=xl/comments1.xml><?xml version="1.0" encoding="utf-8"?>
<comments xmlns="http://schemas.openxmlformats.org/spreadsheetml/2006/main">
  <authors>
    <author>Alfonso</author>
  </authors>
  <commentList>
    <comment ref="C25" authorId="0" shapeId="0">
      <text>
        <r>
          <rPr>
            <b/>
            <sz val="9"/>
            <color indexed="81"/>
            <rFont val="Tahoma"/>
            <charset val="1"/>
          </rPr>
          <t>Alfonso:</t>
        </r>
        <r>
          <rPr>
            <sz val="9"/>
            <color indexed="81"/>
            <rFont val="Tahoma"/>
            <charset val="1"/>
          </rPr>
          <t xml:space="preserve">
Ruddy Saenz suspendido por accidente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Corte de salario 
(Ruth Gonzalez</t>
        </r>
        <r>
          <rPr>
            <sz val="9"/>
            <color indexed="81"/>
            <rFont val="Tahoma"/>
            <family val="2"/>
          </rPr>
          <t>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REINTEGRO DE 3 DIAS 
RUTH VERONICA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Sigue sus pendida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Baja
Gerson Salguero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Reingreso
(Kevin)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Baja (Gesler Humberto)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JOSÉ VELASQUEZ 
(BAJA POR FALLECIMIENTO)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DEBE REINTEGRAR 5 DIAS DEL MES DE AGOSTO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(Laura Dalila Escobar)
Deuda de Arrastre 2019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David Rocael Claudio
Baja a apartir del 25 / 09 / 21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Entrega de alta tardia (Hermelindo Macario)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Pago de 14 dias mes de julio.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Victor Hugo Villagran
Baja a partir del 27/09/21 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Llemaldi Agustin Amezquita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Alfredo Lucero Morales
Baja a partir del 14/08/2021</t>
        </r>
      </text>
    </comment>
    <comment ref="O8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ADICIONAL PAGANDO 13 DIAS DE AGOSTO
(ALFREDO MORALES )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Luis Alberto Ochaeta, Pedro Tovar y Feliciano Soto
Baja por rescision de contrato a partir del 1/11/21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(BAJA) ERICK ARNOLDO POP 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Baja (Carlos Gonzalez Ortiz)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Presento tarde alta de suspensión</t>
        </r>
      </text>
    </comment>
    <comment ref="N11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Se le pagan 29 dias de julio 
(Presentó tardio alta de suspensión)
Efrain Alvurez Estrada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 
PEDRO SIMON SANIC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(Nuevo ingreso)
Edgar Cana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 xml:space="preserve">Alfonso:
</t>
        </r>
        <r>
          <rPr>
            <sz val="10"/>
            <color indexed="81"/>
            <rFont val="Tahoma"/>
            <family val="2"/>
          </rPr>
          <t>Baja (Yolanda Gomez Hernadez)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NUEVO INGRESO</t>
        </r>
        <r>
          <rPr>
            <sz val="9"/>
            <color indexed="81"/>
            <rFont val="Tahoma"/>
            <family val="2"/>
          </rPr>
          <t xml:space="preserve">
SLEYDER TOVAR
Y
JOSÉ RIVAS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
</t>
        </r>
        <r>
          <rPr>
            <b/>
            <sz val="9"/>
            <color indexed="81"/>
            <rFont val="Tahoma"/>
            <family val="2"/>
          </rPr>
          <t>JONATAN LOPEZ
ARNULFO HERNANDEZ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
</t>
        </r>
        <r>
          <rPr>
            <b/>
            <sz val="9"/>
            <color indexed="81"/>
            <rFont val="Tahoma"/>
            <family val="2"/>
          </rPr>
          <t>NOE LOPEZ
WILSON RAXJAL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Juan Antonio del Cid de la Cruz y Romeo Saul Tut 
Baja por rescision de contrato a partir del 1/11/21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(Nuevo Ingreso)
Abner Adonias Sanchez</t>
        </r>
      </text>
    </comment>
    <comment ref="C152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 (Bertha Ester)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Alfredo Martinez 
Baja a partir del 24/9/21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Adicional Junio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BAJA A PARTIR DEL 30 DE JUNIO (VICTOR MANUEL VELIZ)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Maria Susana Zet 
Baja por rescision de contrato a partir del 1/11/21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Santana Barillas
Baja por rescision de contrato a partir del 1/11/21
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(Nuevo Ingreso)
José Cruz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 
ALBERTO PIRIR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
LEIDY MACOLAS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(NUEVO INGRESO)
SIMEÓN Y ANTONIO FLORES.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(NUEVO INGRESO)
ERICK SON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Nuevo Ingreso
Mario Maxia 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
</t>
        </r>
        <r>
          <rPr>
            <b/>
            <sz val="9"/>
            <color indexed="81"/>
            <rFont val="Tahoma"/>
            <family val="2"/>
          </rPr>
          <t>Josselyn Barrera
Calixto Son
Emerson Luc
Oscar Martinez
Marvin Mijangos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Nuevo ingreso
Cristian Vasquez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Nuevo ingreso
Alvaro Andrade</t>
        </r>
      </text>
    </comment>
    <comment ref="M23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Reintegro (Don Herme) mes de enero.
No se le pagaron 8 dias de junio y todo julio.</t>
        </r>
      </text>
    </comment>
    <comment ref="N23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Pago de dias junio, julio y agosto.</t>
        </r>
      </text>
    </comment>
    <comment ref="O234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REINTEGRA 9 DIAS DE AGOSTO 
</t>
        </r>
        <r>
          <rPr>
            <b/>
            <sz val="9"/>
            <color indexed="81"/>
            <rFont val="Tahoma"/>
            <family val="2"/>
          </rPr>
          <t xml:space="preserve">MARIANA AJU </t>
        </r>
        <r>
          <rPr>
            <sz val="9"/>
            <color indexed="81"/>
            <rFont val="Tahoma"/>
            <family val="2"/>
          </rPr>
          <t xml:space="preserve">
(NO SE LE PAGA EL MES DE SEP POR MATERNIDAD)</t>
        </r>
      </text>
    </comment>
    <comment ref="C259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Baja (Angel Estuardo Ramírez Pérez)</t>
        </r>
      </text>
    </comment>
    <comment ref="L259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Reintegro Angel Ramirez</t>
        </r>
      </text>
    </comment>
    <comment ref="C270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Elías Pedro Pablo Burgos </t>
        </r>
      </text>
    </comment>
    <comment ref="C27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Baja 04/06/21 (Isaias Och Garcia)</t>
        </r>
      </text>
    </comment>
    <comment ref="M274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(Nota de credito)</t>
        </r>
        <r>
          <rPr>
            <sz val="10"/>
            <color indexed="81"/>
            <rFont val="Tahoma"/>
            <family val="2"/>
          </rPr>
          <t xml:space="preserve">
Debido a 2 brecheros con incovenientes en su cuenta monetaria.</t>
        </r>
      </text>
    </comment>
    <comment ref="P274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Acreditamiento de 2 brecheros que no recibieron pago anterior</t>
        </r>
        <r>
          <rPr>
            <sz val="10"/>
            <color indexed="81"/>
            <rFont val="Tahoma"/>
            <family val="2"/>
          </rPr>
          <t>.</t>
        </r>
      </text>
    </comment>
    <comment ref="C275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BRECHERO CON VIGENCIA DE CONTRATO DIFERENTE</t>
        </r>
      </text>
    </comment>
    <comment ref="C27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NUEVO INGRESO</t>
        </r>
        <r>
          <rPr>
            <sz val="9"/>
            <color indexed="81"/>
            <rFont val="Tahoma"/>
            <family val="2"/>
          </rPr>
          <t xml:space="preserve">
JULIO VASQUEZ</t>
        </r>
      </text>
    </comment>
    <comment ref="N278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Miguel Angel Polanco
Se le acreditan 28 dias de deuda de Arrastre 2019.</t>
        </r>
      </text>
    </comment>
    <comment ref="C279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Baja (Felicito Aroche) </t>
        </r>
      </text>
    </comment>
    <comment ref="C290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Pablo Hernandez Tzoy 
Baja por rescision de contrato a partir del 1/11/21</t>
        </r>
      </text>
    </comment>
    <comment ref="C295" authorId="0" shapeId="0">
      <text>
        <r>
          <rPr>
            <b/>
            <sz val="9"/>
            <color indexed="81"/>
            <rFont val="Tahoma"/>
            <charset val="1"/>
          </rPr>
          <t>Alfonso:</t>
        </r>
        <r>
          <rPr>
            <sz val="9"/>
            <color indexed="81"/>
            <rFont val="Tahoma"/>
            <charset val="1"/>
          </rPr>
          <t xml:space="preserve">
Victor Mario Laynez baja</t>
        </r>
      </text>
    </comment>
    <comment ref="C29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Baja (Miguel Angel Roman)</t>
        </r>
      </text>
    </comment>
    <comment ref="L296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Reintegro (Miguel Angel Román)</t>
        </r>
      </text>
    </comment>
    <comment ref="C300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(Nuevo ingreso)
Belky Ambrocio</t>
        </r>
      </text>
    </comment>
    <comment ref="C30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NUEVO INGRESO</t>
        </r>
        <r>
          <rPr>
            <sz val="9"/>
            <color indexed="81"/>
            <rFont val="Tahoma"/>
            <family val="2"/>
          </rPr>
          <t xml:space="preserve">
LESLI SIAN</t>
        </r>
      </text>
    </comment>
    <comment ref="C304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(Nuevo ingreso)
Desiree Melgar
Julio Osmell</t>
        </r>
      </text>
    </comment>
    <comment ref="M319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Pago de 28 dias por aviso de alta tardio</t>
        </r>
      </text>
    </comment>
    <comment ref="N319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Se l e pagan 28 dias del mes de julio
Abelardo Sandoval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Antonio Guillermo Balona Quixchan 
Baja por rescision de contrato a partir de 1/11/21</t>
        </r>
      </text>
    </comment>
    <comment ref="N333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Jorge Pineda Julian
(Deuda de Arrastre 2019)</t>
        </r>
      </text>
    </comment>
    <comment ref="I33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Modifico reintegro (Luis Alonzo Flores Menjivar)</t>
        </r>
      </text>
    </comment>
    <comment ref="O334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SUSPENDIDO 
(LUIS ALONZO FLORES MENJIVAR)</t>
        </r>
      </text>
    </comment>
    <comment ref="L397" authorId="0" shapeId="0">
      <text>
        <r>
          <rPr>
            <b/>
            <sz val="9"/>
            <color indexed="81"/>
            <rFont val="Tahoma"/>
            <family val="2"/>
          </rPr>
          <t>Alfonso:</t>
        </r>
        <r>
          <rPr>
            <sz val="9"/>
            <color indexed="81"/>
            <rFont val="Tahoma"/>
            <family val="2"/>
          </rPr>
          <t xml:space="preserve">
A</t>
        </r>
        <r>
          <rPr>
            <sz val="10"/>
            <color indexed="81"/>
            <rFont val="Tahoma"/>
            <family val="2"/>
          </rPr>
          <t>dicional
(Enrique Artiga)</t>
        </r>
      </text>
    </comment>
  </commentList>
</comments>
</file>

<file path=xl/sharedStrings.xml><?xml version="1.0" encoding="utf-8"?>
<sst xmlns="http://schemas.openxmlformats.org/spreadsheetml/2006/main" count="459" uniqueCount="156">
  <si>
    <t>(3) Categoria Programática y Partida Presupuestaria y Naturaleza de los servicios</t>
  </si>
  <si>
    <t>(4) JORNAL DIARIO</t>
  </si>
  <si>
    <t>(5) NÚMERO DE CONTRATOS</t>
  </si>
  <si>
    <t>(6)</t>
  </si>
  <si>
    <t>(7) PROGRAMACION MENSUAL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</si>
  <si>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</si>
  <si>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</si>
  <si>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</si>
  <si>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</si>
  <si>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</si>
  <si>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</si>
  <si>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</si>
  <si>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</si>
  <si>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</si>
  <si>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DIAS </t>
  </si>
  <si>
    <t>CONSERJE</t>
  </si>
  <si>
    <t>JARDINERO I</t>
  </si>
  <si>
    <t>ELECTRICISTA III</t>
  </si>
  <si>
    <t>MENSAJERO II</t>
  </si>
  <si>
    <t>JARDINERO II</t>
  </si>
  <si>
    <t>BODEGUERO IV</t>
  </si>
  <si>
    <t>OPERADOR DE EQUIPO</t>
  </si>
  <si>
    <t>SEPTIEMBRE</t>
  </si>
  <si>
    <t>OCTUBRE</t>
  </si>
  <si>
    <t>NOVIEMBRE</t>
  </si>
  <si>
    <t>DICIEMBRE</t>
  </si>
  <si>
    <t xml:space="preserve">PROGRAMACION DE PUESTOS RENGLON 031 "JORNALES" </t>
  </si>
  <si>
    <t>(1) ENTIDAD: MINISTERIO DE CULTURA Y DEPORTES</t>
  </si>
  <si>
    <t xml:space="preserve">(2) FUENTE DE FINANCIAMIENTO: </t>
  </si>
  <si>
    <t>PENDIENTE DE PROGRAMAR</t>
  </si>
  <si>
    <t>EJERCICIO FISCAL 2021</t>
  </si>
  <si>
    <t>(6) TOTAL</t>
  </si>
  <si>
    <t>Ministerio de Cultura y Deportes</t>
  </si>
  <si>
    <t>FUENTE 11</t>
  </si>
  <si>
    <t>DIRECCIÓN Y COORDINACIÓN</t>
  </si>
  <si>
    <t>2021-1113-0015-103-12-00-000-001-000-031-0101-11-0000-0000</t>
  </si>
  <si>
    <t>AUXILIAR MISCELÁNEO</t>
  </si>
  <si>
    <t>PEÓN VIGILANTE V</t>
  </si>
  <si>
    <t>PILOTO I DE VEHÍCULOS LIVIANOS</t>
  </si>
  <si>
    <t>TALLERISTA</t>
  </si>
  <si>
    <t>Pendiente de Programar</t>
  </si>
  <si>
    <t>SERVICIOS DE INVESTIGACIÓN, CATALOGACIÓN Y REGISTRO DE BIENES CULTURALES</t>
  </si>
  <si>
    <t>2021-11130015-103-12-00-000-002-000-031-11-0000-0000</t>
  </si>
  <si>
    <t>2021-1113-0015-103-12-00-000-002-000-031-0101-11-0000-0000</t>
  </si>
  <si>
    <t>ALBAÑIL I</t>
  </si>
  <si>
    <t>2021-1113-0015-103-12-00-000-002-000-031-1708-11-0000-0000</t>
  </si>
  <si>
    <t>SERVICIOS DE ADMINISTRACIÓN Y PROTECCIÓN DE PARQUES, SITIOS ARQUEOLÓGICOS Y ZONAS DE RESCATE CULTURAL Y NATURAL</t>
  </si>
  <si>
    <t>2021-11130015-103-12-00-000-003-000-031-11-0000-0000</t>
  </si>
  <si>
    <t>2021-1113-0015-103-12-00-000-003-000-031-1109-11-0000-0000</t>
  </si>
  <si>
    <t>AUXILIAR DE BODEGA</t>
  </si>
  <si>
    <t>AUXILIAR DE TOPOGRAFÍA III</t>
  </si>
  <si>
    <t>BODEGUERO II</t>
  </si>
  <si>
    <t>CAPORAL</t>
  </si>
  <si>
    <t>CONDUCTOR DE VEHÍCULOS LIVIANOS</t>
  </si>
  <si>
    <t>MAESTRO DE OBRAS</t>
  </si>
  <si>
    <t>PEÓN</t>
  </si>
  <si>
    <t>PEÓN VIGILANTE II</t>
  </si>
  <si>
    <t>PEÓN VIVANDERA</t>
  </si>
  <si>
    <t>PERFORADOR DE SUELOS</t>
  </si>
  <si>
    <t>2021-1113-0015-103-12-00-000-003-000-031-1701-11-0000-0000</t>
  </si>
  <si>
    <t>ALBAÑIL II</t>
  </si>
  <si>
    <t>ALBAÑIL III</t>
  </si>
  <si>
    <t>PEÓN VIGILANTE I</t>
  </si>
  <si>
    <t>CARPINTERO I</t>
  </si>
  <si>
    <t>2021-1113-0015-103-12-00-000-003-000-031-1704-11-0000-0000</t>
  </si>
  <si>
    <t>2021-1113-0015-103-12-00-000-003-000-031-1710-11-0000-0000</t>
  </si>
  <si>
    <t>SERVICIOS DE ADMINISTRACION DE MUSEOS</t>
  </si>
  <si>
    <t>2021-11130015-103-12-00-000-004-000-031-11-0000-0000</t>
  </si>
  <si>
    <t>2021-1113-0015-103-12-00-000-004-000-031-0101-11-0000-0000</t>
  </si>
  <si>
    <t>AUXIIAR MISCELANEO</t>
  </si>
  <si>
    <t>CARPINTERO II</t>
  </si>
  <si>
    <t>CARPINTERO V</t>
  </si>
  <si>
    <t>ELECTRICISTA l</t>
  </si>
  <si>
    <t>LAVANDERA II</t>
  </si>
  <si>
    <t>2021-1113-0015-103-12-00-000-004-000-031-0301-11-0000-0000</t>
  </si>
  <si>
    <t>EMBALADOR</t>
  </si>
  <si>
    <t>2021-1113-0015-103-12-00-000-004-000-031-0306-11-0000-0000</t>
  </si>
  <si>
    <t>2021-1113-0015-103-12-00-000-004-000-031-0503-11-0000-0000</t>
  </si>
  <si>
    <t>2021-1113-0015-103-12-00-000-004-000-031-1401-11-0000-0000</t>
  </si>
  <si>
    <t>2021-1113-0015-103-12-00-000-004-000-031-1701-11-0000-0000</t>
  </si>
  <si>
    <t>2021-1113-0015-103-12-00-000-004-000-031-1708-11-0000-0000</t>
  </si>
  <si>
    <t xml:space="preserve">ALBAÑIL I </t>
  </si>
  <si>
    <t>2021-11130015-103-12-00-000-006-000-031-0101-11-0000-0000</t>
  </si>
  <si>
    <t>BODEGUERO I</t>
  </si>
  <si>
    <t>ENCUADERNADOR</t>
  </si>
  <si>
    <t>MENSAJERO I</t>
  </si>
  <si>
    <t>PEON VIGILANTE I</t>
  </si>
  <si>
    <t>ADMINISTRACION DEL PARQUE NACIONAL TIKAL</t>
  </si>
  <si>
    <t>2021-1113-0015-103-12-00-000-007-000-031-1701-31-0000-0000</t>
  </si>
  <si>
    <t>AUXILIAR DE ALBAÑILERÍA</t>
  </si>
  <si>
    <t>AUXILIAR DE MECÁNICA</t>
  </si>
  <si>
    <t>AUXILIAR DE TOPOGRAFÍA  IV</t>
  </si>
  <si>
    <t>COCINERO</t>
  </si>
  <si>
    <t>PILOTO II DE VEHÍCULOS PESADOS</t>
  </si>
  <si>
    <t>SERVICIOS DE CONSERVACIÓN Y RESTAURACIÓN DE BIENES CULTURALES</t>
  </si>
  <si>
    <t>2021-11130015-103-12-00-000-008-000-031-0101-11-0000-0000</t>
  </si>
  <si>
    <t xml:space="preserve">ALBAÑIL II </t>
  </si>
  <si>
    <t>AUXILIAR DE CARPINTERÍA</t>
  </si>
  <si>
    <t>AUXILIAR DE ELECTRICIDAD</t>
  </si>
  <si>
    <t>ELECTRICISTA I</t>
  </si>
  <si>
    <t>2021-1113-0015-103-12-00-000-009-000-031-1701-11-0000-0000</t>
  </si>
  <si>
    <t>FUENTE 29</t>
  </si>
  <si>
    <t>2021-11130015-103-12-00-000-003-000-031-29-0101-0005</t>
  </si>
  <si>
    <t>2021-1113-0015-103-12-00-000-003-000-031-0101-29-0101-0005</t>
  </si>
  <si>
    <t>2021-1113-0015-103-12-00-000-003-000-031-0403-29-0101-0005</t>
  </si>
  <si>
    <t>2021-1113-0015-103-12-00-000-003-000-031-0406-29-0101-0005</t>
  </si>
  <si>
    <t>2021-1113-0015-103-12-00-000-003-000-031-1301-29-0101-0005</t>
  </si>
  <si>
    <t>2021-1113-0015-103-12-00-000-003-000-031-1401-29-0101-0005</t>
  </si>
  <si>
    <t>2021-1113-0015-103-12-00-000-003-000-031-1701-29-0101-0005</t>
  </si>
  <si>
    <t>2021-1113-0015-103-12-00-000-004-000-031-0301-29-0101-0005</t>
  </si>
  <si>
    <t>FUENTE 31</t>
  </si>
  <si>
    <t>2021-1113-0015-103-12-00-000-003-000-031-1805-31-0000-0000</t>
  </si>
  <si>
    <t>2021-1113-0015-103-12-00-000-004-000-031-0301-31-0000-0000</t>
  </si>
  <si>
    <t>FUENTE 32</t>
  </si>
  <si>
    <t>Jornales al Año</t>
  </si>
  <si>
    <t>PROGRAMADO</t>
  </si>
  <si>
    <t>DIRECCIÓN GENERAL DEL DEPORTE Y LA RECREACIÓN</t>
  </si>
  <si>
    <t>DIRECCIÓN Y COORDINACION</t>
  </si>
  <si>
    <t>2021-11130015-104-00-13-00-000-001-000-031-0101-22</t>
  </si>
  <si>
    <t>ALBAÑIL V</t>
  </si>
  <si>
    <t>PILOTO I</t>
  </si>
  <si>
    <t xml:space="preserve">PINTOR II </t>
  </si>
  <si>
    <t>DIRECCIÓN DE ÁREAS SUSTANTIVA</t>
  </si>
  <si>
    <t>2021-11130015-104-00-13-00-000-002-000-031-0101-22</t>
  </si>
  <si>
    <t>CENTROS DEPORTIVOS</t>
  </si>
  <si>
    <t>2021-11130015-104-00-13-00-000-003-000-031-0101-22</t>
  </si>
  <si>
    <t xml:space="preserve">AUXILIAR DE BODEGA </t>
  </si>
  <si>
    <t>HERRERO IV</t>
  </si>
  <si>
    <t>PROGRAMA MUJER</t>
  </si>
  <si>
    <t>2021-11130015-104-00-13-00-000-004-000-031-0101-22</t>
  </si>
  <si>
    <t>PROGRAMA JUVENTUD</t>
  </si>
  <si>
    <t>2021-11130015-104-00-13-00-000-005-000-031-0101-22</t>
  </si>
  <si>
    <t>PROGRAMA INCLUSIÓN Y CONVIVENCIA</t>
  </si>
  <si>
    <t>2021-11130015-104-00-13-00-000-007-000-031-0101-22</t>
  </si>
  <si>
    <t>FESTIVALES DEPORTIVOS</t>
  </si>
  <si>
    <t>2021-11130015-104-00-13-00-000-008-000-031-0101-22</t>
  </si>
  <si>
    <t>UNIDAD EJECUTORA 103 DIRECCION GENERAL DEL PATRIMONIO CULTURAL Y NATURAL</t>
  </si>
  <si>
    <t>REPROGRAMACIÓN</t>
  </si>
  <si>
    <t>TOTAL UE</t>
  </si>
  <si>
    <t>VIGENTE</t>
  </si>
  <si>
    <t>MODIFICADO</t>
  </si>
  <si>
    <t>2021-1113-0015-103-12-00-000-003-000-031-1805-32-0000-0000</t>
  </si>
  <si>
    <t>AUXILIAR DE TOPOGRAFÍA IV</t>
  </si>
  <si>
    <t>CONDUCTOR DE VEHICULOS LIVIANOS</t>
  </si>
  <si>
    <t>AUXILIAR DE ALBAÑILERIA</t>
  </si>
  <si>
    <t>2021-1113-0015-103-12-00-000-003-000-031-0101-11-0000-0000</t>
  </si>
  <si>
    <t>2021-1113-0015-103-12-00-000-003-000-031-0403-11-0000-0000</t>
  </si>
  <si>
    <t>2021-1113-0015-103-12-00-000-003-000-031-1301-11-0000-0000</t>
  </si>
  <si>
    <t>2021-1113-0015-103-12-00-000-003-000-031-0406-11-0000-0000</t>
  </si>
  <si>
    <t>2021-1113-0015-103-12-00-000-003-000-031-1401-11-0000-0000</t>
  </si>
  <si>
    <t>TRANSFERENCIA</t>
  </si>
  <si>
    <t>Modificado</t>
  </si>
  <si>
    <t>REPROGRAMACIÓN  DEL RENGLÓN 031 "JORNALES"</t>
  </si>
  <si>
    <t xml:space="preserve">PEÓN </t>
  </si>
  <si>
    <t>SERVICIOS DE ADMINISTRACIÓN DEL PATRIMONIO BIBLIOGRÁFICO Y DOCUMENTAL</t>
  </si>
  <si>
    <t>SERVICIOS DE RESCATE Y CONSERVACIÓN DE SITIOS ARQUEOLÓGICOS Y PREHISPÁNICOS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</si>
</sst>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  <numFmt numFmtId="167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u/>
      <sz val="10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FF0000"/>
      <name val="Arial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4">
    <xf numFmtId="0" fontId="0" fillId="0" borderId="0" xfId="0"/>
    <xf numFmtId="4" fontId="0" fillId="0" borderId="0" xfId="0" applyNumberFormat="1"/>
    <xf numFmtId="0" fontId="5" fillId="0" borderId="0" xfId="2" applyFont="1"/>
    <xf numFmtId="0" fontId="4" fillId="0" borderId="0" xfId="0" applyFont="1"/>
    <xf numFmtId="0" fontId="0" fillId="0" borderId="0" xfId="0" applyAlignment="1"/>
    <xf numFmtId="0" fontId="5" fillId="0" borderId="0" xfId="2" applyFont="1" applyAlignment="1">
      <alignment horizontal="left"/>
    </xf>
    <xf numFmtId="0" fontId="2" fillId="0" borderId="0" xfId="2" applyFont="1"/>
    <xf numFmtId="0" fontId="9" fillId="0" borderId="5" xfId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164" fontId="8" fillId="6" borderId="5" xfId="1" applyNumberFormat="1" applyFont="1" applyFill="1" applyBorder="1" applyAlignment="1">
      <alignment horizontal="center"/>
    </xf>
    <xf numFmtId="44" fontId="8" fillId="0" borderId="5" xfId="1" applyNumberFormat="1" applyFont="1" applyBorder="1"/>
    <xf numFmtId="0" fontId="8" fillId="0" borderId="5" xfId="1" applyFont="1" applyBorder="1" applyAlignment="1">
      <alignment horizontal="center" wrapText="1"/>
    </xf>
    <xf numFmtId="49" fontId="9" fillId="5" borderId="2" xfId="1" applyNumberFormat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164" fontId="9" fillId="5" borderId="5" xfId="1" applyNumberFormat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right" vertical="center" wrapText="1"/>
    </xf>
    <xf numFmtId="0" fontId="10" fillId="7" borderId="5" xfId="2" applyFont="1" applyFill="1" applyBorder="1" applyAlignment="1">
      <alignment horizontal="center" vertical="center" wrapText="1"/>
    </xf>
    <xf numFmtId="1" fontId="8" fillId="7" borderId="5" xfId="2" applyNumberFormat="1" applyFont="1" applyFill="1" applyBorder="1" applyAlignment="1">
      <alignment horizontal="center" vertical="center"/>
    </xf>
    <xf numFmtId="4" fontId="9" fillId="7" borderId="5" xfId="2" applyNumberFormat="1" applyFont="1" applyFill="1" applyBorder="1" applyAlignment="1">
      <alignment vertical="center"/>
    </xf>
    <xf numFmtId="4" fontId="8" fillId="7" borderId="5" xfId="2" applyNumberFormat="1" applyFont="1" applyFill="1" applyBorder="1" applyAlignment="1">
      <alignment vertical="center"/>
    </xf>
    <xf numFmtId="0" fontId="11" fillId="7" borderId="8" xfId="1" applyFont="1" applyFill="1" applyBorder="1" applyAlignment="1">
      <alignment horizontal="right" vertical="center" wrapText="1"/>
    </xf>
    <xf numFmtId="0" fontId="10" fillId="7" borderId="8" xfId="2" applyFont="1" applyFill="1" applyBorder="1" applyAlignment="1">
      <alignment horizontal="center" vertical="center" wrapText="1"/>
    </xf>
    <xf numFmtId="1" fontId="8" fillId="7" borderId="8" xfId="2" applyNumberFormat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44" fontId="9" fillId="0" borderId="5" xfId="1" applyNumberFormat="1" applyFont="1" applyBorder="1"/>
    <xf numFmtId="164" fontId="9" fillId="0" borderId="14" xfId="1" applyNumberFormat="1" applyFont="1" applyBorder="1" applyAlignment="1">
      <alignment horizontal="center" vertical="center" wrapText="1"/>
    </xf>
    <xf numFmtId="0" fontId="9" fillId="0" borderId="14" xfId="1" applyFont="1" applyBorder="1"/>
    <xf numFmtId="0" fontId="9" fillId="0" borderId="14" xfId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44" fontId="8" fillId="0" borderId="11" xfId="1" applyNumberFormat="1" applyFont="1" applyBorder="1"/>
    <xf numFmtId="164" fontId="9" fillId="6" borderId="5" xfId="1" applyNumberFormat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 vertical="center" wrapText="1"/>
    </xf>
    <xf numFmtId="164" fontId="9" fillId="3" borderId="17" xfId="1" applyNumberFormat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44" fontId="9" fillId="3" borderId="9" xfId="1" applyNumberFormat="1" applyFont="1" applyFill="1" applyBorder="1"/>
    <xf numFmtId="44" fontId="0" fillId="0" borderId="0" xfId="0" applyNumberFormat="1"/>
    <xf numFmtId="0" fontId="8" fillId="3" borderId="1" xfId="2" applyFont="1" applyFill="1" applyBorder="1" applyAlignment="1">
      <alignment horizontal="center" wrapText="1"/>
    </xf>
    <xf numFmtId="0" fontId="8" fillId="3" borderId="4" xfId="2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right" vertical="center" wrapText="1"/>
    </xf>
    <xf numFmtId="0" fontId="17" fillId="3" borderId="8" xfId="2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vertical="center"/>
    </xf>
    <xf numFmtId="0" fontId="16" fillId="8" borderId="17" xfId="1" applyFont="1" applyFill="1" applyBorder="1" applyAlignment="1">
      <alignment horizontal="right" vertical="center" wrapText="1"/>
    </xf>
    <xf numFmtId="0" fontId="10" fillId="8" borderId="20" xfId="2" applyFont="1" applyFill="1" applyBorder="1" applyAlignment="1">
      <alignment horizontal="center" vertical="center" wrapText="1"/>
    </xf>
    <xf numFmtId="1" fontId="8" fillId="8" borderId="14" xfId="2" applyNumberFormat="1" applyFont="1" applyFill="1" applyBorder="1" applyAlignment="1">
      <alignment horizontal="center" vertical="center"/>
    </xf>
    <xf numFmtId="4" fontId="8" fillId="8" borderId="14" xfId="2" applyNumberFormat="1" applyFont="1" applyFill="1" applyBorder="1" applyAlignment="1">
      <alignment vertical="center"/>
    </xf>
    <xf numFmtId="4" fontId="8" fillId="8" borderId="11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center" vertical="center" wrapText="1"/>
    </xf>
    <xf numFmtId="1" fontId="8" fillId="0" borderId="11" xfId="2" applyNumberFormat="1" applyFont="1" applyBorder="1" applyAlignment="1">
      <alignment horizontal="center" vertical="center"/>
    </xf>
    <xf numFmtId="4" fontId="8" fillId="0" borderId="11" xfId="2" applyNumberFormat="1" applyFont="1" applyBorder="1" applyAlignment="1">
      <alignment vertical="center"/>
    </xf>
    <xf numFmtId="0" fontId="9" fillId="9" borderId="2" xfId="2" applyFont="1" applyFill="1" applyBorder="1" applyAlignment="1">
      <alignment horizontal="left" wrapText="1"/>
    </xf>
    <xf numFmtId="0" fontId="8" fillId="9" borderId="2" xfId="2" applyFont="1" applyFill="1" applyBorder="1"/>
    <xf numFmtId="1" fontId="9" fillId="9" borderId="2" xfId="2" applyNumberFormat="1" applyFont="1" applyFill="1" applyBorder="1" applyAlignment="1">
      <alignment horizontal="center"/>
    </xf>
    <xf numFmtId="4" fontId="9" fillId="9" borderId="2" xfId="2" applyNumberFormat="1" applyFont="1" applyFill="1" applyBorder="1"/>
    <xf numFmtId="0" fontId="8" fillId="3" borderId="5" xfId="2" applyFont="1" applyFill="1" applyBorder="1"/>
    <xf numFmtId="43" fontId="8" fillId="3" borderId="5" xfId="2" applyNumberFormat="1" applyFont="1" applyFill="1" applyBorder="1"/>
    <xf numFmtId="4" fontId="8" fillId="3" borderId="5" xfId="2" applyNumberFormat="1" applyFont="1" applyFill="1" applyBorder="1"/>
    <xf numFmtId="4" fontId="9" fillId="3" borderId="5" xfId="2" applyNumberFormat="1" applyFont="1" applyFill="1" applyBorder="1" applyAlignment="1">
      <alignment horizontal="center"/>
    </xf>
    <xf numFmtId="4" fontId="8" fillId="3" borderId="6" xfId="2" applyNumberFormat="1" applyFont="1" applyFill="1" applyBorder="1"/>
    <xf numFmtId="1" fontId="9" fillId="5" borderId="11" xfId="2" applyNumberFormat="1" applyFont="1" applyFill="1" applyBorder="1" applyAlignment="1">
      <alignment horizontal="center" vertical="center"/>
    </xf>
    <xf numFmtId="0" fontId="9" fillId="9" borderId="5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/>
    </xf>
    <xf numFmtId="166" fontId="8" fillId="0" borderId="5" xfId="2" applyNumberFormat="1" applyFont="1" applyBorder="1"/>
    <xf numFmtId="0" fontId="8" fillId="0" borderId="5" xfId="2" applyFont="1" applyBorder="1" applyAlignment="1">
      <alignment horizontal="center" vertical="center"/>
    </xf>
    <xf numFmtId="165" fontId="8" fillId="0" borderId="5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horizontal="right"/>
    </xf>
    <xf numFmtId="165" fontId="8" fillId="0" borderId="5" xfId="2" applyNumberFormat="1" applyFont="1" applyBorder="1"/>
    <xf numFmtId="0" fontId="8" fillId="0" borderId="11" xfId="2" applyFont="1" applyBorder="1" applyAlignment="1">
      <alignment horizontal="left" wrapText="1"/>
    </xf>
    <xf numFmtId="166" fontId="8" fillId="0" borderId="11" xfId="2" applyNumberFormat="1" applyFont="1" applyBorder="1"/>
    <xf numFmtId="165" fontId="8" fillId="0" borderId="11" xfId="2" applyNumberFormat="1" applyFont="1" applyBorder="1"/>
    <xf numFmtId="0" fontId="8" fillId="0" borderId="11" xfId="2" applyFont="1" applyBorder="1"/>
    <xf numFmtId="4" fontId="9" fillId="0" borderId="11" xfId="2" applyNumberFormat="1" applyFont="1" applyBorder="1" applyAlignment="1">
      <alignment horizontal="center"/>
    </xf>
    <xf numFmtId="4" fontId="8" fillId="0" borderId="11" xfId="2" applyNumberFormat="1" applyFont="1" applyBorder="1"/>
    <xf numFmtId="165" fontId="8" fillId="0" borderId="11" xfId="2" applyNumberFormat="1" applyFont="1" applyBorder="1" applyAlignment="1">
      <alignment horizontal="right"/>
    </xf>
    <xf numFmtId="0" fontId="8" fillId="3" borderId="2" xfId="2" applyFont="1" applyFill="1" applyBorder="1"/>
    <xf numFmtId="4" fontId="8" fillId="3" borderId="2" xfId="2" applyNumberFormat="1" applyFont="1" applyFill="1" applyBorder="1"/>
    <xf numFmtId="4" fontId="9" fillId="3" borderId="2" xfId="2" applyNumberFormat="1" applyFont="1" applyFill="1" applyBorder="1" applyAlignment="1">
      <alignment horizontal="center"/>
    </xf>
    <xf numFmtId="1" fontId="9" fillId="5" borderId="8" xfId="2" applyNumberFormat="1" applyFont="1" applyFill="1" applyBorder="1" applyAlignment="1">
      <alignment horizontal="center" vertical="center"/>
    </xf>
    <xf numFmtId="4" fontId="9" fillId="5" borderId="8" xfId="2" applyNumberFormat="1" applyFont="1" applyFill="1" applyBorder="1" applyAlignment="1">
      <alignment vertical="center"/>
    </xf>
    <xf numFmtId="1" fontId="9" fillId="0" borderId="17" xfId="2" applyNumberFormat="1" applyFont="1" applyBorder="1" applyAlignment="1">
      <alignment horizontal="center"/>
    </xf>
    <xf numFmtId="4" fontId="8" fillId="0" borderId="6" xfId="2" applyNumberFormat="1" applyFont="1" applyBorder="1"/>
    <xf numFmtId="0" fontId="8" fillId="0" borderId="5" xfId="2" applyFont="1" applyBorder="1"/>
    <xf numFmtId="1" fontId="9" fillId="0" borderId="5" xfId="2" applyNumberFormat="1" applyFont="1" applyBorder="1" applyAlignment="1">
      <alignment horizontal="center"/>
    </xf>
    <xf numFmtId="43" fontId="9" fillId="5" borderId="8" xfId="2" applyNumberFormat="1" applyFont="1" applyFill="1" applyBorder="1" applyAlignment="1">
      <alignment vertical="center"/>
    </xf>
    <xf numFmtId="1" fontId="9" fillId="2" borderId="17" xfId="2" applyNumberFormat="1" applyFont="1" applyFill="1" applyBorder="1" applyAlignment="1">
      <alignment horizontal="center"/>
    </xf>
    <xf numFmtId="166" fontId="8" fillId="0" borderId="17" xfId="2" applyNumberFormat="1" applyFont="1" applyBorder="1"/>
    <xf numFmtId="4" fontId="8" fillId="0" borderId="17" xfId="2" applyNumberFormat="1" applyFont="1" applyBorder="1"/>
    <xf numFmtId="4" fontId="8" fillId="0" borderId="17" xfId="2" applyNumberFormat="1" applyFont="1" applyBorder="1" applyAlignment="1">
      <alignment horizontal="right"/>
    </xf>
    <xf numFmtId="165" fontId="8" fillId="0" borderId="6" xfId="2" applyNumberFormat="1" applyFont="1" applyBorder="1"/>
    <xf numFmtId="165" fontId="8" fillId="0" borderId="6" xfId="2" applyNumberFormat="1" applyFont="1" applyBorder="1" applyAlignment="1">
      <alignment horizontal="right"/>
    </xf>
    <xf numFmtId="0" fontId="9" fillId="3" borderId="22" xfId="2" applyFont="1" applyFill="1" applyBorder="1" applyAlignment="1">
      <alignment horizontal="left" wrapText="1"/>
    </xf>
    <xf numFmtId="0" fontId="8" fillId="3" borderId="23" xfId="2" applyFont="1" applyFill="1" applyBorder="1"/>
    <xf numFmtId="4" fontId="8" fillId="3" borderId="23" xfId="2" applyNumberFormat="1" applyFont="1" applyFill="1" applyBorder="1"/>
    <xf numFmtId="4" fontId="9" fillId="3" borderId="23" xfId="2" applyNumberFormat="1" applyFont="1" applyFill="1" applyBorder="1" applyAlignment="1">
      <alignment horizontal="center"/>
    </xf>
    <xf numFmtId="4" fontId="8" fillId="3" borderId="24" xfId="2" applyNumberFormat="1" applyFont="1" applyFill="1" applyBorder="1"/>
    <xf numFmtId="165" fontId="9" fillId="5" borderId="8" xfId="2" applyNumberFormat="1" applyFont="1" applyFill="1" applyBorder="1" applyAlignment="1">
      <alignment vertical="center"/>
    </xf>
    <xf numFmtId="165" fontId="9" fillId="5" borderId="9" xfId="2" applyNumberFormat="1" applyFont="1" applyFill="1" applyBorder="1" applyAlignment="1">
      <alignment vertical="center"/>
    </xf>
    <xf numFmtId="0" fontId="8" fillId="0" borderId="17" xfId="2" applyFont="1" applyBorder="1" applyAlignment="1">
      <alignment horizontal="center"/>
    </xf>
    <xf numFmtId="4" fontId="8" fillId="0" borderId="11" xfId="2" applyNumberFormat="1" applyFont="1" applyBorder="1" applyAlignment="1">
      <alignment horizontal="right"/>
    </xf>
    <xf numFmtId="4" fontId="8" fillId="0" borderId="12" xfId="2" applyNumberFormat="1" applyFont="1" applyBorder="1"/>
    <xf numFmtId="0" fontId="9" fillId="5" borderId="8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left" wrapText="1"/>
    </xf>
    <xf numFmtId="166" fontId="8" fillId="0" borderId="8" xfId="2" applyNumberFormat="1" applyFont="1" applyBorder="1"/>
    <xf numFmtId="0" fontId="8" fillId="0" borderId="8" xfId="2" applyFont="1" applyBorder="1" applyAlignment="1">
      <alignment horizontal="center" vertical="center"/>
    </xf>
    <xf numFmtId="165" fontId="8" fillId="0" borderId="8" xfId="2" applyNumberFormat="1" applyFont="1" applyBorder="1"/>
    <xf numFmtId="4" fontId="8" fillId="0" borderId="8" xfId="2" applyNumberFormat="1" applyFont="1" applyBorder="1" applyAlignment="1">
      <alignment horizontal="right"/>
    </xf>
    <xf numFmtId="0" fontId="8" fillId="0" borderId="8" xfId="2" applyFont="1" applyBorder="1"/>
    <xf numFmtId="4" fontId="8" fillId="0" borderId="8" xfId="2" applyNumberFormat="1" applyFont="1" applyBorder="1"/>
    <xf numFmtId="165" fontId="8" fillId="0" borderId="9" xfId="2" applyNumberFormat="1" applyFont="1" applyBorder="1"/>
    <xf numFmtId="1" fontId="9" fillId="5" borderId="8" xfId="2" applyNumberFormat="1" applyFont="1" applyFill="1" applyBorder="1" applyAlignment="1">
      <alignment horizontal="center"/>
    </xf>
    <xf numFmtId="0" fontId="9" fillId="0" borderId="17" xfId="2" applyFont="1" applyBorder="1" applyAlignment="1">
      <alignment horizontal="left" wrapText="1"/>
    </xf>
    <xf numFmtId="0" fontId="9" fillId="9" borderId="17" xfId="2" applyFont="1" applyFill="1" applyBorder="1" applyAlignment="1">
      <alignment horizontal="left" wrapText="1"/>
    </xf>
    <xf numFmtId="1" fontId="9" fillId="9" borderId="17" xfId="2" applyNumberFormat="1" applyFont="1" applyFill="1" applyBorder="1" applyAlignment="1">
      <alignment horizontal="center"/>
    </xf>
    <xf numFmtId="0" fontId="9" fillId="5" borderId="8" xfId="2" applyFont="1" applyFill="1" applyBorder="1" applyAlignment="1">
      <alignment horizontal="center"/>
    </xf>
    <xf numFmtId="4" fontId="9" fillId="5" borderId="8" xfId="2" applyNumberFormat="1" applyFont="1" applyFill="1" applyBorder="1"/>
    <xf numFmtId="4" fontId="9" fillId="5" borderId="9" xfId="2" applyNumberFormat="1" applyFont="1" applyFill="1" applyBorder="1"/>
    <xf numFmtId="166" fontId="9" fillId="3" borderId="2" xfId="2" applyNumberFormat="1" applyFont="1" applyFill="1" applyBorder="1"/>
    <xf numFmtId="1" fontId="18" fillId="3" borderId="2" xfId="2" applyNumberFormat="1" applyFont="1" applyFill="1" applyBorder="1" applyAlignment="1">
      <alignment horizontal="center"/>
    </xf>
    <xf numFmtId="4" fontId="18" fillId="3" borderId="2" xfId="2" applyNumberFormat="1" applyFont="1" applyFill="1" applyBorder="1"/>
    <xf numFmtId="0" fontId="9" fillId="9" borderId="23" xfId="2" applyFont="1" applyFill="1" applyBorder="1" applyAlignment="1">
      <alignment horizontal="left" wrapText="1"/>
    </xf>
    <xf numFmtId="166" fontId="9" fillId="9" borderId="23" xfId="2" applyNumberFormat="1" applyFont="1" applyFill="1" applyBorder="1"/>
    <xf numFmtId="1" fontId="9" fillId="9" borderId="23" xfId="2" applyNumberFormat="1" applyFont="1" applyFill="1" applyBorder="1" applyAlignment="1">
      <alignment horizontal="center"/>
    </xf>
    <xf numFmtId="4" fontId="9" fillId="9" borderId="23" xfId="2" applyNumberFormat="1" applyFont="1" applyFill="1" applyBorder="1"/>
    <xf numFmtId="4" fontId="9" fillId="9" borderId="24" xfId="2" applyNumberFormat="1" applyFont="1" applyFill="1" applyBorder="1"/>
    <xf numFmtId="3" fontId="9" fillId="3" borderId="2" xfId="2" applyNumberFormat="1" applyFont="1" applyFill="1" applyBorder="1" applyAlignment="1">
      <alignment horizontal="center"/>
    </xf>
    <xf numFmtId="4" fontId="9" fillId="3" borderId="2" xfId="2" applyNumberFormat="1" applyFont="1" applyFill="1" applyBorder="1"/>
    <xf numFmtId="4" fontId="9" fillId="3" borderId="3" xfId="2" applyNumberFormat="1" applyFont="1" applyFill="1" applyBorder="1"/>
    <xf numFmtId="3" fontId="9" fillId="5" borderId="8" xfId="2" applyNumberFormat="1" applyFont="1" applyFill="1" applyBorder="1" applyAlignment="1">
      <alignment horizontal="center"/>
    </xf>
    <xf numFmtId="0" fontId="9" fillId="9" borderId="5" xfId="2" applyFont="1" applyFill="1" applyBorder="1" applyAlignment="1">
      <alignment horizontal="left" wrapText="1"/>
    </xf>
    <xf numFmtId="1" fontId="9" fillId="9" borderId="5" xfId="2" applyNumberFormat="1" applyFont="1" applyFill="1" applyBorder="1" applyAlignment="1">
      <alignment horizontal="center"/>
    </xf>
    <xf numFmtId="166" fontId="8" fillId="0" borderId="14" xfId="2" applyNumberFormat="1" applyFont="1" applyBorder="1"/>
    <xf numFmtId="0" fontId="8" fillId="0" borderId="14" xfId="2" applyFont="1" applyBorder="1" applyAlignment="1">
      <alignment horizontal="center" vertical="center"/>
    </xf>
    <xf numFmtId="4" fontId="8" fillId="0" borderId="14" xfId="2" applyNumberFormat="1" applyFont="1" applyBorder="1"/>
    <xf numFmtId="4" fontId="8" fillId="0" borderId="14" xfId="2" applyNumberFormat="1" applyFont="1" applyBorder="1" applyAlignment="1">
      <alignment horizontal="right"/>
    </xf>
    <xf numFmtId="4" fontId="8" fillId="0" borderId="15" xfId="2" applyNumberFormat="1" applyFont="1" applyBorder="1"/>
    <xf numFmtId="1" fontId="8" fillId="0" borderId="14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horizontal="center"/>
    </xf>
    <xf numFmtId="4" fontId="9" fillId="0" borderId="14" xfId="2" applyNumberFormat="1" applyFont="1" applyBorder="1" applyAlignment="1">
      <alignment horizontal="center"/>
    </xf>
    <xf numFmtId="165" fontId="8" fillId="0" borderId="14" xfId="2" applyNumberFormat="1" applyFont="1" applyBorder="1"/>
    <xf numFmtId="166" fontId="8" fillId="3" borderId="23" xfId="2" applyNumberFormat="1" applyFont="1" applyFill="1" applyBorder="1"/>
    <xf numFmtId="0" fontId="8" fillId="3" borderId="23" xfId="2" applyFont="1" applyFill="1" applyBorder="1" applyAlignment="1">
      <alignment horizontal="center" vertical="center"/>
    </xf>
    <xf numFmtId="165" fontId="8" fillId="3" borderId="23" xfId="2" applyNumberFormat="1" applyFont="1" applyFill="1" applyBorder="1"/>
    <xf numFmtId="4" fontId="8" fillId="3" borderId="23" xfId="2" applyNumberFormat="1" applyFont="1" applyFill="1" applyBorder="1" applyAlignment="1">
      <alignment horizontal="right"/>
    </xf>
    <xf numFmtId="0" fontId="9" fillId="9" borderId="20" xfId="2" applyFont="1" applyFill="1" applyBorder="1" applyAlignment="1">
      <alignment horizontal="left" wrapText="1"/>
    </xf>
    <xf numFmtId="1" fontId="9" fillId="9" borderId="14" xfId="2" applyNumberFormat="1" applyFont="1" applyFill="1" applyBorder="1" applyAlignment="1">
      <alignment horizontal="center"/>
    </xf>
    <xf numFmtId="0" fontId="9" fillId="3" borderId="23" xfId="2" applyFont="1" applyFill="1" applyBorder="1" applyAlignment="1">
      <alignment horizontal="center"/>
    </xf>
    <xf numFmtId="4" fontId="9" fillId="3" borderId="23" xfId="2" applyNumberFormat="1" applyFont="1" applyFill="1" applyBorder="1"/>
    <xf numFmtId="4" fontId="9" fillId="3" borderId="24" xfId="2" applyNumberFormat="1" applyFont="1" applyFill="1" applyBorder="1"/>
    <xf numFmtId="43" fontId="9" fillId="5" borderId="11" xfId="10" applyNumberFormat="1" applyFont="1" applyFill="1" applyBorder="1" applyAlignment="1">
      <alignment vertical="center"/>
    </xf>
    <xf numFmtId="43" fontId="0" fillId="0" borderId="0" xfId="0" applyNumberFormat="1"/>
    <xf numFmtId="43" fontId="9" fillId="9" borderId="5" xfId="10" applyNumberFormat="1" applyFont="1" applyFill="1" applyBorder="1" applyAlignment="1">
      <alignment vertical="center"/>
    </xf>
    <xf numFmtId="165" fontId="0" fillId="0" borderId="0" xfId="0" applyNumberFormat="1"/>
    <xf numFmtId="43" fontId="9" fillId="0" borderId="17" xfId="10" applyNumberFormat="1" applyFont="1" applyFill="1" applyBorder="1"/>
    <xf numFmtId="43" fontId="9" fillId="0" borderId="5" xfId="10" applyNumberFormat="1" applyFont="1" applyFill="1" applyBorder="1"/>
    <xf numFmtId="43" fontId="9" fillId="0" borderId="6" xfId="10" applyNumberFormat="1" applyFont="1" applyFill="1" applyBorder="1"/>
    <xf numFmtId="43" fontId="9" fillId="2" borderId="17" xfId="10" applyNumberFormat="1" applyFont="1" applyFill="1" applyBorder="1" applyAlignment="1"/>
    <xf numFmtId="43" fontId="9" fillId="5" borderId="8" xfId="10" applyNumberFormat="1" applyFont="1" applyFill="1" applyBorder="1"/>
    <xf numFmtId="43" fontId="9" fillId="5" borderId="9" xfId="10" applyNumberFormat="1" applyFont="1" applyFill="1" applyBorder="1"/>
    <xf numFmtId="43" fontId="9" fillId="9" borderId="17" xfId="10" applyNumberFormat="1" applyFont="1" applyFill="1" applyBorder="1"/>
    <xf numFmtId="43" fontId="9" fillId="5" borderId="8" xfId="10" applyNumberFormat="1" applyFont="1" applyFill="1" applyBorder="1" applyAlignment="1">
      <alignment horizontal="center"/>
    </xf>
    <xf numFmtId="43" fontId="8" fillId="0" borderId="17" xfId="10" applyNumberFormat="1" applyFont="1" applyFill="1" applyBorder="1"/>
    <xf numFmtId="43" fontId="9" fillId="9" borderId="5" xfId="10" applyNumberFormat="1" applyFont="1" applyFill="1" applyBorder="1"/>
    <xf numFmtId="43" fontId="8" fillId="0" borderId="14" xfId="10" applyNumberFormat="1" applyFont="1" applyFill="1" applyBorder="1"/>
    <xf numFmtId="43" fontId="8" fillId="0" borderId="15" xfId="10" applyNumberFormat="1" applyFont="1" applyFill="1" applyBorder="1"/>
    <xf numFmtId="43" fontId="9" fillId="9" borderId="14" xfId="10" applyNumberFormat="1" applyFont="1" applyFill="1" applyBorder="1"/>
    <xf numFmtId="43" fontId="9" fillId="0" borderId="14" xfId="10" applyNumberFormat="1" applyFont="1" applyFill="1" applyBorder="1"/>
    <xf numFmtId="43" fontId="9" fillId="0" borderId="15" xfId="10" applyNumberFormat="1" applyFont="1" applyFill="1" applyBorder="1"/>
    <xf numFmtId="0" fontId="9" fillId="7" borderId="5" xfId="2" applyNumberFormat="1" applyFont="1" applyFill="1" applyBorder="1" applyAlignment="1">
      <alignment horizontal="center" vertical="center"/>
    </xf>
    <xf numFmtId="4" fontId="9" fillId="3" borderId="26" xfId="1" applyNumberFormat="1" applyFont="1" applyFill="1" applyBorder="1"/>
    <xf numFmtId="44" fontId="9" fillId="3" borderId="1" xfId="1" applyNumberFormat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 vertical="center" wrapText="1"/>
    </xf>
    <xf numFmtId="164" fontId="9" fillId="3" borderId="11" xfId="1" applyNumberFormat="1" applyFont="1" applyFill="1" applyBorder="1" applyAlignment="1">
      <alignment horizontal="center" vertical="center" wrapText="1"/>
    </xf>
    <xf numFmtId="44" fontId="9" fillId="3" borderId="29" xfId="1" applyNumberFormat="1" applyFont="1" applyFill="1" applyBorder="1"/>
    <xf numFmtId="0" fontId="8" fillId="0" borderId="2" xfId="1" applyFont="1" applyBorder="1" applyAlignment="1">
      <alignment horizontal="center"/>
    </xf>
    <xf numFmtId="164" fontId="8" fillId="6" borderId="2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164" fontId="8" fillId="0" borderId="2" xfId="11" applyFont="1" applyBorder="1"/>
    <xf numFmtId="164" fontId="8" fillId="0" borderId="2" xfId="11" applyFont="1" applyBorder="1" applyAlignment="1">
      <alignment horizontal="center"/>
    </xf>
    <xf numFmtId="0" fontId="8" fillId="0" borderId="5" xfId="1" applyFont="1" applyBorder="1" applyAlignment="1">
      <alignment horizontal="center" vertical="center" wrapText="1"/>
    </xf>
    <xf numFmtId="164" fontId="8" fillId="0" borderId="5" xfId="11" applyFont="1" applyBorder="1"/>
    <xf numFmtId="164" fontId="8" fillId="0" borderId="5" xfId="11" applyFont="1" applyBorder="1" applyAlignment="1">
      <alignment horizontal="center"/>
    </xf>
    <xf numFmtId="164" fontId="12" fillId="0" borderId="5" xfId="11" applyFont="1" applyBorder="1" applyAlignment="1">
      <alignment horizontal="center"/>
    </xf>
    <xf numFmtId="0" fontId="8" fillId="0" borderId="11" xfId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0" borderId="11" xfId="11" applyFont="1" applyBorder="1"/>
    <xf numFmtId="164" fontId="8" fillId="0" borderId="11" xfId="11" applyFont="1" applyBorder="1" applyAlignment="1">
      <alignment horizontal="center"/>
    </xf>
    <xf numFmtId="0" fontId="9" fillId="0" borderId="5" xfId="1" applyFont="1" applyBorder="1" applyAlignment="1">
      <alignment horizontal="center" wrapText="1"/>
    </xf>
    <xf numFmtId="164" fontId="9" fillId="0" borderId="5" xfId="11" applyFont="1" applyBorder="1"/>
    <xf numFmtId="4" fontId="9" fillId="3" borderId="30" xfId="1" applyNumberFormat="1" applyFont="1" applyFill="1" applyBorder="1"/>
    <xf numFmtId="44" fontId="9" fillId="3" borderId="16" xfId="1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44" fontId="8" fillId="0" borderId="2" xfId="1" applyNumberFormat="1" applyFont="1" applyBorder="1"/>
    <xf numFmtId="44" fontId="8" fillId="0" borderId="2" xfId="1" applyNumberFormat="1" applyFont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8" fillId="0" borderId="5" xfId="1" applyNumberFormat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164" fontId="8" fillId="6" borderId="11" xfId="1" applyNumberFormat="1" applyFont="1" applyFill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44" fontId="9" fillId="3" borderId="31" xfId="1" applyNumberFormat="1" applyFont="1" applyFill="1" applyBorder="1"/>
    <xf numFmtId="164" fontId="8" fillId="0" borderId="26" xfId="11" applyFont="1" applyBorder="1"/>
    <xf numFmtId="164" fontId="19" fillId="0" borderId="1" xfId="3" applyFont="1" applyBorder="1" applyAlignment="1">
      <alignment horizontal="center"/>
    </xf>
    <xf numFmtId="164" fontId="19" fillId="0" borderId="2" xfId="3" applyFont="1" applyBorder="1" applyAlignment="1">
      <alignment horizontal="center"/>
    </xf>
    <xf numFmtId="164" fontId="8" fillId="0" borderId="32" xfId="11" applyFont="1" applyBorder="1"/>
    <xf numFmtId="164" fontId="19" fillId="0" borderId="4" xfId="3" applyFont="1" applyBorder="1" applyAlignment="1">
      <alignment horizontal="center"/>
    </xf>
    <xf numFmtId="164" fontId="19" fillId="0" borderId="5" xfId="3" applyFont="1" applyBorder="1" applyAlignment="1">
      <alignment horizontal="center"/>
    </xf>
    <xf numFmtId="164" fontId="8" fillId="0" borderId="29" xfId="11" applyFont="1" applyBorder="1"/>
    <xf numFmtId="164" fontId="19" fillId="0" borderId="10" xfId="3" applyFont="1" applyBorder="1" applyAlignment="1">
      <alignment horizontal="center"/>
    </xf>
    <xf numFmtId="164" fontId="19" fillId="0" borderId="11" xfId="3" applyFont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164" fontId="9" fillId="0" borderId="31" xfId="11" applyFont="1" applyBorder="1"/>
    <xf numFmtId="164" fontId="19" fillId="0" borderId="7" xfId="3" applyFont="1" applyBorder="1" applyAlignment="1">
      <alignment horizontal="center"/>
    </xf>
    <xf numFmtId="164" fontId="19" fillId="0" borderId="8" xfId="3" applyFont="1" applyBorder="1" applyAlignment="1">
      <alignment horizontal="center"/>
    </xf>
    <xf numFmtId="164" fontId="19" fillId="0" borderId="9" xfId="3" applyFont="1" applyBorder="1" applyAlignment="1">
      <alignment horizontal="center"/>
    </xf>
    <xf numFmtId="164" fontId="9" fillId="6" borderId="33" xfId="1" applyNumberFormat="1" applyFont="1" applyFill="1" applyBorder="1" applyAlignment="1">
      <alignment horizontal="center"/>
    </xf>
    <xf numFmtId="0" fontId="9" fillId="0" borderId="33" xfId="1" applyFont="1" applyBorder="1" applyAlignment="1">
      <alignment horizontal="center" vertical="center" wrapText="1"/>
    </xf>
    <xf numFmtId="44" fontId="9" fillId="0" borderId="33" xfId="1" applyNumberFormat="1" applyFont="1" applyBorder="1"/>
    <xf numFmtId="44" fontId="8" fillId="0" borderId="33" xfId="1" applyNumberFormat="1" applyFont="1" applyBorder="1" applyAlignment="1">
      <alignment horizontal="center"/>
    </xf>
    <xf numFmtId="44" fontId="12" fillId="0" borderId="33" xfId="0" applyNumberFormat="1" applyFont="1" applyBorder="1" applyAlignment="1">
      <alignment horizontal="center"/>
    </xf>
    <xf numFmtId="44" fontId="8" fillId="0" borderId="3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3" fontId="9" fillId="2" borderId="6" xfId="10" applyNumberFormat="1" applyFont="1" applyFill="1" applyBorder="1"/>
    <xf numFmtId="1" fontId="8" fillId="2" borderId="14" xfId="2" applyNumberFormat="1" applyFont="1" applyFill="1" applyBorder="1" applyAlignment="1">
      <alignment horizontal="center"/>
    </xf>
    <xf numFmtId="0" fontId="0" fillId="0" borderId="0" xfId="0" applyFill="1"/>
    <xf numFmtId="1" fontId="8" fillId="0" borderId="17" xfId="2" applyNumberFormat="1" applyFont="1" applyFill="1" applyBorder="1" applyAlignment="1">
      <alignment horizontal="center"/>
    </xf>
    <xf numFmtId="164" fontId="0" fillId="0" borderId="0" xfId="11" applyFont="1"/>
    <xf numFmtId="0" fontId="8" fillId="0" borderId="20" xfId="2" applyFont="1" applyBorder="1" applyAlignment="1">
      <alignment horizontal="center"/>
    </xf>
    <xf numFmtId="0" fontId="8" fillId="0" borderId="0" xfId="2" applyFont="1"/>
    <xf numFmtId="165" fontId="9" fillId="2" borderId="17" xfId="10" applyFont="1" applyFill="1" applyBorder="1" applyAlignment="1"/>
    <xf numFmtId="165" fontId="9" fillId="2" borderId="17" xfId="10" applyFont="1" applyFill="1" applyBorder="1"/>
    <xf numFmtId="0" fontId="9" fillId="0" borderId="20" xfId="2" applyFont="1" applyBorder="1" applyAlignment="1">
      <alignment horizontal="center"/>
    </xf>
    <xf numFmtId="165" fontId="9" fillId="0" borderId="5" xfId="10" applyFont="1" applyFill="1" applyBorder="1" applyAlignment="1"/>
    <xf numFmtId="165" fontId="9" fillId="0" borderId="6" xfId="10" applyFont="1" applyFill="1" applyBorder="1" applyAlignment="1"/>
    <xf numFmtId="165" fontId="9" fillId="0" borderId="5" xfId="10" applyFont="1" applyFill="1" applyBorder="1"/>
    <xf numFmtId="165" fontId="9" fillId="0" borderId="6" xfId="10" applyFont="1" applyFill="1" applyBorder="1"/>
    <xf numFmtId="0" fontId="8" fillId="0" borderId="35" xfId="2" applyFont="1" applyBorder="1" applyAlignment="1">
      <alignment horizontal="center"/>
    </xf>
    <xf numFmtId="165" fontId="9" fillId="0" borderId="5" xfId="10" applyFont="1" applyFill="1" applyBorder="1" applyAlignment="1">
      <alignment horizontal="center"/>
    </xf>
    <xf numFmtId="165" fontId="9" fillId="0" borderId="5" xfId="10" applyFont="1" applyFill="1" applyBorder="1" applyAlignment="1">
      <alignment horizontal="right"/>
    </xf>
    <xf numFmtId="165" fontId="9" fillId="0" borderId="6" xfId="10" applyFont="1" applyFill="1" applyBorder="1" applyAlignment="1">
      <alignment horizontal="right"/>
    </xf>
    <xf numFmtId="4" fontId="8" fillId="0" borderId="5" xfId="2" applyNumberFormat="1" applyFont="1" applyFill="1" applyBorder="1"/>
    <xf numFmtId="4" fontId="8" fillId="0" borderId="5" xfId="2" applyNumberFormat="1" applyFont="1" applyFill="1" applyBorder="1" applyAlignment="1">
      <alignment horizontal="right"/>
    </xf>
    <xf numFmtId="4" fontId="8" fillId="8" borderId="5" xfId="2" applyNumberFormat="1" applyFont="1" applyFill="1" applyBorder="1" applyAlignment="1">
      <alignment vertical="center"/>
    </xf>
    <xf numFmtId="0" fontId="16" fillId="10" borderId="5" xfId="1" applyFont="1" applyFill="1" applyBorder="1" applyAlignment="1">
      <alignment horizontal="right" vertical="center" wrapText="1"/>
    </xf>
    <xf numFmtId="4" fontId="2" fillId="10" borderId="11" xfId="2" applyNumberFormat="1" applyFont="1" applyFill="1" applyBorder="1" applyAlignment="1">
      <alignment vertical="center"/>
    </xf>
    <xf numFmtId="0" fontId="20" fillId="10" borderId="21" xfId="2" applyFont="1" applyFill="1" applyBorder="1" applyAlignment="1">
      <alignment horizontal="center" vertical="center" wrapText="1"/>
    </xf>
    <xf numFmtId="1" fontId="2" fillId="10" borderId="11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left" wrapText="1"/>
    </xf>
    <xf numFmtId="0" fontId="8" fillId="3" borderId="5" xfId="2" applyFont="1" applyFill="1" applyBorder="1" applyAlignment="1">
      <alignment horizontal="left" vertical="center" wrapText="1"/>
    </xf>
    <xf numFmtId="0" fontId="8" fillId="0" borderId="17" xfId="2" applyFont="1" applyFill="1" applyBorder="1" applyAlignment="1">
      <alignment horizontal="left" wrapText="1"/>
    </xf>
    <xf numFmtId="166" fontId="8" fillId="0" borderId="5" xfId="2" applyNumberFormat="1" applyFont="1" applyFill="1" applyBorder="1"/>
    <xf numFmtId="0" fontId="8" fillId="0" borderId="5" xfId="2" applyFont="1" applyFill="1" applyBorder="1" applyAlignment="1">
      <alignment horizontal="center" vertical="center"/>
    </xf>
    <xf numFmtId="4" fontId="8" fillId="0" borderId="6" xfId="2" applyNumberFormat="1" applyFont="1" applyFill="1" applyBorder="1"/>
    <xf numFmtId="0" fontId="8" fillId="0" borderId="20" xfId="2" applyFont="1" applyFill="1" applyBorder="1" applyAlignment="1">
      <alignment horizontal="center"/>
    </xf>
    <xf numFmtId="0" fontId="8" fillId="0" borderId="0" xfId="2" applyFont="1" applyFill="1"/>
    <xf numFmtId="0" fontId="8" fillId="0" borderId="5" xfId="2" applyFont="1" applyFill="1" applyBorder="1" applyAlignment="1">
      <alignment horizontal="left" wrapText="1"/>
    </xf>
    <xf numFmtId="0" fontId="8" fillId="0" borderId="5" xfId="2" applyFont="1" applyFill="1" applyBorder="1" applyAlignment="1">
      <alignment horizontal="center"/>
    </xf>
    <xf numFmtId="4" fontId="0" fillId="0" borderId="0" xfId="0" applyNumberFormat="1" applyFill="1"/>
    <xf numFmtId="166" fontId="0" fillId="0" borderId="0" xfId="0" applyNumberFormat="1"/>
    <xf numFmtId="165" fontId="9" fillId="2" borderId="5" xfId="10" applyFont="1" applyFill="1" applyBorder="1" applyAlignment="1"/>
    <xf numFmtId="165" fontId="9" fillId="2" borderId="5" xfId="10" applyFont="1" applyFill="1" applyBorder="1" applyAlignment="1">
      <alignment horizontal="right"/>
    </xf>
    <xf numFmtId="43" fontId="9" fillId="2" borderId="5" xfId="10" applyNumberFormat="1" applyFont="1" applyFill="1" applyBorder="1"/>
    <xf numFmtId="1" fontId="9" fillId="0" borderId="17" xfId="2" applyNumberFormat="1" applyFont="1" applyFill="1" applyBorder="1" applyAlignment="1">
      <alignment horizontal="center"/>
    </xf>
    <xf numFmtId="165" fontId="9" fillId="0" borderId="17" xfId="10" applyFont="1" applyFill="1" applyBorder="1"/>
    <xf numFmtId="4" fontId="8" fillId="0" borderId="12" xfId="2" applyNumberFormat="1" applyFont="1" applyFill="1" applyBorder="1"/>
    <xf numFmtId="0" fontId="8" fillId="0" borderId="5" xfId="2" applyFont="1" applyBorder="1" applyAlignment="1">
      <alignment horizontal="left" wrapText="1"/>
    </xf>
    <xf numFmtId="0" fontId="9" fillId="3" borderId="22" xfId="2" applyFont="1" applyFill="1" applyBorder="1" applyAlignment="1">
      <alignment horizontal="left" vertical="center" wrapText="1"/>
    </xf>
    <xf numFmtId="4" fontId="8" fillId="0" borderId="17" xfId="2" applyNumberFormat="1" applyFont="1" applyFill="1" applyBorder="1"/>
    <xf numFmtId="4" fontId="8" fillId="0" borderId="17" xfId="2" applyNumberFormat="1" applyFont="1" applyFill="1" applyBorder="1" applyAlignment="1">
      <alignment horizontal="right"/>
    </xf>
    <xf numFmtId="0" fontId="9" fillId="3" borderId="5" xfId="2" applyFont="1" applyFill="1" applyBorder="1" applyAlignment="1">
      <alignment horizontal="left" vertical="center" wrapText="1"/>
    </xf>
    <xf numFmtId="164" fontId="0" fillId="0" borderId="0" xfId="11" applyFont="1" applyFill="1"/>
    <xf numFmtId="1" fontId="9" fillId="0" borderId="5" xfId="2" applyNumberFormat="1" applyFont="1" applyFill="1" applyBorder="1" applyAlignment="1">
      <alignment horizontal="center"/>
    </xf>
    <xf numFmtId="4" fontId="15" fillId="3" borderId="5" xfId="0" applyNumberFormat="1" applyFont="1" applyFill="1" applyBorder="1" applyAlignment="1">
      <alignment horizontal="center" vertical="center"/>
    </xf>
    <xf numFmtId="43" fontId="9" fillId="0" borderId="17" xfId="10" applyNumberFormat="1" applyFont="1" applyFill="1" applyBorder="1" applyAlignment="1"/>
    <xf numFmtId="0" fontId="0" fillId="0" borderId="0" xfId="0" quotePrefix="1" applyAlignment="1">
      <alignment horizontal="left"/>
    </xf>
    <xf numFmtId="0" fontId="8" fillId="0" borderId="5" xfId="2" applyFont="1" applyFill="1" applyBorder="1"/>
    <xf numFmtId="0" fontId="8" fillId="3" borderId="17" xfId="2" applyFont="1" applyFill="1" applyBorder="1"/>
    <xf numFmtId="4" fontId="8" fillId="3" borderId="17" xfId="2" applyNumberFormat="1" applyFont="1" applyFill="1" applyBorder="1"/>
    <xf numFmtId="4" fontId="9" fillId="3" borderId="17" xfId="2" applyNumberFormat="1" applyFont="1" applyFill="1" applyBorder="1" applyAlignment="1">
      <alignment horizontal="center"/>
    </xf>
    <xf numFmtId="2" fontId="25" fillId="0" borderId="5" xfId="10" applyNumberFormat="1" applyFont="1" applyFill="1" applyBorder="1" applyAlignment="1"/>
    <xf numFmtId="0" fontId="4" fillId="0" borderId="0" xfId="0" applyFont="1" applyFill="1"/>
    <xf numFmtId="0" fontId="8" fillId="0" borderId="17" xfId="2" applyFont="1" applyBorder="1" applyAlignment="1">
      <alignment horizontal="right" vertical="center" wrapText="1"/>
    </xf>
    <xf numFmtId="0" fontId="8" fillId="0" borderId="5" xfId="2" applyFont="1" applyBorder="1" applyAlignment="1">
      <alignment horizontal="right" vertical="center" wrapText="1"/>
    </xf>
    <xf numFmtId="0" fontId="8" fillId="0" borderId="5" xfId="2" applyFont="1" applyFill="1" applyBorder="1" applyAlignment="1">
      <alignment horizontal="right" vertical="center" wrapText="1"/>
    </xf>
    <xf numFmtId="0" fontId="9" fillId="5" borderId="8" xfId="10" applyNumberFormat="1" applyFont="1" applyFill="1" applyBorder="1" applyAlignment="1">
      <alignment horizontal="center"/>
    </xf>
    <xf numFmtId="0" fontId="0" fillId="0" borderId="5" xfId="0" applyBorder="1"/>
    <xf numFmtId="0" fontId="8" fillId="0" borderId="17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0" fontId="8" fillId="0" borderId="5" xfId="2" quotePrefix="1" applyFont="1" applyFill="1" applyBorder="1" applyAlignment="1">
      <alignment horizontal="right" vertical="center" wrapText="1"/>
    </xf>
    <xf numFmtId="43" fontId="9" fillId="5" borderId="5" xfId="10" applyNumberFormat="1" applyFont="1" applyFill="1" applyBorder="1" applyAlignment="1">
      <alignment vertical="center"/>
    </xf>
    <xf numFmtId="43" fontId="9" fillId="0" borderId="5" xfId="10" applyNumberFormat="1" applyFont="1" applyFill="1" applyBorder="1" applyAlignment="1">
      <alignment vertical="center"/>
    </xf>
    <xf numFmtId="2" fontId="0" fillId="0" borderId="5" xfId="0" applyNumberFormat="1" applyBorder="1"/>
    <xf numFmtId="2" fontId="9" fillId="0" borderId="5" xfId="11" applyNumberFormat="1" applyFont="1" applyFill="1" applyBorder="1" applyAlignment="1"/>
    <xf numFmtId="43" fontId="0" fillId="0" borderId="0" xfId="0" applyNumberFormat="1" applyBorder="1"/>
    <xf numFmtId="165" fontId="9" fillId="0" borderId="18" xfId="10" applyFont="1" applyFill="1" applyBorder="1" applyAlignment="1"/>
    <xf numFmtId="4" fontId="9" fillId="3" borderId="9" xfId="2" applyNumberFormat="1" applyFont="1" applyFill="1" applyBorder="1"/>
    <xf numFmtId="0" fontId="3" fillId="0" borderId="5" xfId="2" applyFont="1" applyFill="1" applyBorder="1" applyAlignment="1">
      <alignment horizontal="center" vertical="center"/>
    </xf>
    <xf numFmtId="165" fontId="3" fillId="0" borderId="5" xfId="2" applyNumberFormat="1" applyFont="1" applyFill="1" applyBorder="1"/>
    <xf numFmtId="4" fontId="3" fillId="0" borderId="17" xfId="2" applyNumberFormat="1" applyFont="1" applyFill="1" applyBorder="1"/>
    <xf numFmtId="4" fontId="3" fillId="0" borderId="17" xfId="2" applyNumberFormat="1" applyFont="1" applyFill="1" applyBorder="1" applyAlignment="1">
      <alignment horizontal="right"/>
    </xf>
    <xf numFmtId="4" fontId="3" fillId="0" borderId="5" xfId="2" applyNumberFormat="1" applyFont="1" applyFill="1" applyBorder="1"/>
    <xf numFmtId="4" fontId="3" fillId="0" borderId="6" xfId="2" applyNumberFormat="1" applyFont="1" applyFill="1" applyBorder="1"/>
    <xf numFmtId="165" fontId="8" fillId="0" borderId="5" xfId="2" applyNumberFormat="1" applyFont="1" applyFill="1" applyBorder="1"/>
    <xf numFmtId="0" fontId="8" fillId="0" borderId="17" xfId="2" applyFont="1" applyFill="1" applyBorder="1" applyAlignment="1">
      <alignment horizontal="center" vertical="center"/>
    </xf>
    <xf numFmtId="165" fontId="8" fillId="0" borderId="17" xfId="2" applyNumberFormat="1" applyFont="1" applyFill="1" applyBorder="1"/>
    <xf numFmtId="0" fontId="0" fillId="0" borderId="0" xfId="0" applyFill="1" applyBorder="1"/>
    <xf numFmtId="165" fontId="11" fillId="3" borderId="5" xfId="10" applyFont="1" applyFill="1" applyBorder="1" applyAlignment="1">
      <alignment horizontal="center" vertical="center"/>
    </xf>
    <xf numFmtId="166" fontId="8" fillId="0" borderId="17" xfId="2" applyNumberFormat="1" applyFont="1" applyFill="1" applyBorder="1"/>
    <xf numFmtId="0" fontId="8" fillId="0" borderId="40" xfId="2" applyFont="1" applyFill="1" applyBorder="1" applyAlignment="1">
      <alignment horizontal="center"/>
    </xf>
    <xf numFmtId="167" fontId="8" fillId="0" borderId="5" xfId="2" applyNumberFormat="1" applyFont="1" applyFill="1" applyBorder="1"/>
    <xf numFmtId="43" fontId="9" fillId="0" borderId="18" xfId="10" applyNumberFormat="1" applyFont="1" applyFill="1" applyBorder="1"/>
    <xf numFmtId="165" fontId="8" fillId="0" borderId="9" xfId="2" applyNumberFormat="1" applyFont="1" applyBorder="1" applyAlignment="1">
      <alignment horizontal="right"/>
    </xf>
    <xf numFmtId="4" fontId="9" fillId="9" borderId="3" xfId="2" applyNumberFormat="1" applyFont="1" applyFill="1" applyBorder="1"/>
    <xf numFmtId="43" fontId="9" fillId="5" borderId="12" xfId="10" applyNumberFormat="1" applyFont="1" applyFill="1" applyBorder="1" applyAlignment="1">
      <alignment vertical="center"/>
    </xf>
    <xf numFmtId="43" fontId="9" fillId="9" borderId="6" xfId="10" applyNumberFormat="1" applyFont="1" applyFill="1" applyBorder="1" applyAlignment="1">
      <alignment vertical="center"/>
    </xf>
    <xf numFmtId="4" fontId="8" fillId="0" borderId="6" xfId="2" applyNumberFormat="1" applyFont="1" applyBorder="1" applyAlignment="1">
      <alignment horizontal="right"/>
    </xf>
    <xf numFmtId="43" fontId="9" fillId="5" borderId="9" xfId="2" applyNumberFormat="1" applyFont="1" applyFill="1" applyBorder="1" applyAlignment="1">
      <alignment vertical="center"/>
    </xf>
    <xf numFmtId="165" fontId="9" fillId="2" borderId="18" xfId="10" applyFont="1" applyFill="1" applyBorder="1"/>
    <xf numFmtId="0" fontId="9" fillId="3" borderId="25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8" fillId="0" borderId="20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9" fillId="0" borderId="5" xfId="2" applyFont="1" applyFill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8" fillId="8" borderId="20" xfId="2" applyFont="1" applyFill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0" fillId="0" borderId="41" xfId="0" applyBorder="1"/>
    <xf numFmtId="0" fontId="8" fillId="8" borderId="22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vertical="center"/>
    </xf>
    <xf numFmtId="0" fontId="8" fillId="0" borderId="40" xfId="2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0" fontId="8" fillId="3" borderId="37" xfId="2" applyFont="1" applyFill="1" applyBorder="1" applyAlignment="1">
      <alignment horizontal="center"/>
    </xf>
    <xf numFmtId="0" fontId="0" fillId="0" borderId="41" xfId="0" applyFill="1" applyBorder="1"/>
    <xf numFmtId="0" fontId="0" fillId="0" borderId="0" xfId="0" applyBorder="1"/>
    <xf numFmtId="164" fontId="0" fillId="0" borderId="0" xfId="11" applyFont="1" applyBorder="1"/>
    <xf numFmtId="4" fontId="0" fillId="0" borderId="0" xfId="0" applyNumberFormat="1" applyBorder="1"/>
    <xf numFmtId="4" fontId="0" fillId="0" borderId="0" xfId="0" applyNumberFormat="1" applyFill="1" applyBorder="1"/>
    <xf numFmtId="43" fontId="9" fillId="2" borderId="18" xfId="10" applyNumberFormat="1" applyFont="1" applyFill="1" applyBorder="1" applyAlignment="1"/>
    <xf numFmtId="4" fontId="9" fillId="5" borderId="9" xfId="2" applyNumberFormat="1" applyFont="1" applyFill="1" applyBorder="1" applyAlignment="1">
      <alignment vertical="center"/>
    </xf>
    <xf numFmtId="43" fontId="8" fillId="0" borderId="18" xfId="10" applyNumberFormat="1" applyFont="1" applyFill="1" applyBorder="1"/>
    <xf numFmtId="4" fontId="8" fillId="0" borderId="9" xfId="2" applyNumberFormat="1" applyFont="1" applyBorder="1"/>
    <xf numFmtId="0" fontId="0" fillId="0" borderId="43" xfId="0" applyBorder="1"/>
    <xf numFmtId="4" fontId="9" fillId="3" borderId="9" xfId="2" applyNumberFormat="1" applyFont="1" applyFill="1" applyBorder="1" applyAlignment="1">
      <alignment vertical="center"/>
    </xf>
    <xf numFmtId="4" fontId="8" fillId="8" borderId="15" xfId="2" applyNumberFormat="1" applyFont="1" applyFill="1" applyBorder="1" applyAlignment="1">
      <alignment vertical="center"/>
    </xf>
    <xf numFmtId="4" fontId="8" fillId="8" borderId="18" xfId="2" applyNumberFormat="1" applyFont="1" applyFill="1" applyBorder="1" applyAlignment="1">
      <alignment vertical="center"/>
    </xf>
    <xf numFmtId="4" fontId="8" fillId="8" borderId="6" xfId="2" applyNumberFormat="1" applyFont="1" applyFill="1" applyBorder="1" applyAlignment="1">
      <alignment vertical="center"/>
    </xf>
    <xf numFmtId="4" fontId="8" fillId="0" borderId="9" xfId="2" applyNumberFormat="1" applyFont="1" applyBorder="1" applyAlignment="1">
      <alignment vertical="center"/>
    </xf>
    <xf numFmtId="0" fontId="8" fillId="0" borderId="40" xfId="2" applyFont="1" applyBorder="1" applyAlignment="1">
      <alignment horizontal="left" wrapText="1"/>
    </xf>
    <xf numFmtId="0" fontId="9" fillId="0" borderId="40" xfId="2" applyFont="1" applyBorder="1" applyAlignment="1">
      <alignment horizontal="left" wrapText="1"/>
    </xf>
    <xf numFmtId="0" fontId="9" fillId="9" borderId="33" xfId="2" applyFont="1" applyFill="1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9" fillId="2" borderId="37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/>
    </xf>
    <xf numFmtId="0" fontId="8" fillId="3" borderId="21" xfId="2" applyFont="1" applyFill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0" borderId="37" xfId="2" applyFont="1" applyBorder="1" applyAlignment="1">
      <alignment horizontal="center"/>
    </xf>
    <xf numFmtId="0" fontId="8" fillId="3" borderId="35" xfId="2" applyFont="1" applyFill="1" applyBorder="1" applyAlignment="1">
      <alignment horizontal="center"/>
    </xf>
    <xf numFmtId="0" fontId="8" fillId="2" borderId="35" xfId="2" applyFont="1" applyFill="1" applyBorder="1" applyAlignment="1">
      <alignment horizontal="center"/>
    </xf>
    <xf numFmtId="0" fontId="8" fillId="3" borderId="43" xfId="2" applyFont="1" applyFill="1" applyBorder="1" applyAlignment="1">
      <alignment horizontal="center"/>
    </xf>
    <xf numFmtId="0" fontId="8" fillId="0" borderId="35" xfId="2" applyFont="1" applyFill="1" applyBorder="1" applyAlignment="1">
      <alignment horizontal="center"/>
    </xf>
    <xf numFmtId="0" fontId="8" fillId="0" borderId="42" xfId="2" applyFont="1" applyBorder="1" applyAlignment="1">
      <alignment horizontal="center"/>
    </xf>
    <xf numFmtId="0" fontId="8" fillId="3" borderId="42" xfId="2" applyFont="1" applyFill="1" applyBorder="1" applyAlignment="1">
      <alignment horizontal="center"/>
    </xf>
    <xf numFmtId="0" fontId="8" fillId="0" borderId="25" xfId="2" applyFont="1" applyBorder="1" applyAlignment="1">
      <alignment horizontal="center"/>
    </xf>
    <xf numFmtId="0" fontId="0" fillId="0" borderId="40" xfId="0" applyBorder="1"/>
    <xf numFmtId="0" fontId="8" fillId="3" borderId="44" xfId="2" applyFont="1" applyFill="1" applyBorder="1" applyAlignment="1">
      <alignment horizontal="center"/>
    </xf>
    <xf numFmtId="0" fontId="8" fillId="0" borderId="45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43" xfId="2" applyFont="1" applyBorder="1" applyAlignment="1">
      <alignment horizontal="center"/>
    </xf>
    <xf numFmtId="0" fontId="8" fillId="7" borderId="40" xfId="2" applyFont="1" applyFill="1" applyBorder="1" applyAlignment="1">
      <alignment horizontal="center" vertical="center"/>
    </xf>
    <xf numFmtId="0" fontId="8" fillId="7" borderId="42" xfId="2" applyFont="1" applyFill="1" applyBorder="1" applyAlignment="1">
      <alignment horizontal="center" vertical="center"/>
    </xf>
    <xf numFmtId="0" fontId="9" fillId="0" borderId="20" xfId="1" applyFont="1" applyBorder="1" applyAlignment="1">
      <alignment horizontal="center"/>
    </xf>
    <xf numFmtId="0" fontId="9" fillId="3" borderId="37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3" borderId="35" xfId="1" applyFont="1" applyFill="1" applyBorder="1" applyAlignment="1">
      <alignment horizontal="center"/>
    </xf>
    <xf numFmtId="0" fontId="9" fillId="3" borderId="42" xfId="1" applyFont="1" applyFill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4" fillId="0" borderId="41" xfId="0" applyFont="1" applyBorder="1"/>
    <xf numFmtId="0" fontId="4" fillId="0" borderId="41" xfId="0" applyFont="1" applyFill="1" applyBorder="1"/>
    <xf numFmtId="0" fontId="9" fillId="0" borderId="5" xfId="2" applyFont="1" applyFill="1" applyBorder="1" applyAlignment="1">
      <alignment horizontal="center" wrapText="1"/>
    </xf>
    <xf numFmtId="165" fontId="9" fillId="0" borderId="5" xfId="10" applyFont="1" applyFill="1" applyBorder="1" applyAlignment="1">
      <alignment horizontal="right" vertical="center"/>
    </xf>
    <xf numFmtId="0" fontId="9" fillId="0" borderId="17" xfId="2" applyFont="1" applyBorder="1" applyAlignment="1">
      <alignment horizontal="left"/>
    </xf>
    <xf numFmtId="0" fontId="8" fillId="0" borderId="5" xfId="2" quotePrefix="1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left" wrapText="1"/>
    </xf>
    <xf numFmtId="0" fontId="8" fillId="0" borderId="5" xfId="2" quotePrefix="1" applyFont="1" applyBorder="1" applyAlignment="1">
      <alignment horizontal="left" wrapText="1"/>
    </xf>
    <xf numFmtId="4" fontId="0" fillId="3" borderId="0" xfId="0" applyNumberFormat="1" applyFill="1"/>
    <xf numFmtId="167" fontId="8" fillId="0" borderId="5" xfId="2" applyNumberFormat="1" applyFont="1" applyBorder="1"/>
    <xf numFmtId="4" fontId="0" fillId="3" borderId="5" xfId="0" applyNumberFormat="1" applyFill="1" applyBorder="1"/>
    <xf numFmtId="0" fontId="8" fillId="0" borderId="5" xfId="2" quotePrefix="1" applyFont="1" applyFill="1" applyBorder="1" applyAlignment="1">
      <alignment horizontal="left" wrapText="1"/>
    </xf>
    <xf numFmtId="0" fontId="27" fillId="0" borderId="41" xfId="0" applyFont="1" applyFill="1" applyBorder="1"/>
    <xf numFmtId="0" fontId="3" fillId="0" borderId="40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left" wrapText="1"/>
    </xf>
    <xf numFmtId="166" fontId="3" fillId="0" borderId="5" xfId="2" applyNumberFormat="1" applyFont="1" applyFill="1" applyBorder="1"/>
    <xf numFmtId="4" fontId="3" fillId="0" borderId="5" xfId="2" applyNumberFormat="1" applyFont="1" applyFill="1" applyBorder="1" applyAlignment="1">
      <alignment horizontal="right"/>
    </xf>
    <xf numFmtId="0" fontId="27" fillId="0" borderId="0" xfId="0" applyFont="1" applyFill="1"/>
    <xf numFmtId="166" fontId="9" fillId="0" borderId="5" xfId="11" applyNumberFormat="1" applyFont="1" applyFill="1" applyBorder="1" applyAlignment="1"/>
    <xf numFmtId="0" fontId="3" fillId="0" borderId="35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left" wrapText="1"/>
    </xf>
    <xf numFmtId="166" fontId="3" fillId="0" borderId="17" xfId="2" applyNumberFormat="1" applyFont="1" applyFill="1" applyBorder="1"/>
    <xf numFmtId="0" fontId="3" fillId="0" borderId="17" xfId="2" applyFont="1" applyFill="1" applyBorder="1" applyAlignment="1">
      <alignment horizontal="center" vertical="center"/>
    </xf>
    <xf numFmtId="165" fontId="3" fillId="0" borderId="17" xfId="2" applyNumberFormat="1" applyFont="1" applyFill="1" applyBorder="1"/>
    <xf numFmtId="0" fontId="3" fillId="0" borderId="20" xfId="2" applyFont="1" applyFill="1" applyBorder="1" applyAlignment="1">
      <alignment horizontal="center"/>
    </xf>
    <xf numFmtId="0" fontId="3" fillId="0" borderId="0" xfId="2" applyFont="1" applyFill="1"/>
    <xf numFmtId="0" fontId="9" fillId="0" borderId="5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8" fillId="0" borderId="40" xfId="2" applyFont="1" applyBorder="1" applyAlignment="1">
      <alignment horizont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wrapText="1"/>
    </xf>
    <xf numFmtId="43" fontId="9" fillId="0" borderId="0" xfId="10" applyNumberFormat="1" applyFont="1" applyFill="1" applyBorder="1"/>
    <xf numFmtId="4" fontId="8" fillId="0" borderId="11" xfId="2" applyNumberFormat="1" applyFont="1" applyFill="1" applyBorder="1"/>
    <xf numFmtId="0" fontId="8" fillId="0" borderId="40" xfId="2" applyFont="1" applyBorder="1" applyAlignment="1">
      <alignment horizontal="center"/>
    </xf>
    <xf numFmtId="44" fontId="8" fillId="0" borderId="0" xfId="2" applyNumberFormat="1" applyFont="1"/>
    <xf numFmtId="0" fontId="9" fillId="0" borderId="5" xfId="2" applyFont="1" applyFill="1" applyBorder="1" applyAlignment="1">
      <alignment horizontal="center" wrapText="1"/>
    </xf>
    <xf numFmtId="0" fontId="8" fillId="0" borderId="5" xfId="2" applyFont="1" applyBorder="1" applyAlignment="1">
      <alignment horizontal="left" wrapText="1"/>
    </xf>
    <xf numFmtId="0" fontId="8" fillId="0" borderId="40" xfId="2" applyFont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4" fontId="15" fillId="3" borderId="6" xfId="0" applyNumberFormat="1" applyFont="1" applyFill="1" applyBorder="1" applyAlignment="1">
      <alignment horizontal="center" vertical="center"/>
    </xf>
    <xf numFmtId="43" fontId="9" fillId="0" borderId="5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65" fontId="8" fillId="0" borderId="11" xfId="2" applyNumberFormat="1" applyFont="1" applyFill="1" applyBorder="1"/>
    <xf numFmtId="4" fontId="8" fillId="3" borderId="30" xfId="2" applyNumberFormat="1" applyFont="1" applyFill="1" applyBorder="1"/>
    <xf numFmtId="43" fontId="9" fillId="5" borderId="48" xfId="2" applyNumberFormat="1" applyFont="1" applyFill="1" applyBorder="1" applyAlignment="1">
      <alignment vertical="center"/>
    </xf>
    <xf numFmtId="43" fontId="8" fillId="0" borderId="20" xfId="2" applyNumberFormat="1" applyFont="1" applyBorder="1" applyAlignment="1">
      <alignment horizontal="center"/>
    </xf>
    <xf numFmtId="0" fontId="9" fillId="5" borderId="8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0" fontId="8" fillId="0" borderId="35" xfId="2" applyFont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8" fillId="0" borderId="32" xfId="2" applyFont="1" applyBorder="1" applyAlignment="1">
      <alignment horizontal="left" wrapText="1"/>
    </xf>
    <xf numFmtId="0" fontId="8" fillId="0" borderId="40" xfId="2" applyFont="1" applyBorder="1" applyAlignment="1">
      <alignment horizontal="left" wrapText="1"/>
    </xf>
    <xf numFmtId="0" fontId="9" fillId="3" borderId="26" xfId="2" applyFont="1" applyFill="1" applyBorder="1" applyAlignment="1">
      <alignment horizontal="left" wrapText="1"/>
    </xf>
    <xf numFmtId="0" fontId="9" fillId="3" borderId="37" xfId="2" applyFont="1" applyFill="1" applyBorder="1" applyAlignment="1">
      <alignment horizontal="left" wrapText="1"/>
    </xf>
    <xf numFmtId="0" fontId="8" fillId="0" borderId="29" xfId="2" applyFont="1" applyBorder="1" applyAlignment="1">
      <alignment horizontal="center" wrapText="1"/>
    </xf>
    <xf numFmtId="0" fontId="8" fillId="0" borderId="21" xfId="2" applyFont="1" applyBorder="1" applyAlignment="1">
      <alignment horizontal="center" wrapText="1"/>
    </xf>
    <xf numFmtId="0" fontId="8" fillId="0" borderId="30" xfId="2" applyFont="1" applyBorder="1" applyAlignment="1">
      <alignment horizontal="center" wrapText="1"/>
    </xf>
    <xf numFmtId="0" fontId="8" fillId="0" borderId="35" xfId="2" applyFont="1" applyBorder="1" applyAlignment="1">
      <alignment horizontal="center" wrapText="1"/>
    </xf>
    <xf numFmtId="0" fontId="8" fillId="0" borderId="29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9" fillId="3" borderId="43" xfId="2" applyFont="1" applyFill="1" applyBorder="1" applyAlignment="1">
      <alignment horizontal="left" wrapText="1"/>
    </xf>
    <xf numFmtId="0" fontId="9" fillId="3" borderId="25" xfId="2" applyFont="1" applyFill="1" applyBorder="1" applyAlignment="1">
      <alignment horizontal="left" wrapText="1"/>
    </xf>
    <xf numFmtId="0" fontId="8" fillId="5" borderId="25" xfId="1" applyFont="1" applyFill="1" applyBorder="1" applyAlignment="1">
      <alignment horizontal="center"/>
    </xf>
    <xf numFmtId="0" fontId="8" fillId="5" borderId="35" xfId="1" applyFont="1" applyFill="1" applyBorder="1" applyAlignment="1">
      <alignment horizontal="center"/>
    </xf>
    <xf numFmtId="0" fontId="9" fillId="5" borderId="23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164" fontId="9" fillId="5" borderId="23" xfId="1" applyNumberFormat="1" applyFont="1" applyFill="1" applyBorder="1" applyAlignment="1">
      <alignment horizontal="center" vertical="center" wrapText="1"/>
    </xf>
    <xf numFmtId="164" fontId="9" fillId="5" borderId="17" xfId="1" applyNumberFormat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wrapText="1"/>
    </xf>
    <xf numFmtId="0" fontId="9" fillId="5" borderId="38" xfId="1" applyFont="1" applyFill="1" applyBorder="1" applyAlignment="1">
      <alignment horizontal="center" wrapText="1"/>
    </xf>
    <xf numFmtId="0" fontId="9" fillId="5" borderId="39" xfId="1" applyFont="1" applyFill="1" applyBorder="1" applyAlignment="1">
      <alignment horizontal="center" wrapText="1"/>
    </xf>
    <xf numFmtId="0" fontId="9" fillId="5" borderId="8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left" wrapText="1"/>
    </xf>
    <xf numFmtId="0" fontId="9" fillId="3" borderId="36" xfId="2" applyFont="1" applyFill="1" applyBorder="1" applyAlignment="1">
      <alignment horizontal="left" vertical="center" wrapText="1"/>
    </xf>
    <xf numFmtId="0" fontId="9" fillId="3" borderId="37" xfId="2" applyFont="1" applyFill="1" applyBorder="1" applyAlignment="1">
      <alignment horizontal="left" vertical="center" wrapText="1"/>
    </xf>
    <xf numFmtId="0" fontId="9" fillId="3" borderId="19" xfId="2" applyFont="1" applyFill="1" applyBorder="1" applyAlignment="1">
      <alignment horizontal="left" wrapText="1"/>
    </xf>
    <xf numFmtId="0" fontId="8" fillId="0" borderId="47" xfId="2" applyFont="1" applyBorder="1" applyAlignment="1">
      <alignment horizontal="center"/>
    </xf>
    <xf numFmtId="0" fontId="8" fillId="0" borderId="45" xfId="2" applyFont="1" applyBorder="1" applyAlignment="1">
      <alignment horizontal="center"/>
    </xf>
    <xf numFmtId="0" fontId="8" fillId="0" borderId="40" xfId="2" applyFont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2" borderId="17" xfId="2" applyFont="1" applyFill="1" applyBorder="1" applyAlignment="1">
      <alignment horizontal="center" wrapText="1"/>
    </xf>
    <xf numFmtId="0" fontId="14" fillId="4" borderId="13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7" xfId="2" applyFont="1" applyFill="1" applyBorder="1" applyAlignment="1">
      <alignment horizontal="left" wrapText="1"/>
    </xf>
    <xf numFmtId="0" fontId="14" fillId="4" borderId="27" xfId="2" applyFont="1" applyFill="1" applyBorder="1" applyAlignment="1">
      <alignment horizontal="center" vertical="center"/>
    </xf>
    <xf numFmtId="0" fontId="14" fillId="4" borderId="13" xfId="2" applyFont="1" applyFill="1" applyBorder="1" applyAlignment="1">
      <alignment horizontal="center" vertical="center"/>
    </xf>
    <xf numFmtId="0" fontId="14" fillId="4" borderId="28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5" fontId="9" fillId="3" borderId="2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 wrapText="1"/>
    </xf>
    <xf numFmtId="0" fontId="9" fillId="5" borderId="5" xfId="2" applyFont="1" applyFill="1" applyBorder="1" applyAlignment="1">
      <alignment horizontal="center" vertical="center" wrapText="1"/>
    </xf>
    <xf numFmtId="0" fontId="8" fillId="3" borderId="21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/>
    </xf>
    <xf numFmtId="1" fontId="9" fillId="5" borderId="5" xfId="2" applyNumberFormat="1" applyFont="1" applyFill="1" applyBorder="1" applyAlignment="1">
      <alignment horizontal="center" vertical="center"/>
    </xf>
    <xf numFmtId="4" fontId="9" fillId="5" borderId="5" xfId="2" applyNumberFormat="1" applyFont="1" applyFill="1" applyBorder="1" applyAlignment="1">
      <alignment vertical="center"/>
    </xf>
    <xf numFmtId="0" fontId="0" fillId="0" borderId="49" xfId="0" applyBorder="1"/>
    <xf numFmtId="167" fontId="0" fillId="3" borderId="5" xfId="0" applyNumberFormat="1" applyFill="1" applyBorder="1"/>
    <xf numFmtId="0" fontId="0" fillId="0" borderId="14" xfId="0" applyBorder="1"/>
    <xf numFmtId="4" fontId="8" fillId="3" borderId="3" xfId="2" applyNumberFormat="1" applyFont="1" applyFill="1" applyBorder="1"/>
    <xf numFmtId="4" fontId="9" fillId="5" borderId="6" xfId="2" applyNumberFormat="1" applyFont="1" applyFill="1" applyBorder="1" applyAlignment="1">
      <alignment vertical="center"/>
    </xf>
  </cellXfs>
  <cellStyles count="12">
    <cellStyle name="Millares" xfId="10" builtinId="3"/>
    <cellStyle name="Millares 2" xfId="5"/>
    <cellStyle name="Moneda" xfId="11" builtinId="4"/>
    <cellStyle name="Moneda 3" xfId="3"/>
    <cellStyle name="Normal" xfId="0" builtinId="0"/>
    <cellStyle name="Normal 2" xfId="2"/>
    <cellStyle name="Normal 2 2" xfId="6"/>
    <cellStyle name="Normal 2 3" xfId="8"/>
    <cellStyle name="Normal 3" xfId="9"/>
    <cellStyle name="Normal 3 10" xfId="7"/>
    <cellStyle name="Normal 4" xfId="1"/>
    <cellStyle name="Normal 5" xfId="4"/>
  </cellStyles>
  <dxfs count="0"/>
  <tableStyles count="0" defaultTableStyle="TableStyleMedium2" defaultPivotStyle="PivotStyleLight16"/>
  <colors>
    <mruColors>
      <color rgb="FF00FF00"/>
      <color rgb="FFFF1919"/>
      <color rgb="FF15FFF4"/>
      <color rgb="FF3F0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484733</xdr:colOff>
      <xdr:row>0</xdr:row>
      <xdr:rowOff>112059</xdr:rowOff>
    </xdr:from>
    <xdr:to>
      <xdr:col>3</xdr:col>
      <xdr:colOff>823267</xdr:colOff>
      <xdr:row>4</xdr:row>
      <xdr:rowOff>136380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8688" y="112059"/>
          <a:ext cx="2208897" cy="90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A465"/>
  <sheetViews>
    <sheetView tabSelected="1" zoomScale="85" zoomScaleNormal="85" zoomScaleSheetLayoutView="55" workbookViewId="0">
      <pane ySplit="15" topLeftCell="A16" activePane="bottomLeft" state="frozen"/>
      <selection pane="bottomLeft" activeCell="F17" activeCellId="1" sqref="G15:R15 F17"/>
    </sheetView>
  </sheetViews>
  <sheetFormatPr baseColWidth="10" defaultRowHeight="15" x14ac:dyDescent="0.25"/>
  <cols>
    <col min="1" max="1" width="0.7109375" customWidth="1"/>
    <col min="2" max="2" width="11.42578125" customWidth="1"/>
    <col min="3" max="3" width="28" customWidth="1"/>
    <col min="4" max="4" width="12.42578125" customWidth="1"/>
    <col min="5" max="5" width="13.7109375" customWidth="1"/>
    <col min="6" max="6" width="20.140625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bestFit="1" customWidth="1"/>
    <col min="15" max="15" width="18.5703125" bestFit="1" customWidth="1"/>
    <col min="16" max="16" width="17.42578125" bestFit="1" customWidth="1"/>
    <col min="17" max="17" width="17.42578125" customWidth="1"/>
    <col min="18" max="18" width="18.7109375" customWidth="1"/>
    <col min="19" max="19" width="15.85546875" hidden="1" customWidth="1"/>
    <col min="20" max="20" width="17.140625" hidden="1" customWidth="1"/>
    <col min="21" max="21" width="15.28515625" customWidth="1"/>
    <col min="22" max="22" width="16.42578125" customWidth="1"/>
    <col min="23" max="23" width="15.42578125" customWidth="1"/>
    <col min="24" max="26" width="11.5703125" customWidth="1"/>
    <col min="27" max="27" width="32.85546875" bestFit="1" customWidth="1"/>
  </cols>
  <sheetData>
    <row r="2" spans="2:27" x14ac:dyDescent="0.25">
      <c r="F2" s="4"/>
      <c r="G2" s="4"/>
      <c r="H2" s="4"/>
      <c r="I2" s="4"/>
      <c r="J2" s="4"/>
      <c r="K2" s="4"/>
      <c r="L2" s="4"/>
      <c r="M2" s="4"/>
      <c r="N2" s="4"/>
      <c r="O2" s="4"/>
    </row>
    <row r="3" spans="2:27" ht="21" x14ac:dyDescent="0.35">
      <c r="B3" s="488" t="s">
        <v>152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</row>
    <row r="4" spans="2:27" ht="21" x14ac:dyDescent="0.35">
      <c r="B4" s="488" t="s">
        <v>30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</row>
    <row r="6" spans="2:27" ht="15.75" x14ac:dyDescent="0.25">
      <c r="C6" s="5" t="s">
        <v>26</v>
      </c>
      <c r="D6" s="6"/>
      <c r="E6" s="5"/>
      <c r="F6" s="6"/>
    </row>
    <row r="7" spans="2:27" ht="15.75" x14ac:dyDescent="0.25">
      <c r="C7" s="5" t="s">
        <v>30</v>
      </c>
      <c r="D7" s="2"/>
      <c r="E7" s="5"/>
      <c r="F7" s="2"/>
    </row>
    <row r="8" spans="2:27" ht="15.75" x14ac:dyDescent="0.25">
      <c r="C8" s="5" t="s">
        <v>27</v>
      </c>
      <c r="D8" s="2"/>
      <c r="E8" s="5"/>
      <c r="F8" s="2"/>
      <c r="I8" s="171"/>
      <c r="L8" s="1"/>
      <c r="M8" s="171"/>
      <c r="N8" s="279"/>
    </row>
    <row r="9" spans="2:27" ht="15.75" x14ac:dyDescent="0.25">
      <c r="C9" s="5" t="s">
        <v>28</v>
      </c>
      <c r="D9" s="2"/>
      <c r="E9" s="5"/>
      <c r="F9" s="2"/>
      <c r="H9" s="1"/>
    </row>
    <row r="10" spans="2:27" ht="16.5" thickBot="1" x14ac:dyDescent="0.3">
      <c r="C10" s="5"/>
      <c r="D10" s="2"/>
      <c r="E10" s="5"/>
      <c r="F10" s="2"/>
      <c r="H10" s="1"/>
      <c r="M10" s="1"/>
      <c r="Q10" s="1"/>
      <c r="R10" s="1"/>
    </row>
    <row r="11" spans="2:27" ht="66" customHeight="1" thickBot="1" x14ac:dyDescent="0.3">
      <c r="B11" s="491" t="s">
        <v>136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3"/>
      <c r="V11" s="242"/>
      <c r="AA11" s="295"/>
    </row>
    <row r="12" spans="2:27" x14ac:dyDescent="0.25">
      <c r="B12" s="49"/>
      <c r="C12" s="494" t="s">
        <v>0</v>
      </c>
      <c r="D12" s="496" t="s">
        <v>1</v>
      </c>
      <c r="E12" s="496" t="s">
        <v>2</v>
      </c>
      <c r="F12" s="498" t="s">
        <v>31</v>
      </c>
      <c r="G12" s="500" t="s">
        <v>4</v>
      </c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1"/>
    </row>
    <row r="13" spans="2:27" ht="23.25" customHeight="1" x14ac:dyDescent="0.25">
      <c r="B13" s="50"/>
      <c r="C13" s="495"/>
      <c r="D13" s="497"/>
      <c r="E13" s="497"/>
      <c r="F13" s="499"/>
      <c r="G13" s="51" t="s">
        <v>6</v>
      </c>
      <c r="H13" s="51" t="s">
        <v>7</v>
      </c>
      <c r="I13" s="51" t="s">
        <v>8</v>
      </c>
      <c r="J13" s="51" t="s">
        <v>9</v>
      </c>
      <c r="K13" s="51" t="s">
        <v>10</v>
      </c>
      <c r="L13" s="51" t="s">
        <v>11</v>
      </c>
      <c r="M13" s="51" t="s">
        <v>12</v>
      </c>
      <c r="N13" s="51" t="s">
        <v>13</v>
      </c>
      <c r="O13" s="51" t="s">
        <v>22</v>
      </c>
      <c r="P13" s="51" t="s">
        <v>23</v>
      </c>
      <c r="Q13" s="51" t="s">
        <v>24</v>
      </c>
      <c r="R13" s="52" t="s">
        <v>25</v>
      </c>
      <c r="S13" t="s">
        <v>114</v>
      </c>
    </row>
    <row r="14" spans="2:27" ht="15" customHeight="1" x14ac:dyDescent="0.25">
      <c r="B14" s="50"/>
      <c r="C14" s="269" t="s">
        <v>32</v>
      </c>
      <c r="D14" s="53"/>
      <c r="E14" s="54"/>
      <c r="F14" s="53"/>
      <c r="G14" s="55"/>
      <c r="H14" s="55"/>
      <c r="I14" s="55"/>
      <c r="J14" s="55"/>
      <c r="K14" s="55"/>
      <c r="L14" s="293"/>
      <c r="M14" s="55"/>
      <c r="N14" s="327"/>
      <c r="O14" s="55"/>
      <c r="P14" s="412"/>
      <c r="Q14" s="410"/>
      <c r="R14" s="442"/>
      <c r="S14" s="1"/>
      <c r="T14" s="1">
        <v>150664.15</v>
      </c>
    </row>
    <row r="15" spans="2:27" ht="15.75" thickBot="1" x14ac:dyDescent="0.3">
      <c r="B15" s="56"/>
      <c r="C15" s="57" t="s">
        <v>138</v>
      </c>
      <c r="D15" s="58"/>
      <c r="E15" s="59">
        <f>E20+E349+E379+E392</f>
        <v>1192</v>
      </c>
      <c r="F15" s="60">
        <f>F22+F39+F52+F161+F230+F246+F285+F315+F351+F376+F381+F385+F389+F394</f>
        <v>28074614</v>
      </c>
      <c r="G15" s="60">
        <f t="shared" ref="G15:R15" si="0">G20+G349+G379+G392</f>
        <v>2330841.9500000002</v>
      </c>
      <c r="H15" s="60">
        <f t="shared" si="0"/>
        <v>2118976.7000000002</v>
      </c>
      <c r="I15" s="60">
        <f t="shared" si="0"/>
        <v>2337089.09</v>
      </c>
      <c r="J15" s="60">
        <f t="shared" si="0"/>
        <v>2244757.7999999998</v>
      </c>
      <c r="K15" s="60">
        <f t="shared" si="0"/>
        <v>2591626.14</v>
      </c>
      <c r="L15" s="60">
        <f t="shared" si="0"/>
        <v>2282830.67</v>
      </c>
      <c r="M15" s="60">
        <f t="shared" si="0"/>
        <v>2325936.81</v>
      </c>
      <c r="N15" s="60">
        <f t="shared" si="0"/>
        <v>2374833.2999999998</v>
      </c>
      <c r="O15" s="60">
        <f t="shared" si="0"/>
        <v>2272191.6</v>
      </c>
      <c r="P15" s="60">
        <f t="shared" si="0"/>
        <v>2376253.88</v>
      </c>
      <c r="Q15" s="60">
        <f t="shared" si="0"/>
        <v>2309971.44</v>
      </c>
      <c r="R15" s="364">
        <f t="shared" si="0"/>
        <v>2358640.4700000002</v>
      </c>
      <c r="S15" s="48">
        <f>SUM(G15:R15)</f>
        <v>27923949.850000001</v>
      </c>
      <c r="T15" s="48">
        <f>+T14-T52</f>
        <v>0</v>
      </c>
      <c r="V15" s="247"/>
    </row>
    <row r="16" spans="2:27" x14ac:dyDescent="0.25">
      <c r="B16" s="349"/>
      <c r="C16" s="61" t="s">
        <v>115</v>
      </c>
      <c r="D16" s="62"/>
      <c r="E16" s="63"/>
      <c r="F16" s="263">
        <f>F15-F17</f>
        <v>27923949.850000001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365"/>
      <c r="T16" s="48">
        <f>F16</f>
        <v>27923949.850000001</v>
      </c>
      <c r="V16" s="247"/>
    </row>
    <row r="17" spans="1:24" x14ac:dyDescent="0.25">
      <c r="A17" s="348"/>
      <c r="B17" s="346"/>
      <c r="C17" s="61" t="s">
        <v>29</v>
      </c>
      <c r="D17" s="62"/>
      <c r="E17" s="63"/>
      <c r="F17" s="263">
        <f>F37+F45+F50+F79+F104+F112+F122+F131+F140+F145+F153+F159+F189+F202+F222+F228+F244+F283+F313+F348+F374+F354+F358+F362+F366+F370+F378+F383+F387+F391+F405</f>
        <v>150664.15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366"/>
      <c r="T17" s="48">
        <f>+S15-T16</f>
        <v>0</v>
      </c>
      <c r="V17" s="247"/>
    </row>
    <row r="18" spans="1:24" x14ac:dyDescent="0.25">
      <c r="A18" s="348"/>
      <c r="B18" s="346"/>
      <c r="C18" s="264" t="s">
        <v>150</v>
      </c>
      <c r="D18" s="266"/>
      <c r="E18" s="267"/>
      <c r="F18" s="265">
        <f>F23+F41+F47+F81+F106+F114+F124+F133+F142+F163+F192+F217+F231+F247+F316+F54+F286+F156+F147+F395</f>
        <v>0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67"/>
      <c r="T18" s="48"/>
      <c r="V18" s="247"/>
    </row>
    <row r="19" spans="1:24" ht="15.75" thickBot="1" x14ac:dyDescent="0.3">
      <c r="A19" s="348"/>
      <c r="B19" s="347"/>
      <c r="C19" s="67"/>
      <c r="D19" s="68"/>
      <c r="E19" s="69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368"/>
      <c r="T19" s="48"/>
    </row>
    <row r="20" spans="1:24" x14ac:dyDescent="0.25">
      <c r="A20" s="348"/>
      <c r="B20" s="373"/>
      <c r="C20" s="71" t="s">
        <v>33</v>
      </c>
      <c r="D20" s="72"/>
      <c r="E20" s="73">
        <f t="shared" ref="E20:R20" si="1">E22+E39+E52+E161+E230+E285+E315+E246</f>
        <v>1154</v>
      </c>
      <c r="F20" s="74">
        <f t="shared" si="1"/>
        <v>27044614</v>
      </c>
      <c r="G20" s="74">
        <f t="shared" si="1"/>
        <v>2246346.4900000002</v>
      </c>
      <c r="H20" s="74">
        <f t="shared" si="1"/>
        <v>2042658.22</v>
      </c>
      <c r="I20" s="74">
        <f t="shared" si="1"/>
        <v>2252593.63</v>
      </c>
      <c r="J20" s="74">
        <f t="shared" si="1"/>
        <v>2165164.2000000002</v>
      </c>
      <c r="K20" s="74">
        <f t="shared" si="1"/>
        <v>2509524.5</v>
      </c>
      <c r="L20" s="74">
        <f t="shared" si="1"/>
        <v>2198884.67</v>
      </c>
      <c r="M20" s="74">
        <f t="shared" si="1"/>
        <v>2241441.35</v>
      </c>
      <c r="N20" s="74">
        <f t="shared" si="1"/>
        <v>2290337.84</v>
      </c>
      <c r="O20" s="74">
        <f t="shared" si="1"/>
        <v>2190421.7999999998</v>
      </c>
      <c r="P20" s="74">
        <f t="shared" si="1"/>
        <v>2291758.42</v>
      </c>
      <c r="Q20" s="74">
        <f t="shared" si="1"/>
        <v>2230343.64</v>
      </c>
      <c r="R20" s="333">
        <f t="shared" si="1"/>
        <v>2274287.81</v>
      </c>
    </row>
    <row r="21" spans="1:24" ht="39.75" customHeight="1" x14ac:dyDescent="0.25">
      <c r="A21" s="348"/>
      <c r="B21" s="374"/>
      <c r="C21" s="290" t="s">
        <v>34</v>
      </c>
      <c r="D21" s="75"/>
      <c r="E21" s="75"/>
      <c r="F21" s="76"/>
      <c r="G21" s="77"/>
      <c r="H21" s="78"/>
      <c r="I21" s="77"/>
      <c r="J21" s="77"/>
      <c r="K21" s="77"/>
      <c r="L21" s="77"/>
      <c r="M21" s="77"/>
      <c r="N21" s="77"/>
      <c r="O21" s="77"/>
      <c r="P21" s="77"/>
      <c r="Q21" s="77"/>
      <c r="R21" s="79"/>
      <c r="S21" s="1"/>
      <c r="X21" s="1"/>
    </row>
    <row r="22" spans="1:24" ht="26.25" customHeight="1" x14ac:dyDescent="0.25">
      <c r="A22" s="348"/>
      <c r="B22" s="375"/>
      <c r="C22" s="502" t="s">
        <v>35</v>
      </c>
      <c r="D22" s="502"/>
      <c r="E22" s="80">
        <f>SUM(E24:E37)</f>
        <v>35</v>
      </c>
      <c r="F22" s="170">
        <f>SUM(F24:F37)</f>
        <v>914466</v>
      </c>
      <c r="G22" s="170">
        <f t="shared" ref="G22:Q22" si="2">SUM(G24:G36)</f>
        <v>77831.08</v>
      </c>
      <c r="H22" s="170">
        <f t="shared" si="2"/>
        <v>70299.039999999994</v>
      </c>
      <c r="I22" s="170">
        <f t="shared" si="2"/>
        <v>77831.08</v>
      </c>
      <c r="J22" s="170">
        <f t="shared" si="2"/>
        <v>75320.399999999994</v>
      </c>
      <c r="K22" s="170">
        <f t="shared" si="2"/>
        <v>77831.08</v>
      </c>
      <c r="L22" s="170">
        <f t="shared" si="2"/>
        <v>73178.399999999994</v>
      </c>
      <c r="M22" s="170">
        <f t="shared" si="2"/>
        <v>75617.679999999993</v>
      </c>
      <c r="N22" s="170">
        <f t="shared" si="2"/>
        <v>77901.759999999995</v>
      </c>
      <c r="O22" s="310">
        <f t="shared" si="2"/>
        <v>72998.399999999994</v>
      </c>
      <c r="P22" s="170">
        <f t="shared" si="2"/>
        <v>75653.02</v>
      </c>
      <c r="Q22" s="170">
        <f t="shared" si="2"/>
        <v>75783</v>
      </c>
      <c r="R22" s="334">
        <f>SUM(R24:R37)</f>
        <v>75653.02</v>
      </c>
      <c r="V22" s="171"/>
    </row>
    <row r="23" spans="1:24" x14ac:dyDescent="0.25">
      <c r="A23" s="348"/>
      <c r="B23" s="350"/>
      <c r="C23" s="81"/>
      <c r="D23" s="81"/>
      <c r="E23" s="441" t="s">
        <v>151</v>
      </c>
      <c r="F23" s="443">
        <v>0</v>
      </c>
      <c r="G23" s="172"/>
      <c r="H23" s="172"/>
      <c r="I23" s="172"/>
      <c r="J23" s="172"/>
      <c r="K23" s="172"/>
      <c r="L23" s="172"/>
      <c r="M23" s="172"/>
      <c r="N23" s="311"/>
      <c r="O23" s="1"/>
      <c r="P23" s="172"/>
      <c r="Q23" s="172"/>
      <c r="R23" s="335"/>
      <c r="V23" s="171"/>
    </row>
    <row r="24" spans="1:24" x14ac:dyDescent="0.25">
      <c r="A24" s="348"/>
      <c r="B24" s="351">
        <v>2</v>
      </c>
      <c r="C24" s="268" t="s">
        <v>36</v>
      </c>
      <c r="D24" s="83">
        <v>71.400000000000006</v>
      </c>
      <c r="E24" s="84">
        <v>11</v>
      </c>
      <c r="F24" s="85">
        <f t="shared" ref="F24:F36" si="3">+E24*S24*D24</f>
        <v>286671</v>
      </c>
      <c r="G24" s="86">
        <f t="shared" ref="G24:G36" si="4">E24*D24*31</f>
        <v>24347.4</v>
      </c>
      <c r="H24" s="87">
        <f>E24*D24*28</f>
        <v>21991.200000000001</v>
      </c>
      <c r="I24" s="86">
        <f t="shared" ref="I24:I36" si="5">E24*D24*31</f>
        <v>24347.4</v>
      </c>
      <c r="J24" s="86">
        <f t="shared" ref="J24:J36" si="6">E24*D24*30</f>
        <v>23562</v>
      </c>
      <c r="K24" s="86">
        <f t="shared" ref="K24:K36" si="7">E24*D24*31</f>
        <v>24347.4</v>
      </c>
      <c r="L24" s="86">
        <f t="shared" ref="L24:L36" si="8">E24*D24*30</f>
        <v>23562</v>
      </c>
      <c r="M24" s="86">
        <f t="shared" ref="M24:M36" si="9">E24*D24*31</f>
        <v>24347.4</v>
      </c>
      <c r="N24" s="86">
        <f>E24*D24*31</f>
        <v>24347.4</v>
      </c>
      <c r="O24" s="86">
        <f>E24*D24*30</f>
        <v>23562</v>
      </c>
      <c r="P24" s="86">
        <f>E24*D24*31</f>
        <v>24347.4</v>
      </c>
      <c r="Q24" s="86">
        <f>E24*D24*30</f>
        <v>23562</v>
      </c>
      <c r="R24" s="102">
        <f>E24*D24*31</f>
        <v>24347.4</v>
      </c>
      <c r="S24">
        <v>365</v>
      </c>
    </row>
    <row r="25" spans="1:24" x14ac:dyDescent="0.25">
      <c r="A25" s="348"/>
      <c r="B25" s="440">
        <v>2</v>
      </c>
      <c r="C25" s="439" t="s">
        <v>36</v>
      </c>
      <c r="D25" s="83">
        <v>71.400000000000006</v>
      </c>
      <c r="E25" s="84">
        <v>1</v>
      </c>
      <c r="F25" s="85">
        <f t="shared" si="3"/>
        <v>23847.599999999999</v>
      </c>
      <c r="G25" s="86">
        <f t="shared" ref="G25" si="10">E25*D25*31</f>
        <v>2213.4</v>
      </c>
      <c r="H25" s="87">
        <f>E25*D25*28</f>
        <v>1999.2</v>
      </c>
      <c r="I25" s="86">
        <f t="shared" ref="I25" si="11">E25*D25*31</f>
        <v>2213.4</v>
      </c>
      <c r="J25" s="86">
        <f t="shared" ref="J25" si="12">E25*D25*30</f>
        <v>2142</v>
      </c>
      <c r="K25" s="86">
        <f t="shared" ref="K25" si="13">E25*D25*31</f>
        <v>2213.4</v>
      </c>
      <c r="L25" s="86">
        <f t="shared" ref="L25" si="14">E25*D25*30</f>
        <v>2142</v>
      </c>
      <c r="M25" s="86">
        <f t="shared" ref="M25" si="15">E25*D25*31</f>
        <v>2213.4</v>
      </c>
      <c r="N25" s="86">
        <f>E25*D25*31</f>
        <v>2213.4</v>
      </c>
      <c r="O25" s="86">
        <f>E25*D25*30</f>
        <v>2142</v>
      </c>
      <c r="P25" s="86">
        <f>E25*D25*31</f>
        <v>2213.4</v>
      </c>
      <c r="Q25" s="86">
        <f>E25*D25*30</f>
        <v>2142</v>
      </c>
      <c r="R25" s="102"/>
      <c r="S25">
        <f>365-31</f>
        <v>334</v>
      </c>
    </row>
    <row r="26" spans="1:24" s="245" customFormat="1" x14ac:dyDescent="0.25">
      <c r="A26" s="354"/>
      <c r="B26" s="329">
        <v>2</v>
      </c>
      <c r="C26" s="276" t="s">
        <v>36</v>
      </c>
      <c r="D26" s="271">
        <v>71.400000000000006</v>
      </c>
      <c r="E26" s="272">
        <v>1</v>
      </c>
      <c r="F26" s="308">
        <f t="shared" ref="F26" si="16">+E26*S26*D26</f>
        <v>19706.400000000001</v>
      </c>
      <c r="G26" s="261">
        <f t="shared" ref="G26" si="17">E26*D26*31</f>
        <v>2213.4</v>
      </c>
      <c r="H26" s="262">
        <f>E26*D26*28</f>
        <v>1999.2</v>
      </c>
      <c r="I26" s="261">
        <f t="shared" ref="I26" si="18">E26*D26*31</f>
        <v>2213.4</v>
      </c>
      <c r="J26" s="261">
        <f t="shared" ref="J26" si="19">E26*D26*30</f>
        <v>2142</v>
      </c>
      <c r="K26" s="261">
        <f t="shared" ref="K26" si="20">E26*D26*31</f>
        <v>2213.4</v>
      </c>
      <c r="L26" s="261">
        <f t="shared" ref="L26" si="21">E26*D26*30</f>
        <v>2142</v>
      </c>
      <c r="M26" s="261">
        <f t="shared" ref="M26" si="22">E26*D26*31</f>
        <v>2213.4</v>
      </c>
      <c r="N26" s="261">
        <v>0</v>
      </c>
      <c r="O26" s="261">
        <v>-214.2</v>
      </c>
      <c r="P26" s="261">
        <v>0</v>
      </c>
      <c r="Q26" s="261">
        <f>E26*D26*30+D26*E26*6</f>
        <v>2570.4</v>
      </c>
      <c r="R26" s="273">
        <f>E26*D26*31</f>
        <v>2213.4</v>
      </c>
      <c r="S26" s="245">
        <f>31+28+31+30+31+30+31+3+30+31</f>
        <v>276</v>
      </c>
      <c r="T26"/>
      <c r="U26"/>
    </row>
    <row r="27" spans="1:24" x14ac:dyDescent="0.25">
      <c r="A27" s="348"/>
      <c r="B27" s="351">
        <v>2</v>
      </c>
      <c r="C27" s="286" t="s">
        <v>36</v>
      </c>
      <c r="D27" s="83">
        <v>71.400000000000006</v>
      </c>
      <c r="E27" s="84">
        <v>1</v>
      </c>
      <c r="F27" s="85">
        <f t="shared" si="3"/>
        <v>10781.4</v>
      </c>
      <c r="G27" s="86">
        <f>E27*D27*31</f>
        <v>2213.4</v>
      </c>
      <c r="H27" s="87">
        <f>E27*D27*28</f>
        <v>1999.2</v>
      </c>
      <c r="I27" s="86">
        <f>E27*D27*31</f>
        <v>2213.4</v>
      </c>
      <c r="J27" s="86">
        <f>E27*D27*30</f>
        <v>2142</v>
      </c>
      <c r="K27" s="86">
        <f>E27*D27*31</f>
        <v>2213.4</v>
      </c>
      <c r="L27" s="86"/>
      <c r="M27" s="86"/>
      <c r="N27" s="172"/>
      <c r="O27" s="86"/>
      <c r="P27" s="86"/>
      <c r="Q27" s="86"/>
      <c r="R27" s="102"/>
      <c r="S27">
        <f>31+28+31+30+31</f>
        <v>151</v>
      </c>
    </row>
    <row r="28" spans="1:24" x14ac:dyDescent="0.25">
      <c r="A28" s="348"/>
      <c r="B28" s="351">
        <v>4</v>
      </c>
      <c r="C28" s="268" t="s">
        <v>15</v>
      </c>
      <c r="D28" s="83">
        <v>71.400000000000006</v>
      </c>
      <c r="E28" s="84">
        <v>4</v>
      </c>
      <c r="F28" s="85">
        <f t="shared" si="3"/>
        <v>104244</v>
      </c>
      <c r="G28" s="86">
        <f t="shared" si="4"/>
        <v>8853.6</v>
      </c>
      <c r="H28" s="87">
        <f t="shared" ref="H28:H36" si="23">E28*D28*28</f>
        <v>7996.8</v>
      </c>
      <c r="I28" s="86">
        <f t="shared" si="5"/>
        <v>8853.6</v>
      </c>
      <c r="J28" s="86">
        <f t="shared" si="6"/>
        <v>8568</v>
      </c>
      <c r="K28" s="86">
        <f t="shared" si="7"/>
        <v>8853.6</v>
      </c>
      <c r="L28" s="86">
        <f t="shared" si="8"/>
        <v>8568</v>
      </c>
      <c r="M28" s="86">
        <f t="shared" si="9"/>
        <v>8853.6</v>
      </c>
      <c r="N28" s="86">
        <f>E28*D28*31</f>
        <v>8853.6</v>
      </c>
      <c r="O28" s="86">
        <f t="shared" ref="O28:O36" si="24">E28*D28*30</f>
        <v>8568</v>
      </c>
      <c r="P28" s="86">
        <f t="shared" ref="P28:P36" si="25">E28*D28*31</f>
        <v>8853.6</v>
      </c>
      <c r="Q28" s="86">
        <f t="shared" ref="Q28:Q36" si="26">E28*D28*30</f>
        <v>8568</v>
      </c>
      <c r="R28" s="102">
        <f t="shared" ref="R28:R36" si="27">E28*D28*31</f>
        <v>8853.6</v>
      </c>
      <c r="S28">
        <v>365</v>
      </c>
    </row>
    <row r="29" spans="1:24" x14ac:dyDescent="0.25">
      <c r="A29" s="348"/>
      <c r="B29" s="351">
        <v>5</v>
      </c>
      <c r="C29" s="268" t="s">
        <v>19</v>
      </c>
      <c r="D29" s="83">
        <v>72.540000000000006</v>
      </c>
      <c r="E29" s="84">
        <v>1</v>
      </c>
      <c r="F29" s="85">
        <f t="shared" si="3"/>
        <v>26477.1</v>
      </c>
      <c r="G29" s="86">
        <f t="shared" si="4"/>
        <v>2248.7399999999998</v>
      </c>
      <c r="H29" s="87">
        <f t="shared" si="23"/>
        <v>2031.12</v>
      </c>
      <c r="I29" s="86">
        <f t="shared" si="5"/>
        <v>2248.7399999999998</v>
      </c>
      <c r="J29" s="86">
        <f t="shared" si="6"/>
        <v>2176.1999999999998</v>
      </c>
      <c r="K29" s="86">
        <f t="shared" si="7"/>
        <v>2248.7399999999998</v>
      </c>
      <c r="L29" s="86">
        <f t="shared" si="8"/>
        <v>2176.1999999999998</v>
      </c>
      <c r="M29" s="86">
        <f t="shared" si="9"/>
        <v>2248.7399999999998</v>
      </c>
      <c r="N29" s="86">
        <f>E29*D29*31</f>
        <v>2248.7399999999998</v>
      </c>
      <c r="O29" s="86">
        <f t="shared" si="24"/>
        <v>2176.1999999999998</v>
      </c>
      <c r="P29" s="86">
        <f t="shared" si="25"/>
        <v>2248.7399999999998</v>
      </c>
      <c r="Q29" s="86">
        <f t="shared" si="26"/>
        <v>2176.1999999999998</v>
      </c>
      <c r="R29" s="102">
        <f t="shared" si="27"/>
        <v>2248.7399999999998</v>
      </c>
      <c r="S29">
        <v>365</v>
      </c>
    </row>
    <row r="30" spans="1:24" x14ac:dyDescent="0.25">
      <c r="A30" s="348"/>
      <c r="B30" s="351">
        <v>5</v>
      </c>
      <c r="C30" s="268" t="s">
        <v>54</v>
      </c>
      <c r="D30" s="83">
        <v>78.25</v>
      </c>
      <c r="E30" s="84">
        <v>1</v>
      </c>
      <c r="F30" s="85">
        <f t="shared" si="3"/>
        <v>28561.25</v>
      </c>
      <c r="G30" s="86">
        <f t="shared" si="4"/>
        <v>2425.75</v>
      </c>
      <c r="H30" s="87">
        <f t="shared" si="23"/>
        <v>2191</v>
      </c>
      <c r="I30" s="86">
        <f t="shared" si="5"/>
        <v>2425.75</v>
      </c>
      <c r="J30" s="86">
        <f t="shared" si="6"/>
        <v>2347.5</v>
      </c>
      <c r="K30" s="86">
        <f t="shared" si="7"/>
        <v>2425.75</v>
      </c>
      <c r="L30" s="86">
        <f t="shared" si="8"/>
        <v>2347.5</v>
      </c>
      <c r="M30" s="86">
        <f t="shared" si="9"/>
        <v>2425.75</v>
      </c>
      <c r="N30" s="86">
        <f>E30*D30*31</f>
        <v>2425.75</v>
      </c>
      <c r="O30" s="86">
        <f t="shared" si="24"/>
        <v>2347.5</v>
      </c>
      <c r="P30" s="86">
        <f t="shared" si="25"/>
        <v>2425.75</v>
      </c>
      <c r="Q30" s="86">
        <f t="shared" si="26"/>
        <v>2347.5</v>
      </c>
      <c r="R30" s="102">
        <f t="shared" si="27"/>
        <v>2425.75</v>
      </c>
      <c r="S30">
        <v>365</v>
      </c>
    </row>
    <row r="31" spans="1:24" x14ac:dyDescent="0.25">
      <c r="A31" s="348"/>
      <c r="B31" s="351">
        <v>6</v>
      </c>
      <c r="C31" s="268" t="s">
        <v>18</v>
      </c>
      <c r="D31" s="83">
        <v>72.540000000000006</v>
      </c>
      <c r="E31" s="84">
        <v>1</v>
      </c>
      <c r="F31" s="85">
        <f t="shared" si="3"/>
        <v>26477.1</v>
      </c>
      <c r="G31" s="86">
        <f t="shared" si="4"/>
        <v>2248.7399999999998</v>
      </c>
      <c r="H31" s="87">
        <f t="shared" si="23"/>
        <v>2031.12</v>
      </c>
      <c r="I31" s="86">
        <f t="shared" si="5"/>
        <v>2248.7399999999998</v>
      </c>
      <c r="J31" s="86">
        <f t="shared" si="6"/>
        <v>2176.1999999999998</v>
      </c>
      <c r="K31" s="86">
        <f t="shared" si="7"/>
        <v>2248.7399999999998</v>
      </c>
      <c r="L31" s="86">
        <f t="shared" si="8"/>
        <v>2176.1999999999998</v>
      </c>
      <c r="M31" s="86">
        <f t="shared" si="9"/>
        <v>2248.7399999999998</v>
      </c>
      <c r="N31" s="86">
        <f>E31*D31*31</f>
        <v>2248.7399999999998</v>
      </c>
      <c r="O31" s="86">
        <f t="shared" si="24"/>
        <v>2176.1999999999998</v>
      </c>
      <c r="P31" s="86">
        <f t="shared" si="25"/>
        <v>2248.7399999999998</v>
      </c>
      <c r="Q31" s="86">
        <f t="shared" si="26"/>
        <v>2176.1999999999998</v>
      </c>
      <c r="R31" s="102">
        <f t="shared" si="27"/>
        <v>2248.7399999999998</v>
      </c>
      <c r="S31">
        <v>365</v>
      </c>
    </row>
    <row r="32" spans="1:24" x14ac:dyDescent="0.25">
      <c r="A32" s="348"/>
      <c r="B32" s="351">
        <v>8</v>
      </c>
      <c r="C32" s="268" t="s">
        <v>18</v>
      </c>
      <c r="D32" s="83">
        <v>73.59</v>
      </c>
      <c r="E32" s="84">
        <v>1</v>
      </c>
      <c r="F32" s="85">
        <f t="shared" si="3"/>
        <v>26860.35</v>
      </c>
      <c r="G32" s="86">
        <f t="shared" si="4"/>
        <v>2281.29</v>
      </c>
      <c r="H32" s="87">
        <f t="shared" si="23"/>
        <v>2060.52</v>
      </c>
      <c r="I32" s="86">
        <f t="shared" si="5"/>
        <v>2281.29</v>
      </c>
      <c r="J32" s="86">
        <f t="shared" si="6"/>
        <v>2207.6999999999998</v>
      </c>
      <c r="K32" s="86">
        <f t="shared" si="7"/>
        <v>2281.29</v>
      </c>
      <c r="L32" s="86">
        <f t="shared" si="8"/>
        <v>2207.6999999999998</v>
      </c>
      <c r="M32" s="86">
        <f t="shared" si="9"/>
        <v>2281.29</v>
      </c>
      <c r="N32" s="86">
        <f>E32*D32*31</f>
        <v>2281.29</v>
      </c>
      <c r="O32" s="86">
        <f t="shared" si="24"/>
        <v>2207.6999999999998</v>
      </c>
      <c r="P32" s="86">
        <f t="shared" si="25"/>
        <v>2281.29</v>
      </c>
      <c r="Q32" s="86">
        <f t="shared" si="26"/>
        <v>2207.6999999999998</v>
      </c>
      <c r="R32" s="102">
        <f t="shared" si="27"/>
        <v>2281.29</v>
      </c>
      <c r="S32">
        <v>365</v>
      </c>
    </row>
    <row r="33" spans="1:22" s="245" customFormat="1" x14ac:dyDescent="0.25">
      <c r="A33" s="354"/>
      <c r="B33" s="329">
        <v>9</v>
      </c>
      <c r="C33" s="276" t="s">
        <v>85</v>
      </c>
      <c r="D33" s="271">
        <v>72.540000000000006</v>
      </c>
      <c r="E33" s="272">
        <v>1</v>
      </c>
      <c r="F33" s="308">
        <f t="shared" si="3"/>
        <v>13347.36</v>
      </c>
      <c r="G33" s="261"/>
      <c r="H33" s="262"/>
      <c r="I33" s="261"/>
      <c r="J33" s="261"/>
      <c r="K33" s="261"/>
      <c r="L33" s="261"/>
      <c r="M33" s="261"/>
      <c r="N33" s="261">
        <f>E33*D33*31+D33*E33*31</f>
        <v>4497.4799999999996</v>
      </c>
      <c r="O33" s="261">
        <f t="shared" si="24"/>
        <v>2176.1999999999998</v>
      </c>
      <c r="P33" s="261">
        <f t="shared" si="25"/>
        <v>2248.7399999999998</v>
      </c>
      <c r="Q33" s="261">
        <f t="shared" si="26"/>
        <v>2176.1999999999998</v>
      </c>
      <c r="R33" s="273">
        <f t="shared" si="27"/>
        <v>2248.7399999999998</v>
      </c>
      <c r="S33" s="245">
        <f>31+31+30+31+30+31</f>
        <v>184</v>
      </c>
      <c r="T33"/>
      <c r="U33"/>
    </row>
    <row r="34" spans="1:22" x14ac:dyDescent="0.25">
      <c r="A34" s="348"/>
      <c r="B34" s="351">
        <v>11</v>
      </c>
      <c r="C34" s="268" t="s">
        <v>37</v>
      </c>
      <c r="D34" s="83">
        <v>75.64</v>
      </c>
      <c r="E34" s="84">
        <v>5</v>
      </c>
      <c r="F34" s="88">
        <f t="shared" si="3"/>
        <v>138043</v>
      </c>
      <c r="G34" s="86">
        <f t="shared" si="4"/>
        <v>11724.2</v>
      </c>
      <c r="H34" s="87">
        <f t="shared" si="23"/>
        <v>10589.6</v>
      </c>
      <c r="I34" s="86">
        <f t="shared" si="5"/>
        <v>11724.2</v>
      </c>
      <c r="J34" s="86">
        <f t="shared" si="6"/>
        <v>11346</v>
      </c>
      <c r="K34" s="86">
        <f t="shared" si="7"/>
        <v>11724.2</v>
      </c>
      <c r="L34" s="86">
        <f t="shared" si="8"/>
        <v>11346</v>
      </c>
      <c r="M34" s="86">
        <f t="shared" si="9"/>
        <v>11724.2</v>
      </c>
      <c r="N34" s="86">
        <f>E34*D34*31</f>
        <v>11724.2</v>
      </c>
      <c r="O34" s="86">
        <f t="shared" si="24"/>
        <v>11346</v>
      </c>
      <c r="P34" s="86">
        <f t="shared" si="25"/>
        <v>11724.2</v>
      </c>
      <c r="Q34" s="86">
        <f t="shared" si="26"/>
        <v>11346</v>
      </c>
      <c r="R34" s="102">
        <f t="shared" si="27"/>
        <v>11724.2</v>
      </c>
      <c r="S34">
        <v>365</v>
      </c>
    </row>
    <row r="35" spans="1:22" ht="12.75" customHeight="1" x14ac:dyDescent="0.25">
      <c r="A35" s="348"/>
      <c r="B35" s="351">
        <v>12</v>
      </c>
      <c r="C35" s="268" t="s">
        <v>38</v>
      </c>
      <c r="D35" s="83">
        <v>75.64</v>
      </c>
      <c r="E35" s="84">
        <v>3</v>
      </c>
      <c r="F35" s="85">
        <f t="shared" si="3"/>
        <v>82825.8</v>
      </c>
      <c r="G35" s="86">
        <f t="shared" si="4"/>
        <v>7034.52</v>
      </c>
      <c r="H35" s="87">
        <f t="shared" si="23"/>
        <v>6353.76</v>
      </c>
      <c r="I35" s="86">
        <f t="shared" si="5"/>
        <v>7034.52</v>
      </c>
      <c r="J35" s="86">
        <f t="shared" si="6"/>
        <v>6807.6</v>
      </c>
      <c r="K35" s="86">
        <f t="shared" si="7"/>
        <v>7034.52</v>
      </c>
      <c r="L35" s="86">
        <f t="shared" si="8"/>
        <v>6807.6</v>
      </c>
      <c r="M35" s="86">
        <f t="shared" si="9"/>
        <v>7034.52</v>
      </c>
      <c r="N35" s="86">
        <f>E35*D35*31</f>
        <v>7034.52</v>
      </c>
      <c r="O35" s="86">
        <f t="shared" si="24"/>
        <v>6807.6</v>
      </c>
      <c r="P35" s="86">
        <f t="shared" si="25"/>
        <v>7034.52</v>
      </c>
      <c r="Q35" s="86">
        <f t="shared" si="26"/>
        <v>6807.6</v>
      </c>
      <c r="R35" s="102">
        <f t="shared" si="27"/>
        <v>7034.52</v>
      </c>
      <c r="S35">
        <v>365</v>
      </c>
    </row>
    <row r="36" spans="1:22" x14ac:dyDescent="0.25">
      <c r="A36" s="348"/>
      <c r="B36" s="351">
        <v>13</v>
      </c>
      <c r="C36" s="268" t="s">
        <v>39</v>
      </c>
      <c r="D36" s="83">
        <v>80.86</v>
      </c>
      <c r="E36" s="84">
        <v>4</v>
      </c>
      <c r="F36" s="85">
        <f t="shared" si="3"/>
        <v>118055.6</v>
      </c>
      <c r="G36" s="86">
        <f t="shared" si="4"/>
        <v>10026.64</v>
      </c>
      <c r="H36" s="87">
        <f t="shared" si="23"/>
        <v>9056.32</v>
      </c>
      <c r="I36" s="86">
        <f t="shared" si="5"/>
        <v>10026.64</v>
      </c>
      <c r="J36" s="86">
        <f t="shared" si="6"/>
        <v>9703.2000000000007</v>
      </c>
      <c r="K36" s="86">
        <f t="shared" si="7"/>
        <v>10026.64</v>
      </c>
      <c r="L36" s="86">
        <f t="shared" si="8"/>
        <v>9703.2000000000007</v>
      </c>
      <c r="M36" s="86">
        <f t="shared" si="9"/>
        <v>10026.64</v>
      </c>
      <c r="N36" s="86">
        <f>E36*D36*31</f>
        <v>10026.64</v>
      </c>
      <c r="O36" s="86">
        <f t="shared" si="24"/>
        <v>9703.2000000000007</v>
      </c>
      <c r="P36" s="86">
        <f t="shared" si="25"/>
        <v>10026.64</v>
      </c>
      <c r="Q36" s="86">
        <f t="shared" si="26"/>
        <v>9703.2000000000007</v>
      </c>
      <c r="R36" s="102">
        <f t="shared" si="27"/>
        <v>10026.64</v>
      </c>
      <c r="S36">
        <v>365</v>
      </c>
    </row>
    <row r="37" spans="1:22" ht="15.75" thickBot="1" x14ac:dyDescent="0.3">
      <c r="A37" s="348"/>
      <c r="B37" s="352"/>
      <c r="C37" s="89" t="s">
        <v>40</v>
      </c>
      <c r="D37" s="90"/>
      <c r="E37" s="66"/>
      <c r="F37" s="91">
        <f>933440-SUM(F24:F36)+54720-12000-61694</f>
        <v>8568.0400000000009</v>
      </c>
      <c r="G37" s="92"/>
      <c r="H37" s="93"/>
      <c r="I37" s="94"/>
      <c r="J37" s="94"/>
      <c r="K37" s="95"/>
      <c r="L37" s="86"/>
      <c r="M37" s="94"/>
      <c r="N37" s="94"/>
      <c r="O37" s="94"/>
      <c r="P37" s="94"/>
      <c r="Q37" s="94"/>
      <c r="R37" s="121"/>
    </row>
    <row r="38" spans="1:22" x14ac:dyDescent="0.25">
      <c r="A38" s="348"/>
      <c r="B38" s="353"/>
      <c r="C38" s="450" t="s">
        <v>41</v>
      </c>
      <c r="D38" s="450"/>
      <c r="E38" s="96"/>
      <c r="F38" s="96"/>
      <c r="G38" s="97"/>
      <c r="H38" s="98"/>
      <c r="I38" s="97"/>
      <c r="J38" s="97"/>
      <c r="K38" s="97"/>
      <c r="L38" s="97"/>
      <c r="M38" s="97"/>
      <c r="N38" s="97"/>
      <c r="O38" s="97"/>
      <c r="P38" s="97"/>
      <c r="Q38" s="97"/>
      <c r="R38" s="512"/>
      <c r="S38" s="357"/>
      <c r="T38" s="511"/>
      <c r="U38" s="509"/>
    </row>
    <row r="39" spans="1:22" ht="28.5" customHeight="1" x14ac:dyDescent="0.25">
      <c r="A39" s="348"/>
      <c r="B39" s="505"/>
      <c r="C39" s="504" t="s">
        <v>42</v>
      </c>
      <c r="D39" s="504"/>
      <c r="E39" s="507">
        <f t="shared" ref="E39:R39" si="28">E40+E46</f>
        <v>13</v>
      </c>
      <c r="F39" s="508">
        <f t="shared" si="28"/>
        <v>324725</v>
      </c>
      <c r="G39" s="508">
        <f t="shared" si="28"/>
        <v>29153.02</v>
      </c>
      <c r="H39" s="508">
        <f t="shared" si="28"/>
        <v>26331.759999999998</v>
      </c>
      <c r="I39" s="508">
        <f t="shared" si="28"/>
        <v>29153.02</v>
      </c>
      <c r="J39" s="508">
        <f t="shared" si="28"/>
        <v>28212.6</v>
      </c>
      <c r="K39" s="508">
        <f t="shared" si="28"/>
        <v>26808.18</v>
      </c>
      <c r="L39" s="508">
        <f t="shared" si="28"/>
        <v>25943.4</v>
      </c>
      <c r="M39" s="508">
        <f t="shared" si="28"/>
        <v>26808.18</v>
      </c>
      <c r="N39" s="508">
        <f t="shared" si="28"/>
        <v>26808.18</v>
      </c>
      <c r="O39" s="508">
        <f t="shared" si="28"/>
        <v>25943.4</v>
      </c>
      <c r="P39" s="508">
        <f t="shared" si="28"/>
        <v>26808.18</v>
      </c>
      <c r="Q39" s="508">
        <f t="shared" si="28"/>
        <v>25943.4</v>
      </c>
      <c r="R39" s="513">
        <f t="shared" si="28"/>
        <v>26808.18</v>
      </c>
    </row>
    <row r="40" spans="1:22" ht="31.15" customHeight="1" x14ac:dyDescent="0.25">
      <c r="A40" s="348"/>
      <c r="B40" s="506"/>
      <c r="C40" s="503" t="s">
        <v>43</v>
      </c>
      <c r="D40" s="503"/>
      <c r="E40" s="101">
        <f>SUM(E42:E45)</f>
        <v>3</v>
      </c>
      <c r="F40" s="174">
        <f>SUM(F42:F45)</f>
        <v>61618</v>
      </c>
      <c r="G40" s="174">
        <f t="shared" ref="G40:Q40" si="29">SUM(G42:G44)</f>
        <v>6806.98</v>
      </c>
      <c r="H40" s="174">
        <f t="shared" si="29"/>
        <v>6148.24</v>
      </c>
      <c r="I40" s="174">
        <f t="shared" si="29"/>
        <v>6806.98</v>
      </c>
      <c r="J40" s="174">
        <f t="shared" si="29"/>
        <v>6587.4</v>
      </c>
      <c r="K40" s="174">
        <f t="shared" si="29"/>
        <v>4462.1400000000003</v>
      </c>
      <c r="L40" s="174">
        <f t="shared" si="29"/>
        <v>4318.2</v>
      </c>
      <c r="M40" s="174">
        <f t="shared" si="29"/>
        <v>4462.1400000000003</v>
      </c>
      <c r="N40" s="174">
        <f t="shared" si="29"/>
        <v>4462.1400000000003</v>
      </c>
      <c r="O40" s="174">
        <f t="shared" si="29"/>
        <v>4318.2</v>
      </c>
      <c r="P40" s="174">
        <f t="shared" si="29"/>
        <v>4462.1400000000003</v>
      </c>
      <c r="Q40" s="174">
        <f t="shared" si="29"/>
        <v>4318.2</v>
      </c>
      <c r="R40" s="331">
        <f>SUM(R42:R45)</f>
        <v>4462.1400000000003</v>
      </c>
    </row>
    <row r="41" spans="1:22" ht="17.25" customHeight="1" x14ac:dyDescent="0.25">
      <c r="A41" s="348"/>
      <c r="B41" s="248"/>
      <c r="C41" s="433"/>
      <c r="D41" s="433"/>
      <c r="E41" s="441" t="s">
        <v>151</v>
      </c>
      <c r="F41" s="443">
        <v>0</v>
      </c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8"/>
    </row>
    <row r="42" spans="1:22" x14ac:dyDescent="0.25">
      <c r="A42" s="348"/>
      <c r="B42" s="352">
        <v>1</v>
      </c>
      <c r="C42" s="89" t="s">
        <v>44</v>
      </c>
      <c r="D42" s="90">
        <v>72.540000000000006</v>
      </c>
      <c r="E42" s="444">
        <v>1</v>
      </c>
      <c r="F42" s="445">
        <f>+E42*S42*D42</f>
        <v>26477.1</v>
      </c>
      <c r="G42" s="94">
        <f>E42*D42*31</f>
        <v>2248.7399999999998</v>
      </c>
      <c r="H42" s="120">
        <f>E42*D42*28</f>
        <v>2031.12</v>
      </c>
      <c r="I42" s="94">
        <f>E42*D42*31</f>
        <v>2248.7399999999998</v>
      </c>
      <c r="J42" s="94">
        <f>E42*D42*30</f>
        <v>2176.1999999999998</v>
      </c>
      <c r="K42" s="94">
        <f>E42*D42*31</f>
        <v>2248.7399999999998</v>
      </c>
      <c r="L42" s="94">
        <f>E42*D42*30</f>
        <v>2176.1999999999998</v>
      </c>
      <c r="M42" s="94">
        <f>E42*D42*31</f>
        <v>2248.7399999999998</v>
      </c>
      <c r="N42" s="94">
        <f>E42*D42*31</f>
        <v>2248.7399999999998</v>
      </c>
      <c r="O42" s="94">
        <f>E42*D42*30</f>
        <v>2176.1999999999998</v>
      </c>
      <c r="P42" s="94">
        <f>E42*D42*31</f>
        <v>2248.7399999999998</v>
      </c>
      <c r="Q42" s="94">
        <f>E42*D42*30</f>
        <v>2176.1999999999998</v>
      </c>
      <c r="R42" s="121">
        <f>E42*D42*31</f>
        <v>2248.7399999999998</v>
      </c>
      <c r="S42">
        <v>365</v>
      </c>
    </row>
    <row r="43" spans="1:22" ht="26.25" x14ac:dyDescent="0.25">
      <c r="A43" s="348"/>
      <c r="B43" s="351">
        <v>2</v>
      </c>
      <c r="C43" s="408" t="s">
        <v>38</v>
      </c>
      <c r="D43" s="83">
        <v>75.64</v>
      </c>
      <c r="E43" s="84">
        <v>1</v>
      </c>
      <c r="F43" s="86">
        <f>+E43*S43*D43</f>
        <v>9076.7999999999993</v>
      </c>
      <c r="G43" s="86">
        <f>E43*D43*31</f>
        <v>2344.84</v>
      </c>
      <c r="H43" s="86">
        <f>E43*D43*28</f>
        <v>2117.92</v>
      </c>
      <c r="I43" s="86">
        <f>E43*D43*31</f>
        <v>2344.84</v>
      </c>
      <c r="J43" s="86">
        <f>E43*D43*30</f>
        <v>2269.1999999999998</v>
      </c>
      <c r="K43" s="86"/>
      <c r="L43" s="86"/>
      <c r="M43" s="86"/>
      <c r="N43" s="86"/>
      <c r="O43" s="86"/>
      <c r="P43" s="86"/>
      <c r="Q43" s="86"/>
      <c r="R43" s="102"/>
      <c r="S43">
        <f>31+28+31+30</f>
        <v>120</v>
      </c>
    </row>
    <row r="44" spans="1:22" x14ac:dyDescent="0.25">
      <c r="A44" s="348"/>
      <c r="B44" s="351">
        <v>3</v>
      </c>
      <c r="C44" s="343" t="s">
        <v>36</v>
      </c>
      <c r="D44" s="83">
        <v>71.400000000000006</v>
      </c>
      <c r="E44" s="84">
        <v>1</v>
      </c>
      <c r="F44" s="88">
        <f>+E44*S44*D44</f>
        <v>26061</v>
      </c>
      <c r="G44" s="86">
        <f>E44*D44*31</f>
        <v>2213.4</v>
      </c>
      <c r="H44" s="87">
        <f>E44*D44*28</f>
        <v>1999.2</v>
      </c>
      <c r="I44" s="86">
        <f>E44*D44*31</f>
        <v>2213.4</v>
      </c>
      <c r="J44" s="86">
        <f>E44*D44*30</f>
        <v>2142</v>
      </c>
      <c r="K44" s="86">
        <f>E44*D44*31</f>
        <v>2213.4</v>
      </c>
      <c r="L44" s="86">
        <f>E44*D44*30</f>
        <v>2142</v>
      </c>
      <c r="M44" s="86">
        <f>E44*D44*31</f>
        <v>2213.4</v>
      </c>
      <c r="N44" s="86">
        <f>E44*D44*31</f>
        <v>2213.4</v>
      </c>
      <c r="O44" s="86">
        <f>E44*D44*30</f>
        <v>2142</v>
      </c>
      <c r="P44" s="86">
        <f>E44*D44*31</f>
        <v>2213.4</v>
      </c>
      <c r="Q44" s="86">
        <f>E44*D44*30</f>
        <v>2142</v>
      </c>
      <c r="R44" s="102">
        <f>E44*D44*31</f>
        <v>2213.4</v>
      </c>
      <c r="S44">
        <v>365</v>
      </c>
    </row>
    <row r="45" spans="1:22" x14ac:dyDescent="0.25">
      <c r="A45" s="348"/>
      <c r="B45" s="351"/>
      <c r="C45" s="409" t="s">
        <v>40</v>
      </c>
      <c r="D45" s="83"/>
      <c r="E45" s="84"/>
      <c r="F45" s="87">
        <f>80148-SUM(F42:F44)-18530</f>
        <v>3.1</v>
      </c>
      <c r="G45" s="103"/>
      <c r="H45" s="87"/>
      <c r="I45" s="86"/>
      <c r="J45" s="86"/>
      <c r="K45" s="87"/>
      <c r="L45" s="87"/>
      <c r="M45" s="86"/>
      <c r="N45" s="86"/>
      <c r="O45" s="86"/>
      <c r="P45" s="86"/>
      <c r="Q45" s="86"/>
      <c r="R45" s="336"/>
      <c r="S45">
        <v>365</v>
      </c>
    </row>
    <row r="46" spans="1:22" ht="27.6" customHeight="1" x14ac:dyDescent="0.25">
      <c r="A46" s="348"/>
      <c r="B46" s="351"/>
      <c r="C46" s="485" t="s">
        <v>45</v>
      </c>
      <c r="D46" s="485"/>
      <c r="E46" s="104">
        <f>SUM(E48:E49)</f>
        <v>10</v>
      </c>
      <c r="F46" s="175">
        <f>SUM(F48:F50)</f>
        <v>263107</v>
      </c>
      <c r="G46" s="175">
        <f t="shared" ref="G46:Q46" si="30">SUM(G48:G49)</f>
        <v>22346.04</v>
      </c>
      <c r="H46" s="175">
        <f t="shared" si="30"/>
        <v>20183.52</v>
      </c>
      <c r="I46" s="175">
        <f t="shared" si="30"/>
        <v>22346.04</v>
      </c>
      <c r="J46" s="175">
        <f t="shared" si="30"/>
        <v>21625.200000000001</v>
      </c>
      <c r="K46" s="175">
        <f t="shared" si="30"/>
        <v>22346.04</v>
      </c>
      <c r="L46" s="175">
        <f t="shared" si="30"/>
        <v>21625.200000000001</v>
      </c>
      <c r="M46" s="175">
        <f t="shared" si="30"/>
        <v>22346.04</v>
      </c>
      <c r="N46" s="175">
        <f t="shared" si="30"/>
        <v>22346.04</v>
      </c>
      <c r="O46" s="175">
        <f t="shared" si="30"/>
        <v>21625.200000000001</v>
      </c>
      <c r="P46" s="175">
        <f t="shared" si="30"/>
        <v>22346.04</v>
      </c>
      <c r="Q46" s="175">
        <f t="shared" si="30"/>
        <v>21625.200000000001</v>
      </c>
      <c r="R46" s="176">
        <f>SUM(R48:R50)</f>
        <v>22346.04</v>
      </c>
      <c r="V46" s="171"/>
    </row>
    <row r="47" spans="1:22" ht="12.75" customHeight="1" x14ac:dyDescent="0.25">
      <c r="A47" s="348"/>
      <c r="B47" s="431"/>
      <c r="C47" s="430"/>
      <c r="D47" s="430"/>
      <c r="E47" s="441" t="s">
        <v>151</v>
      </c>
      <c r="F47" s="443">
        <v>0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6"/>
      <c r="S47" s="434"/>
      <c r="V47" s="171"/>
    </row>
    <row r="48" spans="1:22" ht="33.75" customHeight="1" x14ac:dyDescent="0.25">
      <c r="A48" s="348"/>
      <c r="B48" s="351">
        <v>1</v>
      </c>
      <c r="C48" s="343" t="s">
        <v>44</v>
      </c>
      <c r="D48" s="83">
        <v>72.540000000000006</v>
      </c>
      <c r="E48" s="272">
        <v>6</v>
      </c>
      <c r="F48" s="323">
        <f>+E48*S48*D48</f>
        <v>158862.6</v>
      </c>
      <c r="G48" s="86">
        <f>E48*D48*31</f>
        <v>13492.44</v>
      </c>
      <c r="H48" s="87">
        <f>E48*D48*28</f>
        <v>12186.72</v>
      </c>
      <c r="I48" s="86">
        <f>E48*D48*31</f>
        <v>13492.44</v>
      </c>
      <c r="J48" s="86">
        <f>E48*D48*30</f>
        <v>13057.2</v>
      </c>
      <c r="K48" s="86">
        <f>E48*D48*31</f>
        <v>13492.44</v>
      </c>
      <c r="L48" s="86">
        <f>E48*D48*30</f>
        <v>13057.2</v>
      </c>
      <c r="M48" s="86">
        <f>E48*D48*31</f>
        <v>13492.44</v>
      </c>
      <c r="N48" s="86">
        <f>E48*D48*31</f>
        <v>13492.44</v>
      </c>
      <c r="O48" s="86">
        <f>E48*D48*30</f>
        <v>13057.2</v>
      </c>
      <c r="P48" s="86">
        <f>E48*D48*31</f>
        <v>13492.44</v>
      </c>
      <c r="Q48" s="86">
        <f>E48*D48*30</f>
        <v>13057.2</v>
      </c>
      <c r="R48" s="102">
        <f>E48*D48*31</f>
        <v>13492.44</v>
      </c>
      <c r="S48">
        <v>365</v>
      </c>
    </row>
    <row r="49" spans="1:27" x14ac:dyDescent="0.25">
      <c r="A49" s="348"/>
      <c r="B49" s="351">
        <v>2</v>
      </c>
      <c r="C49" s="343" t="s">
        <v>36</v>
      </c>
      <c r="D49" s="83">
        <v>71.400000000000006</v>
      </c>
      <c r="E49" s="84">
        <v>4</v>
      </c>
      <c r="F49" s="88">
        <f>+E49*S49*D49</f>
        <v>104244</v>
      </c>
      <c r="G49" s="86">
        <f>E49*D49*31</f>
        <v>8853.6</v>
      </c>
      <c r="H49" s="87">
        <f>E49*D49*28</f>
        <v>7996.8</v>
      </c>
      <c r="I49" s="86">
        <f>E49*D49*31</f>
        <v>8853.6</v>
      </c>
      <c r="J49" s="86">
        <f>E49*D49*30</f>
        <v>8568</v>
      </c>
      <c r="K49" s="86">
        <f>E49*D49*31</f>
        <v>8853.6</v>
      </c>
      <c r="L49" s="86">
        <f>E49*D49*30</f>
        <v>8568</v>
      </c>
      <c r="M49" s="86">
        <f>E49*D49*31</f>
        <v>8853.6</v>
      </c>
      <c r="N49" s="86">
        <f>E49*D49*31</f>
        <v>8853.6</v>
      </c>
      <c r="O49" s="86">
        <f>E49*D49*30</f>
        <v>8568</v>
      </c>
      <c r="P49" s="86">
        <f>E49*D49*31</f>
        <v>8853.6</v>
      </c>
      <c r="Q49" s="86">
        <f>E49*D49*30</f>
        <v>8568</v>
      </c>
      <c r="R49" s="102">
        <f>E49*D49*31</f>
        <v>8853.6</v>
      </c>
      <c r="S49">
        <v>365</v>
      </c>
    </row>
    <row r="50" spans="1:27" x14ac:dyDescent="0.25">
      <c r="A50" s="348"/>
      <c r="B50" s="351"/>
      <c r="C50" s="343" t="s">
        <v>40</v>
      </c>
      <c r="D50" s="83"/>
      <c r="E50" s="84"/>
      <c r="F50" s="88">
        <f>26061.4-26061</f>
        <v>0.4</v>
      </c>
      <c r="G50" s="103"/>
      <c r="H50" s="158"/>
      <c r="I50" s="86"/>
      <c r="J50" s="86"/>
      <c r="K50" s="86"/>
      <c r="L50" s="86"/>
      <c r="M50" s="86"/>
      <c r="N50" s="86"/>
      <c r="O50" s="86"/>
      <c r="P50" s="86"/>
      <c r="Q50" s="86"/>
      <c r="R50" s="110"/>
    </row>
    <row r="51" spans="1:27" x14ac:dyDescent="0.25">
      <c r="A51" s="348"/>
      <c r="B51" s="378"/>
      <c r="C51" s="490" t="s">
        <v>46</v>
      </c>
      <c r="D51" s="490"/>
      <c r="E51" s="297"/>
      <c r="F51" s="297"/>
      <c r="G51" s="298"/>
      <c r="H51" s="299"/>
      <c r="I51" s="298"/>
      <c r="J51" s="298"/>
      <c r="K51" s="298"/>
      <c r="L51" s="298"/>
      <c r="M51" s="298"/>
      <c r="N51" s="298"/>
      <c r="O51" s="298"/>
      <c r="P51" s="446"/>
      <c r="Q51" s="298"/>
      <c r="R51" s="510"/>
      <c r="S51" s="355"/>
    </row>
    <row r="52" spans="1:27" ht="24" customHeight="1" thickBot="1" x14ac:dyDescent="0.3">
      <c r="A52" s="348"/>
      <c r="B52" s="376"/>
      <c r="C52" s="476" t="s">
        <v>47</v>
      </c>
      <c r="D52" s="476"/>
      <c r="E52" s="99">
        <f t="shared" ref="E52:R52" si="31">E53+E80+E105+E113+E123+E132+E141+E146+E155</f>
        <v>375</v>
      </c>
      <c r="F52" s="105">
        <f t="shared" si="31"/>
        <v>9920798</v>
      </c>
      <c r="G52" s="105">
        <f t="shared" si="31"/>
        <v>940563.87</v>
      </c>
      <c r="H52" s="105">
        <f t="shared" si="31"/>
        <v>857895.36</v>
      </c>
      <c r="I52" s="105">
        <f t="shared" si="31"/>
        <v>951202.47</v>
      </c>
      <c r="J52" s="105">
        <f t="shared" si="31"/>
        <v>769741.8</v>
      </c>
      <c r="K52" s="105">
        <f t="shared" si="31"/>
        <v>795399.86</v>
      </c>
      <c r="L52" s="105">
        <f t="shared" si="31"/>
        <v>789801.06</v>
      </c>
      <c r="M52" s="105">
        <f t="shared" si="31"/>
        <v>804255.74</v>
      </c>
      <c r="N52" s="105">
        <f t="shared" si="31"/>
        <v>811460.69</v>
      </c>
      <c r="O52" s="105">
        <f t="shared" si="31"/>
        <v>780592.8</v>
      </c>
      <c r="P52" s="105">
        <f t="shared" si="31"/>
        <v>818518.81</v>
      </c>
      <c r="Q52" s="447">
        <f t="shared" si="31"/>
        <v>782675.1</v>
      </c>
      <c r="R52" s="337">
        <f t="shared" si="31"/>
        <v>803625.85</v>
      </c>
      <c r="T52" s="48">
        <f>+F17</f>
        <v>150664.15</v>
      </c>
    </row>
    <row r="53" spans="1:27" ht="43.15" customHeight="1" x14ac:dyDescent="0.25">
      <c r="A53" s="348"/>
      <c r="B53" s="379"/>
      <c r="C53" s="486" t="s">
        <v>48</v>
      </c>
      <c r="D53" s="486"/>
      <c r="E53" s="283">
        <f t="shared" ref="E53:R53" si="32">SUM(E55:E79)</f>
        <v>87</v>
      </c>
      <c r="F53" s="250">
        <f t="shared" si="32"/>
        <v>2199767</v>
      </c>
      <c r="G53" s="284">
        <f t="shared" si="32"/>
        <v>181973.41</v>
      </c>
      <c r="H53" s="284">
        <f t="shared" si="32"/>
        <v>164363.07999999999</v>
      </c>
      <c r="I53" s="251">
        <f t="shared" si="32"/>
        <v>179760.01</v>
      </c>
      <c r="J53" s="251">
        <f t="shared" si="32"/>
        <v>173961.3</v>
      </c>
      <c r="K53" s="251">
        <f t="shared" si="32"/>
        <v>179760.01</v>
      </c>
      <c r="L53" s="251">
        <f t="shared" si="32"/>
        <v>194091.96</v>
      </c>
      <c r="M53" s="284">
        <f t="shared" si="32"/>
        <v>194218.15</v>
      </c>
      <c r="N53" s="251">
        <f t="shared" si="32"/>
        <v>195344.06</v>
      </c>
      <c r="O53" s="251">
        <f t="shared" si="32"/>
        <v>184671.3</v>
      </c>
      <c r="P53" s="251">
        <f t="shared" si="32"/>
        <v>185164.1</v>
      </c>
      <c r="Q53" s="251">
        <f t="shared" si="32"/>
        <v>180042</v>
      </c>
      <c r="R53" s="338">
        <f t="shared" si="32"/>
        <v>185479.34</v>
      </c>
      <c r="S53" s="1"/>
      <c r="T53" s="1"/>
      <c r="V53" s="437"/>
      <c r="W53" s="247"/>
    </row>
    <row r="54" spans="1:27" ht="16.899999999999999" customHeight="1" x14ac:dyDescent="0.25">
      <c r="A54" s="348"/>
      <c r="B54" s="351"/>
      <c r="C54" s="345"/>
      <c r="D54" s="345"/>
      <c r="E54" s="441" t="s">
        <v>151</v>
      </c>
      <c r="F54" s="443">
        <v>0</v>
      </c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1"/>
      <c r="R54" s="254"/>
      <c r="S54" s="248"/>
      <c r="V54" s="249"/>
    </row>
    <row r="55" spans="1:27" x14ac:dyDescent="0.25">
      <c r="A55" s="348"/>
      <c r="B55" s="257">
        <v>1</v>
      </c>
      <c r="C55" s="341" t="s">
        <v>44</v>
      </c>
      <c r="D55" s="328">
        <v>72.540000000000006</v>
      </c>
      <c r="E55" s="324">
        <v>6</v>
      </c>
      <c r="F55" s="325">
        <f t="shared" ref="F55:F77" si="33">+E55*S55*D55</f>
        <v>158862.6</v>
      </c>
      <c r="G55" s="288">
        <f>E55*D55*31</f>
        <v>13492.44</v>
      </c>
      <c r="H55" s="289">
        <f>E55*D55*28</f>
        <v>12186.72</v>
      </c>
      <c r="I55" s="288">
        <f t="shared" ref="I55:I73" si="34">E55*D55*31</f>
        <v>13492.44</v>
      </c>
      <c r="J55" s="261">
        <f t="shared" ref="J55:J73" si="35">E55*D55*30</f>
        <v>13057.2</v>
      </c>
      <c r="K55" s="261">
        <f t="shared" ref="K55:K73" si="36">E55*D55*31</f>
        <v>13492.44</v>
      </c>
      <c r="L55" s="261">
        <f t="shared" ref="L55:L73" si="37">E55*D55*30</f>
        <v>13057.2</v>
      </c>
      <c r="M55" s="261">
        <f t="shared" ref="M55:M78" si="38">E55*D55*31</f>
        <v>13492.44</v>
      </c>
      <c r="N55" s="261">
        <f t="shared" ref="N55:N67" si="39">E55*D55*31</f>
        <v>13492.44</v>
      </c>
      <c r="O55" s="261">
        <f t="shared" ref="O55:O68" si="40">E55*D55*30</f>
        <v>13057.2</v>
      </c>
      <c r="P55" s="261">
        <f t="shared" ref="P55:P68" si="41">E55*D55*31</f>
        <v>13492.44</v>
      </c>
      <c r="Q55" s="261">
        <f t="shared" ref="Q55:Q68" si="42">E55*D55*30</f>
        <v>13057.2</v>
      </c>
      <c r="R55" s="273">
        <f t="shared" ref="R55:R68" si="43">E55*D55*31</f>
        <v>13492.44</v>
      </c>
      <c r="S55" s="248">
        <v>365</v>
      </c>
      <c r="V55" s="249"/>
    </row>
    <row r="56" spans="1:27" s="419" customFormat="1" x14ac:dyDescent="0.25">
      <c r="A56" s="414"/>
      <c r="B56" s="421">
        <v>1</v>
      </c>
      <c r="C56" s="422" t="s">
        <v>44</v>
      </c>
      <c r="D56" s="423">
        <v>72.540000000000006</v>
      </c>
      <c r="E56" s="424">
        <v>1</v>
      </c>
      <c r="F56" s="425">
        <f t="shared" ref="F56" si="44">+E56*S56*D56</f>
        <v>17264.52</v>
      </c>
      <c r="G56" s="319">
        <f>E56*D56*31</f>
        <v>2248.7399999999998</v>
      </c>
      <c r="H56" s="320">
        <f>E56*D56*28</f>
        <v>2031.12</v>
      </c>
      <c r="I56" s="319">
        <f t="shared" ref="I56" si="45">E56*D56*31</f>
        <v>2248.7399999999998</v>
      </c>
      <c r="J56" s="321">
        <f t="shared" ref="J56" si="46">E56*D56*30</f>
        <v>2176.1999999999998</v>
      </c>
      <c r="K56" s="321">
        <f t="shared" ref="K56" si="47">E56*D56*31</f>
        <v>2248.7399999999998</v>
      </c>
      <c r="L56" s="321">
        <f t="shared" ref="L56" si="48">E56*D56*30</f>
        <v>2176.1999999999998</v>
      </c>
      <c r="M56" s="321">
        <f t="shared" ref="M56" si="49">E56*D56*31</f>
        <v>2248.7399999999998</v>
      </c>
      <c r="N56" s="321">
        <f>E56*D56*31</f>
        <v>2248.7399999999998</v>
      </c>
      <c r="O56" s="321"/>
      <c r="P56" s="321">
        <v>-362.7</v>
      </c>
      <c r="Q56" s="321"/>
      <c r="R56" s="322"/>
      <c r="S56" s="426">
        <f>31+28+31+30+31+30+31+31-5</f>
        <v>238</v>
      </c>
      <c r="T56"/>
      <c r="U56"/>
      <c r="V56" s="427"/>
      <c r="Z56"/>
      <c r="AA56"/>
    </row>
    <row r="57" spans="1:27" s="245" customFormat="1" x14ac:dyDescent="0.25">
      <c r="A57" s="354"/>
      <c r="B57" s="329">
        <v>2</v>
      </c>
      <c r="C57" s="276" t="s">
        <v>49</v>
      </c>
      <c r="D57" s="271">
        <v>71.400000000000006</v>
      </c>
      <c r="E57" s="272">
        <v>1</v>
      </c>
      <c r="F57" s="323">
        <f t="shared" si="33"/>
        <v>26061</v>
      </c>
      <c r="G57" s="288">
        <f t="shared" ref="G57:G73" si="50">E57*D57*31</f>
        <v>2213.4</v>
      </c>
      <c r="H57" s="289">
        <f t="shared" ref="H57:H73" si="51">E57*D57*28</f>
        <v>1999.2</v>
      </c>
      <c r="I57" s="288">
        <f t="shared" si="34"/>
        <v>2213.4</v>
      </c>
      <c r="J57" s="261">
        <f t="shared" si="35"/>
        <v>2142</v>
      </c>
      <c r="K57" s="261">
        <f t="shared" si="36"/>
        <v>2213.4</v>
      </c>
      <c r="L57" s="261">
        <f t="shared" si="37"/>
        <v>2142</v>
      </c>
      <c r="M57" s="261">
        <f t="shared" si="38"/>
        <v>2213.4</v>
      </c>
      <c r="N57" s="261">
        <f t="shared" si="39"/>
        <v>2213.4</v>
      </c>
      <c r="O57" s="261">
        <f t="shared" si="40"/>
        <v>2142</v>
      </c>
      <c r="P57" s="261">
        <f t="shared" si="41"/>
        <v>2213.4</v>
      </c>
      <c r="Q57" s="261">
        <f t="shared" si="42"/>
        <v>2142</v>
      </c>
      <c r="R57" s="273">
        <f t="shared" si="43"/>
        <v>2213.4</v>
      </c>
      <c r="S57" s="274">
        <v>365</v>
      </c>
      <c r="T57"/>
      <c r="U57"/>
      <c r="V57" s="275"/>
      <c r="Z57"/>
      <c r="AA57"/>
    </row>
    <row r="58" spans="1:27" s="245" customFormat="1" x14ac:dyDescent="0.25">
      <c r="A58" s="354"/>
      <c r="B58" s="329">
        <v>2</v>
      </c>
      <c r="C58" s="276" t="s">
        <v>50</v>
      </c>
      <c r="D58" s="271">
        <v>74.63</v>
      </c>
      <c r="E58" s="272">
        <v>1</v>
      </c>
      <c r="F58" s="323">
        <f t="shared" si="33"/>
        <v>27239.95</v>
      </c>
      <c r="G58" s="288">
        <f t="shared" si="50"/>
        <v>2313.5300000000002</v>
      </c>
      <c r="H58" s="289">
        <f t="shared" si="51"/>
        <v>2089.64</v>
      </c>
      <c r="I58" s="288">
        <f t="shared" si="34"/>
        <v>2313.5300000000002</v>
      </c>
      <c r="J58" s="261">
        <f t="shared" si="35"/>
        <v>2238.9</v>
      </c>
      <c r="K58" s="261">
        <f t="shared" si="36"/>
        <v>2313.5300000000002</v>
      </c>
      <c r="L58" s="261">
        <f t="shared" si="37"/>
        <v>2238.9</v>
      </c>
      <c r="M58" s="261">
        <f t="shared" si="38"/>
        <v>2313.5300000000002</v>
      </c>
      <c r="N58" s="261">
        <f t="shared" si="39"/>
        <v>2313.5300000000002</v>
      </c>
      <c r="O58" s="261">
        <f t="shared" si="40"/>
        <v>2238.9</v>
      </c>
      <c r="P58" s="261">
        <f t="shared" si="41"/>
        <v>2313.5300000000002</v>
      </c>
      <c r="Q58" s="261">
        <f t="shared" si="42"/>
        <v>2238.9</v>
      </c>
      <c r="R58" s="273">
        <f t="shared" si="43"/>
        <v>2313.5300000000002</v>
      </c>
      <c r="S58" s="274">
        <v>365</v>
      </c>
      <c r="T58"/>
      <c r="U58"/>
      <c r="V58" s="275"/>
      <c r="Z58"/>
      <c r="AA58"/>
    </row>
    <row r="59" spans="1:27" s="245" customFormat="1" x14ac:dyDescent="0.25">
      <c r="A59" s="354"/>
      <c r="B59" s="329">
        <v>2</v>
      </c>
      <c r="C59" s="276" t="s">
        <v>36</v>
      </c>
      <c r="D59" s="271">
        <v>71.400000000000006</v>
      </c>
      <c r="E59" s="272">
        <v>1</v>
      </c>
      <c r="F59" s="323">
        <f t="shared" si="33"/>
        <v>25846.799999999999</v>
      </c>
      <c r="G59" s="288">
        <f t="shared" si="50"/>
        <v>2213.4</v>
      </c>
      <c r="H59" s="289">
        <f t="shared" si="51"/>
        <v>1999.2</v>
      </c>
      <c r="I59" s="288">
        <f t="shared" si="34"/>
        <v>2213.4</v>
      </c>
      <c r="J59" s="261">
        <f t="shared" si="35"/>
        <v>2142</v>
      </c>
      <c r="K59" s="261">
        <f t="shared" si="36"/>
        <v>2213.4</v>
      </c>
      <c r="L59" s="261">
        <f t="shared" si="37"/>
        <v>2142</v>
      </c>
      <c r="M59" s="261">
        <f t="shared" si="38"/>
        <v>2213.4</v>
      </c>
      <c r="N59" s="261">
        <f t="shared" si="39"/>
        <v>2213.4</v>
      </c>
      <c r="O59" s="261">
        <f t="shared" ref="O59" si="52">E59*D59*30</f>
        <v>2142</v>
      </c>
      <c r="P59" s="261">
        <f t="shared" ref="P59" si="53">E59*D59*31</f>
        <v>2213.4</v>
      </c>
      <c r="Q59" s="261">
        <f>E59*D59*27</f>
        <v>1927.8</v>
      </c>
      <c r="R59" s="273">
        <f t="shared" ref="R59" si="54">E59*D59*31</f>
        <v>2213.4</v>
      </c>
      <c r="S59" s="274">
        <f>31+28+31+30+31+30+31+31+30+31+27+31</f>
        <v>362</v>
      </c>
      <c r="T59"/>
      <c r="U59"/>
      <c r="V59" s="275"/>
    </row>
    <row r="60" spans="1:27" s="245" customFormat="1" x14ac:dyDescent="0.25">
      <c r="A60" s="354"/>
      <c r="B60" s="329">
        <v>4</v>
      </c>
      <c r="C60" s="276" t="s">
        <v>36</v>
      </c>
      <c r="D60" s="271">
        <v>71.400000000000006</v>
      </c>
      <c r="E60" s="272">
        <v>3</v>
      </c>
      <c r="F60" s="323">
        <f t="shared" si="33"/>
        <v>78183</v>
      </c>
      <c r="G60" s="288">
        <f t="shared" si="50"/>
        <v>6640.2</v>
      </c>
      <c r="H60" s="289">
        <f t="shared" si="51"/>
        <v>5997.6</v>
      </c>
      <c r="I60" s="288">
        <f t="shared" si="34"/>
        <v>6640.2</v>
      </c>
      <c r="J60" s="261">
        <f t="shared" si="35"/>
        <v>6426</v>
      </c>
      <c r="K60" s="261">
        <f t="shared" si="36"/>
        <v>6640.2</v>
      </c>
      <c r="L60" s="261">
        <f t="shared" si="37"/>
        <v>6426</v>
      </c>
      <c r="M60" s="261">
        <f t="shared" si="38"/>
        <v>6640.2</v>
      </c>
      <c r="N60" s="261">
        <f t="shared" si="39"/>
        <v>6640.2</v>
      </c>
      <c r="O60" s="261">
        <f t="shared" si="40"/>
        <v>6426</v>
      </c>
      <c r="P60" s="261">
        <f t="shared" si="41"/>
        <v>6640.2</v>
      </c>
      <c r="Q60" s="261">
        <f t="shared" si="42"/>
        <v>6426</v>
      </c>
      <c r="R60" s="273">
        <f t="shared" si="43"/>
        <v>6640.2</v>
      </c>
      <c r="S60" s="274">
        <v>365</v>
      </c>
      <c r="T60"/>
      <c r="U60"/>
      <c r="V60" s="275"/>
      <c r="Z60"/>
      <c r="AA60"/>
    </row>
    <row r="61" spans="1:27" s="245" customFormat="1" x14ac:dyDescent="0.25">
      <c r="A61" s="354"/>
      <c r="B61" s="329"/>
      <c r="C61" s="276" t="s">
        <v>36</v>
      </c>
      <c r="D61" s="271">
        <v>71.400000000000006</v>
      </c>
      <c r="E61" s="272">
        <v>1</v>
      </c>
      <c r="F61" s="323">
        <f t="shared" si="33"/>
        <v>25275.599999999999</v>
      </c>
      <c r="G61" s="288">
        <f t="shared" ref="G61" si="55">E61*D61*31</f>
        <v>2213.4</v>
      </c>
      <c r="H61" s="289">
        <f t="shared" ref="H61" si="56">E61*D61*28</f>
        <v>1999.2</v>
      </c>
      <c r="I61" s="288">
        <f t="shared" ref="I61" si="57">E61*D61*31</f>
        <v>2213.4</v>
      </c>
      <c r="J61" s="261">
        <f t="shared" ref="J61" si="58">E61*D61*30</f>
        <v>2142</v>
      </c>
      <c r="K61" s="261">
        <f t="shared" ref="K61" si="59">E61*D61*31</f>
        <v>2213.4</v>
      </c>
      <c r="L61" s="261">
        <f t="shared" ref="L61" si="60">E61*D61*30</f>
        <v>2142</v>
      </c>
      <c r="M61" s="261">
        <f t="shared" ref="M61" si="61">E61*D61*31</f>
        <v>2213.4</v>
      </c>
      <c r="N61" s="261">
        <f t="shared" ref="N61" si="62">E61*D61*31</f>
        <v>2213.4</v>
      </c>
      <c r="O61" s="261">
        <f t="shared" ref="O61" si="63">E61*D61*30</f>
        <v>2142</v>
      </c>
      <c r="P61" s="261">
        <f t="shared" ref="P61" si="64">E61*D61*31</f>
        <v>2213.4</v>
      </c>
      <c r="Q61" s="261">
        <f t="shared" ref="Q61" si="65">E61*D61*30</f>
        <v>2142</v>
      </c>
      <c r="R61" s="273">
        <f>E61*D61*31-785.4</f>
        <v>1428</v>
      </c>
      <c r="S61" s="274">
        <f>365-11</f>
        <v>354</v>
      </c>
      <c r="T61"/>
      <c r="U61"/>
      <c r="V61" s="275"/>
      <c r="Z61"/>
      <c r="AA61"/>
    </row>
    <row r="62" spans="1:27" s="245" customFormat="1" x14ac:dyDescent="0.25">
      <c r="A62" s="354"/>
      <c r="B62" s="329">
        <v>5</v>
      </c>
      <c r="C62" s="276" t="s">
        <v>51</v>
      </c>
      <c r="D62" s="271">
        <v>74.63</v>
      </c>
      <c r="E62" s="272">
        <v>1</v>
      </c>
      <c r="F62" s="323">
        <f t="shared" si="33"/>
        <v>28508.66</v>
      </c>
      <c r="G62" s="288">
        <f t="shared" si="50"/>
        <v>2313.5300000000002</v>
      </c>
      <c r="H62" s="289">
        <f t="shared" si="51"/>
        <v>2089.64</v>
      </c>
      <c r="I62" s="288">
        <f t="shared" si="34"/>
        <v>2313.5300000000002</v>
      </c>
      <c r="J62" s="261">
        <f t="shared" si="35"/>
        <v>2238.9</v>
      </c>
      <c r="K62" s="261">
        <f t="shared" si="36"/>
        <v>2313.5300000000002</v>
      </c>
      <c r="L62" s="261">
        <f t="shared" si="37"/>
        <v>2238.9</v>
      </c>
      <c r="M62" s="261">
        <f t="shared" si="38"/>
        <v>2313.5300000000002</v>
      </c>
      <c r="N62" s="261">
        <f>E62*D62*31+(D62*17)</f>
        <v>3582.24</v>
      </c>
      <c r="O62" s="261">
        <f t="shared" si="40"/>
        <v>2238.9</v>
      </c>
      <c r="P62" s="261">
        <f t="shared" si="41"/>
        <v>2313.5300000000002</v>
      </c>
      <c r="Q62" s="261">
        <f t="shared" si="42"/>
        <v>2238.9</v>
      </c>
      <c r="R62" s="273">
        <f t="shared" si="43"/>
        <v>2313.5300000000002</v>
      </c>
      <c r="S62" s="274">
        <f>365+17</f>
        <v>382</v>
      </c>
      <c r="V62" s="275"/>
    </row>
    <row r="63" spans="1:27" s="245" customFormat="1" x14ac:dyDescent="0.25">
      <c r="A63" s="354"/>
      <c r="B63" s="329">
        <v>6</v>
      </c>
      <c r="C63" s="276" t="s">
        <v>52</v>
      </c>
      <c r="D63" s="271">
        <v>74.63</v>
      </c>
      <c r="E63" s="272">
        <v>1</v>
      </c>
      <c r="F63" s="323">
        <f t="shared" si="33"/>
        <v>27239.95</v>
      </c>
      <c r="G63" s="288">
        <f t="shared" si="50"/>
        <v>2313.5300000000002</v>
      </c>
      <c r="H63" s="289">
        <f t="shared" si="51"/>
        <v>2089.64</v>
      </c>
      <c r="I63" s="288">
        <f t="shared" si="34"/>
        <v>2313.5300000000002</v>
      </c>
      <c r="J63" s="261">
        <f t="shared" si="35"/>
        <v>2238.9</v>
      </c>
      <c r="K63" s="261">
        <f t="shared" si="36"/>
        <v>2313.5300000000002</v>
      </c>
      <c r="L63" s="261">
        <f t="shared" si="37"/>
        <v>2238.9</v>
      </c>
      <c r="M63" s="261">
        <f t="shared" si="38"/>
        <v>2313.5300000000002</v>
      </c>
      <c r="N63" s="261">
        <f t="shared" si="39"/>
        <v>2313.5300000000002</v>
      </c>
      <c r="O63" s="261">
        <f t="shared" si="40"/>
        <v>2238.9</v>
      </c>
      <c r="P63" s="261">
        <f t="shared" si="41"/>
        <v>2313.5300000000002</v>
      </c>
      <c r="Q63" s="261">
        <f t="shared" si="42"/>
        <v>2238.9</v>
      </c>
      <c r="R63" s="273">
        <f t="shared" si="43"/>
        <v>2313.5300000000002</v>
      </c>
      <c r="S63" s="274">
        <v>365</v>
      </c>
      <c r="T63"/>
      <c r="U63"/>
      <c r="V63" s="275"/>
      <c r="Z63"/>
      <c r="AA63"/>
    </row>
    <row r="64" spans="1:27" s="245" customFormat="1" x14ac:dyDescent="0.25">
      <c r="A64" s="354"/>
      <c r="B64" s="329">
        <v>6</v>
      </c>
      <c r="C64" s="276" t="s">
        <v>52</v>
      </c>
      <c r="D64" s="271">
        <v>74.63</v>
      </c>
      <c r="E64" s="272">
        <v>1</v>
      </c>
      <c r="F64" s="323">
        <f t="shared" si="33"/>
        <v>19926.21</v>
      </c>
      <c r="G64" s="288">
        <f t="shared" si="50"/>
        <v>2313.5300000000002</v>
      </c>
      <c r="H64" s="289">
        <f t="shared" si="51"/>
        <v>2089.64</v>
      </c>
      <c r="I64" s="288">
        <f t="shared" si="34"/>
        <v>2313.5300000000002</v>
      </c>
      <c r="J64" s="261">
        <f t="shared" si="35"/>
        <v>2238.9</v>
      </c>
      <c r="K64" s="261">
        <f t="shared" si="36"/>
        <v>2313.5300000000002</v>
      </c>
      <c r="L64" s="261">
        <f t="shared" si="37"/>
        <v>2238.9</v>
      </c>
      <c r="M64" s="261">
        <f t="shared" si="38"/>
        <v>2313.5300000000002</v>
      </c>
      <c r="N64" s="261">
        <f t="shared" si="39"/>
        <v>2313.5300000000002</v>
      </c>
      <c r="O64" s="261">
        <f t="shared" si="40"/>
        <v>2238.9</v>
      </c>
      <c r="P64" s="261">
        <v>-447.78</v>
      </c>
      <c r="Q64" s="261"/>
      <c r="R64" s="273"/>
      <c r="S64" s="274">
        <f>31+28+31+30+31+30+31+31+30-6</f>
        <v>267</v>
      </c>
      <c r="T64"/>
      <c r="U64"/>
      <c r="V64" s="275"/>
      <c r="Z64"/>
      <c r="AA64"/>
    </row>
    <row r="65" spans="1:27" s="245" customFormat="1" ht="15.75" customHeight="1" x14ac:dyDescent="0.25">
      <c r="A65" s="354"/>
      <c r="B65" s="329">
        <v>7</v>
      </c>
      <c r="C65" s="276" t="s">
        <v>53</v>
      </c>
      <c r="D65" s="271">
        <v>72.540000000000006</v>
      </c>
      <c r="E65" s="272">
        <v>1</v>
      </c>
      <c r="F65" s="323">
        <f t="shared" si="33"/>
        <v>26477.1</v>
      </c>
      <c r="G65" s="288">
        <f t="shared" si="50"/>
        <v>2248.7399999999998</v>
      </c>
      <c r="H65" s="289">
        <f t="shared" si="51"/>
        <v>2031.12</v>
      </c>
      <c r="I65" s="288">
        <f t="shared" si="34"/>
        <v>2248.7399999999998</v>
      </c>
      <c r="J65" s="261">
        <f t="shared" si="35"/>
        <v>2176.1999999999998</v>
      </c>
      <c r="K65" s="261">
        <f t="shared" si="36"/>
        <v>2248.7399999999998</v>
      </c>
      <c r="L65" s="261">
        <f t="shared" si="37"/>
        <v>2176.1999999999998</v>
      </c>
      <c r="M65" s="261">
        <f t="shared" si="38"/>
        <v>2248.7399999999998</v>
      </c>
      <c r="N65" s="261">
        <f t="shared" si="39"/>
        <v>2248.7399999999998</v>
      </c>
      <c r="O65" s="261">
        <f t="shared" si="40"/>
        <v>2176.1999999999998</v>
      </c>
      <c r="P65" s="261">
        <f t="shared" si="41"/>
        <v>2248.7399999999998</v>
      </c>
      <c r="Q65" s="261">
        <f t="shared" si="42"/>
        <v>2176.1999999999998</v>
      </c>
      <c r="R65" s="273">
        <f t="shared" si="43"/>
        <v>2248.7399999999998</v>
      </c>
      <c r="S65" s="274">
        <v>365</v>
      </c>
      <c r="T65"/>
      <c r="U65"/>
      <c r="V65" s="275"/>
      <c r="Z65"/>
      <c r="AA65"/>
    </row>
    <row r="66" spans="1:27" s="245" customFormat="1" ht="15.75" customHeight="1" x14ac:dyDescent="0.25">
      <c r="A66" s="354"/>
      <c r="B66" s="329">
        <v>8</v>
      </c>
      <c r="C66" s="276" t="s">
        <v>54</v>
      </c>
      <c r="D66" s="271">
        <v>78.25</v>
      </c>
      <c r="E66" s="272">
        <v>7</v>
      </c>
      <c r="F66" s="323">
        <f t="shared" si="33"/>
        <v>199928.75</v>
      </c>
      <c r="G66" s="288">
        <f t="shared" si="50"/>
        <v>16980.25</v>
      </c>
      <c r="H66" s="289">
        <f t="shared" si="51"/>
        <v>15337</v>
      </c>
      <c r="I66" s="288">
        <f t="shared" si="34"/>
        <v>16980.25</v>
      </c>
      <c r="J66" s="261">
        <f t="shared" si="35"/>
        <v>16432.5</v>
      </c>
      <c r="K66" s="261">
        <f t="shared" si="36"/>
        <v>16980.25</v>
      </c>
      <c r="L66" s="261">
        <f t="shared" si="37"/>
        <v>16432.5</v>
      </c>
      <c r="M66" s="261">
        <f t="shared" si="38"/>
        <v>16980.25</v>
      </c>
      <c r="N66" s="261">
        <f t="shared" si="39"/>
        <v>16980.25</v>
      </c>
      <c r="O66" s="261">
        <f t="shared" si="40"/>
        <v>16432.5</v>
      </c>
      <c r="P66" s="261">
        <f t="shared" si="41"/>
        <v>16980.25</v>
      </c>
      <c r="Q66" s="261">
        <f t="shared" si="42"/>
        <v>16432.5</v>
      </c>
      <c r="R66" s="273">
        <f t="shared" si="43"/>
        <v>16980.25</v>
      </c>
      <c r="S66" s="274">
        <v>365</v>
      </c>
      <c r="T66"/>
      <c r="U66"/>
      <c r="V66" s="275"/>
      <c r="Z66"/>
      <c r="AA66"/>
    </row>
    <row r="67" spans="1:27" s="245" customFormat="1" x14ac:dyDescent="0.25">
      <c r="A67" s="354"/>
      <c r="B67" s="329">
        <v>9</v>
      </c>
      <c r="C67" s="276" t="s">
        <v>55</v>
      </c>
      <c r="D67" s="271">
        <v>71.400000000000006</v>
      </c>
      <c r="E67" s="272">
        <v>42</v>
      </c>
      <c r="F67" s="323">
        <f t="shared" si="33"/>
        <v>1094562</v>
      </c>
      <c r="G67" s="288">
        <f t="shared" si="50"/>
        <v>92962.8</v>
      </c>
      <c r="H67" s="289">
        <f t="shared" si="51"/>
        <v>83966.399999999994</v>
      </c>
      <c r="I67" s="288">
        <f t="shared" si="34"/>
        <v>92962.8</v>
      </c>
      <c r="J67" s="261">
        <f t="shared" si="35"/>
        <v>89964</v>
      </c>
      <c r="K67" s="261">
        <f t="shared" si="36"/>
        <v>92962.8</v>
      </c>
      <c r="L67" s="261">
        <f t="shared" si="37"/>
        <v>89964</v>
      </c>
      <c r="M67" s="261">
        <f>E67*D67*31</f>
        <v>92962.8</v>
      </c>
      <c r="N67" s="261">
        <f t="shared" si="39"/>
        <v>92962.8</v>
      </c>
      <c r="O67" s="261">
        <f t="shared" si="40"/>
        <v>89964</v>
      </c>
      <c r="P67" s="261">
        <f t="shared" si="41"/>
        <v>92962.8</v>
      </c>
      <c r="Q67" s="261">
        <f t="shared" si="42"/>
        <v>89964</v>
      </c>
      <c r="R67" s="273">
        <f t="shared" si="43"/>
        <v>92962.8</v>
      </c>
      <c r="S67" s="274">
        <v>365</v>
      </c>
      <c r="T67"/>
      <c r="U67"/>
      <c r="V67" s="275"/>
      <c r="Z67"/>
      <c r="AA67"/>
    </row>
    <row r="68" spans="1:27" s="245" customFormat="1" x14ac:dyDescent="0.25">
      <c r="A68" s="354"/>
      <c r="B68" s="329">
        <v>9</v>
      </c>
      <c r="C68" s="276" t="s">
        <v>55</v>
      </c>
      <c r="D68" s="271">
        <v>71.400000000000006</v>
      </c>
      <c r="E68" s="272">
        <v>1</v>
      </c>
      <c r="F68" s="323">
        <f t="shared" si="33"/>
        <v>26061</v>
      </c>
      <c r="G68" s="288">
        <f t="shared" ref="G68" si="66">E68*D68*31</f>
        <v>2213.4</v>
      </c>
      <c r="H68" s="289">
        <f t="shared" ref="H68" si="67">E68*D68*28</f>
        <v>1999.2</v>
      </c>
      <c r="I68" s="288">
        <f t="shared" ref="I68" si="68">E68*D68*31</f>
        <v>2213.4</v>
      </c>
      <c r="J68" s="261">
        <f t="shared" ref="J68" si="69">E68*D68*30</f>
        <v>2142</v>
      </c>
      <c r="K68" s="261">
        <f t="shared" ref="K68" si="70">E68*D68*31</f>
        <v>2213.4</v>
      </c>
      <c r="L68" s="261">
        <f t="shared" ref="L68" si="71">E68*D68*30</f>
        <v>2142</v>
      </c>
      <c r="M68" s="261">
        <f>E68*D68*17</f>
        <v>1213.8</v>
      </c>
      <c r="N68" s="261">
        <f>E68*D68*31+D68*14</f>
        <v>3213</v>
      </c>
      <c r="O68" s="261">
        <f t="shared" si="40"/>
        <v>2142</v>
      </c>
      <c r="P68" s="261">
        <f t="shared" si="41"/>
        <v>2213.4</v>
      </c>
      <c r="Q68" s="261">
        <f t="shared" si="42"/>
        <v>2142</v>
      </c>
      <c r="R68" s="273">
        <f t="shared" si="43"/>
        <v>2213.4</v>
      </c>
      <c r="S68" s="274">
        <v>365</v>
      </c>
      <c r="T68"/>
      <c r="U68"/>
      <c r="V68" s="275"/>
      <c r="Z68"/>
      <c r="AA68"/>
    </row>
    <row r="69" spans="1:27" s="245" customFormat="1" x14ac:dyDescent="0.25">
      <c r="A69" s="354"/>
      <c r="B69" s="329">
        <v>10</v>
      </c>
      <c r="C69" s="276" t="s">
        <v>55</v>
      </c>
      <c r="D69" s="271">
        <v>71.400000000000006</v>
      </c>
      <c r="E69" s="272">
        <v>1</v>
      </c>
      <c r="F69" s="323">
        <f t="shared" si="33"/>
        <v>4212.6000000000004</v>
      </c>
      <c r="G69" s="288">
        <f>E69*D69*31</f>
        <v>2213.4</v>
      </c>
      <c r="H69" s="289">
        <f>E69*D69*28</f>
        <v>1999.2</v>
      </c>
      <c r="I69" s="288"/>
      <c r="J69" s="261"/>
      <c r="K69" s="261"/>
      <c r="L69" s="261"/>
      <c r="M69" s="261"/>
      <c r="N69" s="358"/>
      <c r="O69" s="261"/>
      <c r="P69" s="261"/>
      <c r="Q69" s="261"/>
      <c r="R69" s="273"/>
      <c r="S69" s="274">
        <f>31+28</f>
        <v>59</v>
      </c>
      <c r="T69"/>
      <c r="U69"/>
      <c r="V69" s="275"/>
      <c r="Z69"/>
      <c r="AA69"/>
    </row>
    <row r="70" spans="1:27" s="245" customFormat="1" x14ac:dyDescent="0.25">
      <c r="A70" s="354"/>
      <c r="B70" s="329">
        <v>13</v>
      </c>
      <c r="C70" s="276" t="s">
        <v>56</v>
      </c>
      <c r="D70" s="271">
        <v>72.540000000000006</v>
      </c>
      <c r="E70" s="317">
        <v>8</v>
      </c>
      <c r="F70" s="318">
        <f t="shared" si="33"/>
        <v>211816.8</v>
      </c>
      <c r="G70" s="319">
        <f t="shared" si="50"/>
        <v>17989.919999999998</v>
      </c>
      <c r="H70" s="320">
        <f t="shared" si="51"/>
        <v>16248.96</v>
      </c>
      <c r="I70" s="319">
        <f t="shared" si="34"/>
        <v>17989.919999999998</v>
      </c>
      <c r="J70" s="321">
        <f t="shared" si="35"/>
        <v>17409.599999999999</v>
      </c>
      <c r="K70" s="321">
        <f t="shared" si="36"/>
        <v>17989.919999999998</v>
      </c>
      <c r="L70" s="321">
        <f t="shared" si="37"/>
        <v>17409.599999999999</v>
      </c>
      <c r="M70" s="321">
        <f t="shared" si="38"/>
        <v>17989.919999999998</v>
      </c>
      <c r="N70" s="321">
        <f t="shared" ref="N70:N78" si="72">E70*D70*31</f>
        <v>17989.919999999998</v>
      </c>
      <c r="O70" s="321">
        <f t="shared" ref="O70:O78" si="73">E70*D70*30</f>
        <v>17409.599999999999</v>
      </c>
      <c r="P70" s="321">
        <f t="shared" ref="P70:P78" si="74">E70*D70*31</f>
        <v>17989.919999999998</v>
      </c>
      <c r="Q70" s="321">
        <f t="shared" ref="Q70:Q78" si="75">E70*D70*30</f>
        <v>17409.599999999999</v>
      </c>
      <c r="R70" s="322">
        <f t="shared" ref="R70:R78" si="76">E70*D70*31</f>
        <v>17989.919999999998</v>
      </c>
      <c r="S70" s="274">
        <v>365</v>
      </c>
      <c r="T70"/>
      <c r="U70"/>
      <c r="V70" s="275"/>
      <c r="Z70"/>
      <c r="AA70"/>
    </row>
    <row r="71" spans="1:27" s="245" customFormat="1" x14ac:dyDescent="0.25">
      <c r="A71" s="354"/>
      <c r="B71" s="329">
        <v>13</v>
      </c>
      <c r="C71" s="276" t="s">
        <v>56</v>
      </c>
      <c r="D71" s="271">
        <v>72.540000000000006</v>
      </c>
      <c r="E71" s="317">
        <v>1</v>
      </c>
      <c r="F71" s="318">
        <f t="shared" si="33"/>
        <v>19513.259999999998</v>
      </c>
      <c r="G71" s="319">
        <f t="shared" si="50"/>
        <v>2248.7399999999998</v>
      </c>
      <c r="H71" s="320">
        <f t="shared" si="51"/>
        <v>2031.12</v>
      </c>
      <c r="I71" s="319">
        <f t="shared" si="34"/>
        <v>2248.7399999999998</v>
      </c>
      <c r="J71" s="321">
        <f t="shared" si="35"/>
        <v>2176.1999999999998</v>
      </c>
      <c r="K71" s="321">
        <f t="shared" si="36"/>
        <v>2248.7399999999998</v>
      </c>
      <c r="L71" s="321">
        <f t="shared" si="37"/>
        <v>2176.1999999999998</v>
      </c>
      <c r="M71" s="321">
        <f t="shared" si="38"/>
        <v>2248.7399999999998</v>
      </c>
      <c r="N71" s="321">
        <f t="shared" si="72"/>
        <v>2248.7399999999998</v>
      </c>
      <c r="O71" s="321">
        <f t="shared" si="73"/>
        <v>2176.1999999999998</v>
      </c>
      <c r="P71" s="321">
        <v>-290.16000000000003</v>
      </c>
      <c r="Q71" s="321"/>
      <c r="R71" s="322"/>
      <c r="S71" s="274">
        <f>31+28+31+30+31+30+31+31+30-4</f>
        <v>269</v>
      </c>
      <c r="T71"/>
      <c r="U71"/>
      <c r="V71" s="275"/>
      <c r="Z71"/>
      <c r="AA71"/>
    </row>
    <row r="72" spans="1:27" x14ac:dyDescent="0.25">
      <c r="A72" s="348"/>
      <c r="B72" s="351">
        <v>14</v>
      </c>
      <c r="C72" s="343" t="s">
        <v>57</v>
      </c>
      <c r="D72" s="271">
        <v>71.400000000000006</v>
      </c>
      <c r="E72" s="317">
        <v>1</v>
      </c>
      <c r="F72" s="318">
        <f t="shared" si="33"/>
        <v>26061</v>
      </c>
      <c r="G72" s="319">
        <f t="shared" si="50"/>
        <v>2213.4</v>
      </c>
      <c r="H72" s="320">
        <f t="shared" si="51"/>
        <v>1999.2</v>
      </c>
      <c r="I72" s="319">
        <f t="shared" si="34"/>
        <v>2213.4</v>
      </c>
      <c r="J72" s="321">
        <f t="shared" si="35"/>
        <v>2142</v>
      </c>
      <c r="K72" s="321">
        <f t="shared" si="36"/>
        <v>2213.4</v>
      </c>
      <c r="L72" s="321">
        <f t="shared" si="37"/>
        <v>2142</v>
      </c>
      <c r="M72" s="321">
        <f t="shared" si="38"/>
        <v>2213.4</v>
      </c>
      <c r="N72" s="321">
        <f t="shared" si="72"/>
        <v>2213.4</v>
      </c>
      <c r="O72" s="321">
        <f t="shared" si="73"/>
        <v>2142</v>
      </c>
      <c r="P72" s="321">
        <f t="shared" si="74"/>
        <v>2213.4</v>
      </c>
      <c r="Q72" s="321">
        <f t="shared" si="75"/>
        <v>2142</v>
      </c>
      <c r="R72" s="322">
        <f t="shared" si="76"/>
        <v>2213.4</v>
      </c>
      <c r="S72" s="248">
        <v>365</v>
      </c>
      <c r="V72" s="249"/>
    </row>
    <row r="73" spans="1:27" x14ac:dyDescent="0.25">
      <c r="A73" s="348"/>
      <c r="B73" s="351">
        <v>15</v>
      </c>
      <c r="C73" s="343" t="s">
        <v>58</v>
      </c>
      <c r="D73" s="271">
        <v>74.63</v>
      </c>
      <c r="E73" s="317">
        <v>2</v>
      </c>
      <c r="F73" s="318">
        <f t="shared" si="33"/>
        <v>54479.9</v>
      </c>
      <c r="G73" s="319">
        <f t="shared" si="50"/>
        <v>4627.0600000000004</v>
      </c>
      <c r="H73" s="320">
        <f t="shared" si="51"/>
        <v>4179.28</v>
      </c>
      <c r="I73" s="319">
        <f t="shared" si="34"/>
        <v>4627.0600000000004</v>
      </c>
      <c r="J73" s="321">
        <f t="shared" si="35"/>
        <v>4477.8</v>
      </c>
      <c r="K73" s="321">
        <f t="shared" si="36"/>
        <v>4627.0600000000004</v>
      </c>
      <c r="L73" s="321">
        <f t="shared" si="37"/>
        <v>4477.8</v>
      </c>
      <c r="M73" s="321">
        <f t="shared" si="38"/>
        <v>4627.0600000000004</v>
      </c>
      <c r="N73" s="321">
        <f t="shared" si="72"/>
        <v>4627.0600000000004</v>
      </c>
      <c r="O73" s="321">
        <f t="shared" si="73"/>
        <v>4477.8</v>
      </c>
      <c r="P73" s="321">
        <f t="shared" si="74"/>
        <v>4627.0600000000004</v>
      </c>
      <c r="Q73" s="321">
        <f t="shared" si="75"/>
        <v>4477.8</v>
      </c>
      <c r="R73" s="322">
        <f t="shared" si="76"/>
        <v>4627.0600000000004</v>
      </c>
      <c r="S73" s="248">
        <v>365</v>
      </c>
      <c r="V73" s="249"/>
    </row>
    <row r="74" spans="1:27" s="245" customFormat="1" x14ac:dyDescent="0.25">
      <c r="A74" s="354"/>
      <c r="B74" s="329">
        <v>16</v>
      </c>
      <c r="C74" s="276" t="s">
        <v>153</v>
      </c>
      <c r="D74" s="271">
        <v>71.400000000000006</v>
      </c>
      <c r="E74" s="317">
        <v>2</v>
      </c>
      <c r="F74" s="318">
        <f t="shared" si="33"/>
        <v>34700.400000000001</v>
      </c>
      <c r="G74" s="319"/>
      <c r="H74" s="320"/>
      <c r="I74" s="319"/>
      <c r="J74" s="321"/>
      <c r="K74" s="321"/>
      <c r="L74" s="321">
        <f>+D74*E74*29+D74*E74*30</f>
        <v>8425.2000000000007</v>
      </c>
      <c r="M74" s="321">
        <f t="shared" si="38"/>
        <v>4426.8</v>
      </c>
      <c r="N74" s="321">
        <f t="shared" si="72"/>
        <v>4426.8</v>
      </c>
      <c r="O74" s="321">
        <f t="shared" si="73"/>
        <v>4284</v>
      </c>
      <c r="P74" s="321">
        <f t="shared" si="74"/>
        <v>4426.8</v>
      </c>
      <c r="Q74" s="321">
        <f t="shared" si="75"/>
        <v>4284</v>
      </c>
      <c r="R74" s="322">
        <f t="shared" si="76"/>
        <v>4426.8</v>
      </c>
      <c r="S74" s="274">
        <f>29+30+31+31+30+31+30+31</f>
        <v>243</v>
      </c>
      <c r="T74"/>
      <c r="U74"/>
      <c r="V74" s="275"/>
      <c r="Z74"/>
      <c r="AA74"/>
    </row>
    <row r="75" spans="1:27" s="245" customFormat="1" x14ac:dyDescent="0.25">
      <c r="A75" s="354"/>
      <c r="B75" s="329">
        <v>17</v>
      </c>
      <c r="C75" s="276" t="s">
        <v>153</v>
      </c>
      <c r="D75" s="271">
        <v>71.400000000000006</v>
      </c>
      <c r="E75" s="317">
        <v>1</v>
      </c>
      <c r="F75" s="318">
        <f t="shared" si="33"/>
        <v>16350.6</v>
      </c>
      <c r="G75" s="319"/>
      <c r="H75" s="320"/>
      <c r="I75" s="319"/>
      <c r="J75" s="321"/>
      <c r="K75" s="321"/>
      <c r="L75" s="321">
        <f>+D75*E75*15+D75*E75*30</f>
        <v>3213</v>
      </c>
      <c r="M75" s="321">
        <f>E75*D75*31</f>
        <v>2213.4</v>
      </c>
      <c r="N75" s="321">
        <f t="shared" si="72"/>
        <v>2213.4</v>
      </c>
      <c r="O75" s="321">
        <f t="shared" si="73"/>
        <v>2142</v>
      </c>
      <c r="P75" s="321">
        <f t="shared" si="74"/>
        <v>2213.4</v>
      </c>
      <c r="Q75" s="321">
        <f t="shared" si="75"/>
        <v>2142</v>
      </c>
      <c r="R75" s="322">
        <f t="shared" si="76"/>
        <v>2213.4</v>
      </c>
      <c r="S75" s="274">
        <f>15+30+31+31+30+31+30+31</f>
        <v>229</v>
      </c>
      <c r="T75"/>
      <c r="U75"/>
      <c r="V75" s="275"/>
      <c r="Z75"/>
      <c r="AA75"/>
    </row>
    <row r="76" spans="1:27" s="245" customFormat="1" x14ac:dyDescent="0.25">
      <c r="A76" s="354"/>
      <c r="B76" s="329">
        <v>17</v>
      </c>
      <c r="C76" s="276" t="s">
        <v>153</v>
      </c>
      <c r="D76" s="271">
        <v>71.400000000000006</v>
      </c>
      <c r="E76" s="317">
        <v>1</v>
      </c>
      <c r="F76" s="318">
        <f t="shared" si="33"/>
        <v>15279.6</v>
      </c>
      <c r="G76" s="319"/>
      <c r="H76" s="320"/>
      <c r="I76" s="319"/>
      <c r="J76" s="321"/>
      <c r="K76" s="321"/>
      <c r="L76" s="321"/>
      <c r="M76" s="321">
        <f>D76*E76*30+D76*E76*31</f>
        <v>4355.3999999999996</v>
      </c>
      <c r="N76" s="321">
        <f t="shared" si="72"/>
        <v>2213.4</v>
      </c>
      <c r="O76" s="321">
        <f t="shared" si="73"/>
        <v>2142</v>
      </c>
      <c r="P76" s="321">
        <f t="shared" si="74"/>
        <v>2213.4</v>
      </c>
      <c r="Q76" s="321">
        <f t="shared" si="75"/>
        <v>2142</v>
      </c>
      <c r="R76" s="322">
        <f t="shared" si="76"/>
        <v>2213.4</v>
      </c>
      <c r="S76" s="274">
        <f>30+31+31+30+31+30+31</f>
        <v>214</v>
      </c>
      <c r="U76"/>
      <c r="V76" s="275"/>
      <c r="Z76"/>
      <c r="AA76"/>
    </row>
    <row r="77" spans="1:27" s="245" customFormat="1" x14ac:dyDescent="0.25">
      <c r="A77" s="354"/>
      <c r="B77" s="329">
        <v>18</v>
      </c>
      <c r="C77" s="276" t="s">
        <v>56</v>
      </c>
      <c r="D77" s="271">
        <v>72.540000000000006</v>
      </c>
      <c r="E77" s="317">
        <v>1</v>
      </c>
      <c r="F77" s="318">
        <f t="shared" si="33"/>
        <v>17627.22</v>
      </c>
      <c r="G77" s="319"/>
      <c r="H77" s="320"/>
      <c r="I77" s="319"/>
      <c r="J77" s="321"/>
      <c r="K77" s="321"/>
      <c r="L77" s="321">
        <f>+D77*E77*29+D77*E77*30</f>
        <v>4279.8599999999997</v>
      </c>
      <c r="M77" s="321">
        <f t="shared" si="38"/>
        <v>2248.7399999999998</v>
      </c>
      <c r="N77" s="321">
        <f t="shared" si="72"/>
        <v>2248.7399999999998</v>
      </c>
      <c r="O77" s="321">
        <f t="shared" si="73"/>
        <v>2176.1999999999998</v>
      </c>
      <c r="P77" s="321">
        <f t="shared" si="74"/>
        <v>2248.7399999999998</v>
      </c>
      <c r="Q77" s="321">
        <f t="shared" si="75"/>
        <v>2176.1999999999998</v>
      </c>
      <c r="R77" s="322">
        <f t="shared" si="76"/>
        <v>2248.7399999999998</v>
      </c>
      <c r="S77" s="274">
        <v>243</v>
      </c>
      <c r="U77"/>
      <c r="V77" s="275"/>
      <c r="Z77"/>
      <c r="AA77"/>
    </row>
    <row r="78" spans="1:27" s="245" customFormat="1" x14ac:dyDescent="0.25">
      <c r="A78" s="354"/>
      <c r="B78" s="329">
        <v>19</v>
      </c>
      <c r="C78" s="276" t="s">
        <v>15</v>
      </c>
      <c r="D78" s="271">
        <v>71.400000000000006</v>
      </c>
      <c r="E78" s="317">
        <v>1</v>
      </c>
      <c r="F78" s="318">
        <f>+E78*S78*D78</f>
        <v>17350.2</v>
      </c>
      <c r="G78" s="319"/>
      <c r="H78" s="320"/>
      <c r="I78" s="319"/>
      <c r="J78" s="321"/>
      <c r="K78" s="321"/>
      <c r="L78" s="321">
        <f>E78*D78*29+E78*D78*30</f>
        <v>4212.6000000000004</v>
      </c>
      <c r="M78" s="321">
        <f t="shared" si="38"/>
        <v>2213.4</v>
      </c>
      <c r="N78" s="321">
        <f t="shared" si="72"/>
        <v>2213.4</v>
      </c>
      <c r="O78" s="321">
        <f t="shared" si="73"/>
        <v>2142</v>
      </c>
      <c r="P78" s="321">
        <f t="shared" si="74"/>
        <v>2213.4</v>
      </c>
      <c r="Q78" s="321">
        <f t="shared" si="75"/>
        <v>2142</v>
      </c>
      <c r="R78" s="322">
        <f t="shared" si="76"/>
        <v>2213.4</v>
      </c>
      <c r="S78" s="274">
        <v>243</v>
      </c>
      <c r="U78"/>
      <c r="V78" s="275"/>
    </row>
    <row r="79" spans="1:27" x14ac:dyDescent="0.25">
      <c r="A79" s="348"/>
      <c r="B79" s="351"/>
      <c r="C79" s="343" t="s">
        <v>40</v>
      </c>
      <c r="D79" s="83"/>
      <c r="E79" s="84"/>
      <c r="F79" s="88">
        <f>2326267-SUM(F55:F78)-100000-26500</f>
        <v>938.28</v>
      </c>
      <c r="G79" s="103"/>
      <c r="H79" s="87"/>
      <c r="I79" s="86"/>
      <c r="J79" s="86"/>
      <c r="K79" s="86"/>
      <c r="L79" s="86"/>
      <c r="M79" s="86"/>
      <c r="N79" s="86"/>
      <c r="O79" s="330"/>
      <c r="P79" s="358"/>
      <c r="Q79" s="86"/>
      <c r="R79" s="322"/>
      <c r="S79" s="173">
        <f>+F79-T79</f>
        <v>0</v>
      </c>
      <c r="T79">
        <v>938.28</v>
      </c>
      <c r="V79" s="249"/>
    </row>
    <row r="80" spans="1:27" ht="33.6" customHeight="1" x14ac:dyDescent="0.25">
      <c r="A80" s="348"/>
      <c r="B80" s="351"/>
      <c r="C80" s="485" t="s">
        <v>59</v>
      </c>
      <c r="D80" s="485"/>
      <c r="E80" s="104">
        <f>SUM(E82:E103)</f>
        <v>162</v>
      </c>
      <c r="F80" s="253">
        <f>SUM(F82:F104)</f>
        <v>4619145</v>
      </c>
      <c r="G80" s="253">
        <f t="shared" ref="G80:Q80" si="77">SUM(G82:G103)</f>
        <v>507381.34</v>
      </c>
      <c r="H80" s="253">
        <f t="shared" si="77"/>
        <v>462278.32</v>
      </c>
      <c r="I80" s="280">
        <f t="shared" si="77"/>
        <v>513807.34</v>
      </c>
      <c r="J80" s="253">
        <f t="shared" si="77"/>
        <v>346248.9</v>
      </c>
      <c r="K80" s="253">
        <f t="shared" si="77"/>
        <v>357790.53</v>
      </c>
      <c r="L80" s="253">
        <f t="shared" si="77"/>
        <v>344106.9</v>
      </c>
      <c r="M80" s="253">
        <f t="shared" si="77"/>
        <v>353363.73</v>
      </c>
      <c r="N80" s="253">
        <f t="shared" si="77"/>
        <v>351150.33</v>
      </c>
      <c r="O80" s="253">
        <f t="shared" si="77"/>
        <v>340751.1</v>
      </c>
      <c r="P80" s="253">
        <f t="shared" si="77"/>
        <v>351150.33</v>
      </c>
      <c r="Q80" s="253">
        <f t="shared" si="77"/>
        <v>333396.90000000002</v>
      </c>
      <c r="R80" s="254">
        <f>SUM(R82:R104)</f>
        <v>344510.13</v>
      </c>
      <c r="S80" s="248"/>
      <c r="V80" s="249"/>
    </row>
    <row r="81" spans="1:22" ht="16.899999999999999" customHeight="1" x14ac:dyDescent="0.25">
      <c r="A81" s="348"/>
      <c r="B81" s="351"/>
      <c r="C81" s="345"/>
      <c r="D81" s="345"/>
      <c r="E81" s="441" t="s">
        <v>151</v>
      </c>
      <c r="F81" s="443">
        <v>0</v>
      </c>
      <c r="G81" s="253"/>
      <c r="H81" s="253"/>
      <c r="I81" s="253"/>
      <c r="J81" s="253"/>
      <c r="K81" s="253"/>
      <c r="L81" s="253"/>
      <c r="M81" s="355"/>
      <c r="N81" s="312"/>
      <c r="O81" s="357"/>
      <c r="P81" s="253"/>
      <c r="Q81" s="253"/>
      <c r="R81" s="254"/>
      <c r="S81" s="248"/>
      <c r="V81" s="249"/>
    </row>
    <row r="82" spans="1:22" x14ac:dyDescent="0.25">
      <c r="A82" s="348"/>
      <c r="B82" s="351">
        <v>1</v>
      </c>
      <c r="C82" s="343" t="s">
        <v>44</v>
      </c>
      <c r="D82" s="83">
        <v>72.540000000000006</v>
      </c>
      <c r="E82" s="84">
        <v>1</v>
      </c>
      <c r="F82" s="86">
        <f t="shared" ref="F82:F94" si="78">+E82*S82*D82</f>
        <v>26477.1</v>
      </c>
      <c r="G82" s="86">
        <f t="shared" ref="G82:G87" si="79">E82*D82*31</f>
        <v>2248.7399999999998</v>
      </c>
      <c r="H82" s="87">
        <f t="shared" ref="H82:H87" si="80">E82*D82*28</f>
        <v>2031.12</v>
      </c>
      <c r="I82" s="86">
        <f t="shared" ref="I82:I91" si="81">E82*D82*31</f>
        <v>2248.7399999999998</v>
      </c>
      <c r="J82" s="86">
        <f t="shared" ref="J82:J91" si="82">E82*D82*30</f>
        <v>2176.1999999999998</v>
      </c>
      <c r="K82" s="86">
        <f t="shared" ref="K82:K91" si="83">E82*D82*31</f>
        <v>2248.7399999999998</v>
      </c>
      <c r="L82" s="86">
        <f t="shared" ref="L82:L91" si="84">E82*D82*30</f>
        <v>2176.1999999999998</v>
      </c>
      <c r="M82" s="86">
        <f t="shared" ref="M82:M91" si="85">E82*D82*31</f>
        <v>2248.7399999999998</v>
      </c>
      <c r="N82" s="86">
        <f t="shared" ref="N82:N87" si="86">E82*D82*31</f>
        <v>2248.7399999999998</v>
      </c>
      <c r="O82" s="86">
        <f t="shared" ref="O82:O87" si="87">E82*D82*30</f>
        <v>2176.1999999999998</v>
      </c>
      <c r="P82" s="86">
        <f t="shared" ref="P82:P87" si="88">E82*D82*31</f>
        <v>2248.7399999999998</v>
      </c>
      <c r="Q82" s="86">
        <f t="shared" ref="Q82:Q87" si="89">E82*D82*30</f>
        <v>2176.1999999999998</v>
      </c>
      <c r="R82" s="102">
        <f t="shared" ref="R82:R87" si="90">E82*D82*31</f>
        <v>2248.7399999999998</v>
      </c>
      <c r="S82" s="248">
        <v>365</v>
      </c>
      <c r="V82" s="249"/>
    </row>
    <row r="83" spans="1:22" x14ac:dyDescent="0.25">
      <c r="A83" s="348"/>
      <c r="B83" s="351">
        <v>2</v>
      </c>
      <c r="C83" s="343" t="s">
        <v>60</v>
      </c>
      <c r="D83" s="83">
        <v>73.59</v>
      </c>
      <c r="E83" s="84">
        <v>2</v>
      </c>
      <c r="F83" s="86">
        <f t="shared" si="78"/>
        <v>53720.7</v>
      </c>
      <c r="G83" s="86">
        <f t="shared" si="79"/>
        <v>4562.58</v>
      </c>
      <c r="H83" s="87">
        <f t="shared" si="80"/>
        <v>4121.04</v>
      </c>
      <c r="I83" s="86">
        <f t="shared" si="81"/>
        <v>4562.58</v>
      </c>
      <c r="J83" s="86">
        <f t="shared" si="82"/>
        <v>4415.3999999999996</v>
      </c>
      <c r="K83" s="86">
        <f t="shared" si="83"/>
        <v>4562.58</v>
      </c>
      <c r="L83" s="86">
        <f t="shared" si="84"/>
        <v>4415.3999999999996</v>
      </c>
      <c r="M83" s="86">
        <f t="shared" si="85"/>
        <v>4562.58</v>
      </c>
      <c r="N83" s="86">
        <f t="shared" si="86"/>
        <v>4562.58</v>
      </c>
      <c r="O83" s="86">
        <f t="shared" si="87"/>
        <v>4415.3999999999996</v>
      </c>
      <c r="P83" s="86">
        <f t="shared" si="88"/>
        <v>4562.58</v>
      </c>
      <c r="Q83" s="86">
        <f t="shared" si="89"/>
        <v>4415.3999999999996</v>
      </c>
      <c r="R83" s="102">
        <f t="shared" si="90"/>
        <v>4562.58</v>
      </c>
      <c r="S83" s="248">
        <v>365</v>
      </c>
      <c r="V83" s="249"/>
    </row>
    <row r="84" spans="1:22" x14ac:dyDescent="0.25">
      <c r="A84" s="348"/>
      <c r="B84" s="351">
        <v>3</v>
      </c>
      <c r="C84" s="343" t="s">
        <v>61</v>
      </c>
      <c r="D84" s="83">
        <v>74.63</v>
      </c>
      <c r="E84" s="84">
        <v>2</v>
      </c>
      <c r="F84" s="86">
        <f t="shared" si="78"/>
        <v>54479.9</v>
      </c>
      <c r="G84" s="86">
        <f t="shared" si="79"/>
        <v>4627.0600000000004</v>
      </c>
      <c r="H84" s="87">
        <f t="shared" si="80"/>
        <v>4179.28</v>
      </c>
      <c r="I84" s="86">
        <f t="shared" si="81"/>
        <v>4627.0600000000004</v>
      </c>
      <c r="J84" s="86">
        <f t="shared" si="82"/>
        <v>4477.8</v>
      </c>
      <c r="K84" s="86">
        <f t="shared" si="83"/>
        <v>4627.0600000000004</v>
      </c>
      <c r="L84" s="86">
        <f t="shared" si="84"/>
        <v>4477.8</v>
      </c>
      <c r="M84" s="86">
        <f t="shared" si="85"/>
        <v>4627.0600000000004</v>
      </c>
      <c r="N84" s="86">
        <f t="shared" si="86"/>
        <v>4627.0600000000004</v>
      </c>
      <c r="O84" s="86">
        <f t="shared" si="87"/>
        <v>4477.8</v>
      </c>
      <c r="P84" s="86">
        <f t="shared" si="88"/>
        <v>4627.0600000000004</v>
      </c>
      <c r="Q84" s="86">
        <f t="shared" si="89"/>
        <v>4477.8</v>
      </c>
      <c r="R84" s="102">
        <f t="shared" si="90"/>
        <v>4627.0600000000004</v>
      </c>
      <c r="S84" s="248">
        <v>365</v>
      </c>
      <c r="V84" s="249"/>
    </row>
    <row r="85" spans="1:22" x14ac:dyDescent="0.25">
      <c r="A85" s="348"/>
      <c r="B85" s="351">
        <v>4</v>
      </c>
      <c r="C85" s="343" t="s">
        <v>36</v>
      </c>
      <c r="D85" s="83">
        <v>71.400000000000006</v>
      </c>
      <c r="E85" s="84">
        <v>4</v>
      </c>
      <c r="F85" s="86">
        <f t="shared" si="78"/>
        <v>104244</v>
      </c>
      <c r="G85" s="86">
        <f t="shared" si="79"/>
        <v>8853.6</v>
      </c>
      <c r="H85" s="87">
        <f t="shared" si="80"/>
        <v>7996.8</v>
      </c>
      <c r="I85" s="86">
        <f t="shared" si="81"/>
        <v>8853.6</v>
      </c>
      <c r="J85" s="86">
        <f t="shared" si="82"/>
        <v>8568</v>
      </c>
      <c r="K85" s="86">
        <f t="shared" si="83"/>
        <v>8853.6</v>
      </c>
      <c r="L85" s="86">
        <f t="shared" si="84"/>
        <v>8568</v>
      </c>
      <c r="M85" s="86">
        <f t="shared" si="85"/>
        <v>8853.6</v>
      </c>
      <c r="N85" s="86">
        <f t="shared" si="86"/>
        <v>8853.6</v>
      </c>
      <c r="O85" s="86">
        <f t="shared" si="87"/>
        <v>8568</v>
      </c>
      <c r="P85" s="86">
        <f t="shared" si="88"/>
        <v>8853.6</v>
      </c>
      <c r="Q85" s="86">
        <f t="shared" si="89"/>
        <v>8568</v>
      </c>
      <c r="R85" s="102">
        <f t="shared" si="90"/>
        <v>8853.6</v>
      </c>
      <c r="S85" s="248">
        <v>365</v>
      </c>
      <c r="V85" s="249"/>
    </row>
    <row r="86" spans="1:22" x14ac:dyDescent="0.25">
      <c r="A86" s="348"/>
      <c r="B86" s="351">
        <v>5</v>
      </c>
      <c r="C86" s="343" t="s">
        <v>54</v>
      </c>
      <c r="D86" s="83">
        <v>78.25</v>
      </c>
      <c r="E86" s="84">
        <v>5</v>
      </c>
      <c r="F86" s="86">
        <f t="shared" si="78"/>
        <v>142806.25</v>
      </c>
      <c r="G86" s="86">
        <f t="shared" si="79"/>
        <v>12128.75</v>
      </c>
      <c r="H86" s="87">
        <f t="shared" si="80"/>
        <v>10955</v>
      </c>
      <c r="I86" s="86">
        <f t="shared" si="81"/>
        <v>12128.75</v>
      </c>
      <c r="J86" s="86">
        <f t="shared" si="82"/>
        <v>11737.5</v>
      </c>
      <c r="K86" s="86">
        <f t="shared" si="83"/>
        <v>12128.75</v>
      </c>
      <c r="L86" s="86">
        <f t="shared" si="84"/>
        <v>11737.5</v>
      </c>
      <c r="M86" s="86">
        <f t="shared" si="85"/>
        <v>12128.75</v>
      </c>
      <c r="N86" s="86">
        <f t="shared" si="86"/>
        <v>12128.75</v>
      </c>
      <c r="O86" s="86">
        <f t="shared" si="87"/>
        <v>11737.5</v>
      </c>
      <c r="P86" s="86">
        <f t="shared" si="88"/>
        <v>12128.75</v>
      </c>
      <c r="Q86" s="86">
        <f t="shared" si="89"/>
        <v>11737.5</v>
      </c>
      <c r="R86" s="102">
        <f t="shared" si="90"/>
        <v>12128.75</v>
      </c>
      <c r="S86" s="248">
        <v>365</v>
      </c>
      <c r="V86" s="249"/>
    </row>
    <row r="87" spans="1:22" x14ac:dyDescent="0.25">
      <c r="A87" s="348"/>
      <c r="B87" s="351">
        <v>6</v>
      </c>
      <c r="C87" s="343" t="s">
        <v>55</v>
      </c>
      <c r="D87" s="83">
        <v>71.400000000000006</v>
      </c>
      <c r="E87" s="84">
        <v>14</v>
      </c>
      <c r="F87" s="86">
        <f t="shared" si="78"/>
        <v>364854</v>
      </c>
      <c r="G87" s="86">
        <f t="shared" si="79"/>
        <v>30987.599999999999</v>
      </c>
      <c r="H87" s="87">
        <f t="shared" si="80"/>
        <v>27988.799999999999</v>
      </c>
      <c r="I87" s="86">
        <f t="shared" si="81"/>
        <v>30987.599999999999</v>
      </c>
      <c r="J87" s="86">
        <f t="shared" si="82"/>
        <v>29988</v>
      </c>
      <c r="K87" s="86">
        <f t="shared" si="83"/>
        <v>30987.599999999999</v>
      </c>
      <c r="L87" s="86">
        <f t="shared" si="84"/>
        <v>29988</v>
      </c>
      <c r="M87" s="86">
        <f t="shared" si="85"/>
        <v>30987.599999999999</v>
      </c>
      <c r="N87" s="86">
        <f t="shared" si="86"/>
        <v>30987.599999999999</v>
      </c>
      <c r="O87" s="86">
        <f t="shared" si="87"/>
        <v>29988</v>
      </c>
      <c r="P87" s="86">
        <f t="shared" si="88"/>
        <v>30987.599999999999</v>
      </c>
      <c r="Q87" s="86">
        <f t="shared" si="89"/>
        <v>29988</v>
      </c>
      <c r="R87" s="102">
        <f t="shared" si="90"/>
        <v>30987.599999999999</v>
      </c>
      <c r="S87" s="248">
        <v>365</v>
      </c>
      <c r="V87" s="249"/>
    </row>
    <row r="88" spans="1:22" s="245" customFormat="1" x14ac:dyDescent="0.25">
      <c r="A88" s="354"/>
      <c r="B88" s="329">
        <v>8</v>
      </c>
      <c r="C88" s="276" t="s">
        <v>62</v>
      </c>
      <c r="D88" s="271">
        <v>71.400000000000006</v>
      </c>
      <c r="E88" s="272">
        <v>1</v>
      </c>
      <c r="F88" s="261">
        <f t="shared" si="78"/>
        <v>16065</v>
      </c>
      <c r="G88" s="261">
        <f>E88*D88*31</f>
        <v>2213.4</v>
      </c>
      <c r="H88" s="262">
        <f>E88*D88*28</f>
        <v>1999.2</v>
      </c>
      <c r="I88" s="261">
        <f t="shared" ref="I88" si="91">E88*D88*31</f>
        <v>2213.4</v>
      </c>
      <c r="J88" s="261">
        <f t="shared" ref="J88" si="92">E88*D88*30</f>
        <v>2142</v>
      </c>
      <c r="K88" s="261">
        <f t="shared" ref="K88" si="93">E88*D88*31</f>
        <v>2213.4</v>
      </c>
      <c r="L88" s="261">
        <f t="shared" ref="L88" si="94">E88*D88*30</f>
        <v>2142</v>
      </c>
      <c r="M88" s="261">
        <f t="shared" ref="M88" si="95">E88*D88*31</f>
        <v>2213.4</v>
      </c>
      <c r="N88" s="261"/>
      <c r="O88" s="261">
        <f>+D88*13</f>
        <v>928.2</v>
      </c>
      <c r="P88" s="261"/>
      <c r="Q88" s="261"/>
      <c r="R88" s="273"/>
      <c r="S88" s="274">
        <f>31+28+31+30+31+30+31+13</f>
        <v>225</v>
      </c>
      <c r="T88"/>
      <c r="U88"/>
      <c r="V88" s="275"/>
    </row>
    <row r="89" spans="1:22" x14ac:dyDescent="0.25">
      <c r="A89" s="348"/>
      <c r="B89" s="351">
        <v>8</v>
      </c>
      <c r="C89" s="343" t="s">
        <v>62</v>
      </c>
      <c r="D89" s="83">
        <v>71.400000000000006</v>
      </c>
      <c r="E89" s="84">
        <v>126</v>
      </c>
      <c r="F89" s="86">
        <f t="shared" si="78"/>
        <v>3283686</v>
      </c>
      <c r="G89" s="86">
        <f>E89*D89*31</f>
        <v>278888.40000000002</v>
      </c>
      <c r="H89" s="87">
        <f>E89*D89*28</f>
        <v>251899.2</v>
      </c>
      <c r="I89" s="86">
        <f t="shared" si="81"/>
        <v>278888.40000000002</v>
      </c>
      <c r="J89" s="86">
        <f t="shared" si="82"/>
        <v>269892</v>
      </c>
      <c r="K89" s="86">
        <f t="shared" si="83"/>
        <v>278888.40000000002</v>
      </c>
      <c r="L89" s="86">
        <f t="shared" si="84"/>
        <v>269892</v>
      </c>
      <c r="M89" s="86">
        <f t="shared" si="85"/>
        <v>278888.40000000002</v>
      </c>
      <c r="N89" s="86">
        <f>E89*D89*31</f>
        <v>278888.40000000002</v>
      </c>
      <c r="O89" s="86">
        <f>E89*D89*30</f>
        <v>269892</v>
      </c>
      <c r="P89" s="86">
        <f>E89*D89*31</f>
        <v>278888.40000000002</v>
      </c>
      <c r="Q89" s="86">
        <f>E89*D89*30</f>
        <v>269892</v>
      </c>
      <c r="R89" s="102">
        <f>E89*D89*31</f>
        <v>278888.40000000002</v>
      </c>
      <c r="S89" s="248">
        <v>365</v>
      </c>
      <c r="V89" s="249"/>
    </row>
    <row r="90" spans="1:22" s="245" customFormat="1" x14ac:dyDescent="0.25">
      <c r="A90" s="354"/>
      <c r="B90" s="329">
        <v>8</v>
      </c>
      <c r="C90" s="276" t="s">
        <v>62</v>
      </c>
      <c r="D90" s="271">
        <v>71.400000000000006</v>
      </c>
      <c r="E90" s="272">
        <v>1</v>
      </c>
      <c r="F90" s="261">
        <f t="shared" ref="F90" si="96">+E90*S90*D90</f>
        <v>25846.799999999999</v>
      </c>
      <c r="G90" s="261">
        <f>E90*D90*31-(D90*31)</f>
        <v>0</v>
      </c>
      <c r="H90" s="262">
        <f>E90*D90*28+1999.2</f>
        <v>3998.4</v>
      </c>
      <c r="I90" s="261">
        <f t="shared" ref="I90" si="97">E90*D90*31</f>
        <v>2213.4</v>
      </c>
      <c r="J90" s="261">
        <f t="shared" ref="J90" si="98">E90*D90*30</f>
        <v>2142</v>
      </c>
      <c r="K90" s="261">
        <f t="shared" ref="K90" si="99">E90*D90*31</f>
        <v>2213.4</v>
      </c>
      <c r="L90" s="261">
        <f t="shared" ref="L90" si="100">E90*D90*30</f>
        <v>2142</v>
      </c>
      <c r="M90" s="261">
        <f t="shared" ref="M90" si="101">E90*D90*31</f>
        <v>2213.4</v>
      </c>
      <c r="N90" s="261">
        <f>E90*D90*31</f>
        <v>2213.4</v>
      </c>
      <c r="O90" s="261">
        <f>E90*D90*30</f>
        <v>2142</v>
      </c>
      <c r="P90" s="261">
        <f>E90*D90*31</f>
        <v>2213.4</v>
      </c>
      <c r="Q90" s="261">
        <f>E90*D90*30</f>
        <v>2142</v>
      </c>
      <c r="R90" s="273">
        <f>E90*D90*31</f>
        <v>2213.4</v>
      </c>
      <c r="S90" s="274">
        <f>28+28+31+30+31+30+31+31+30+31+30+31</f>
        <v>362</v>
      </c>
      <c r="V90" s="275"/>
    </row>
    <row r="91" spans="1:22" s="245" customFormat="1" x14ac:dyDescent="0.25">
      <c r="A91" s="354"/>
      <c r="B91" s="329">
        <v>8</v>
      </c>
      <c r="C91" s="276" t="s">
        <v>62</v>
      </c>
      <c r="D91" s="271">
        <v>71.400000000000006</v>
      </c>
      <c r="E91" s="272">
        <v>3</v>
      </c>
      <c r="F91" s="261">
        <f t="shared" si="78"/>
        <v>65116.800000000003</v>
      </c>
      <c r="G91" s="261">
        <f>E91*D91*31</f>
        <v>6640.2</v>
      </c>
      <c r="H91" s="262">
        <f>E91*D91*28</f>
        <v>5997.6</v>
      </c>
      <c r="I91" s="261">
        <f t="shared" si="81"/>
        <v>6640.2</v>
      </c>
      <c r="J91" s="261">
        <f t="shared" si="82"/>
        <v>6426</v>
      </c>
      <c r="K91" s="261">
        <f t="shared" si="83"/>
        <v>6640.2</v>
      </c>
      <c r="L91" s="261">
        <f t="shared" si="84"/>
        <v>6426</v>
      </c>
      <c r="M91" s="261">
        <f t="shared" si="85"/>
        <v>6640.2</v>
      </c>
      <c r="N91" s="261">
        <f>E91*D91*31</f>
        <v>6640.2</v>
      </c>
      <c r="O91" s="261">
        <f>E91*D91*30</f>
        <v>6426</v>
      </c>
      <c r="P91" s="261">
        <f>E91*D91*31</f>
        <v>6640.2</v>
      </c>
      <c r="Q91" s="261"/>
      <c r="R91" s="273"/>
      <c r="S91" s="274">
        <f>31+28+31+30+31+30+31+31+30+31</f>
        <v>304</v>
      </c>
      <c r="T91"/>
      <c r="U91"/>
      <c r="V91" s="275"/>
    </row>
    <row r="92" spans="1:22" s="245" customFormat="1" x14ac:dyDescent="0.25">
      <c r="A92" s="354"/>
      <c r="B92" s="329">
        <v>8</v>
      </c>
      <c r="C92" s="276" t="s">
        <v>62</v>
      </c>
      <c r="D92" s="271">
        <v>71.400000000000006</v>
      </c>
      <c r="E92" s="272">
        <v>1</v>
      </c>
      <c r="F92" s="261">
        <f t="shared" si="78"/>
        <v>12923.4</v>
      </c>
      <c r="G92" s="261">
        <f>E92*D92*31</f>
        <v>2213.4</v>
      </c>
      <c r="H92" s="262">
        <f>E92*D92*28</f>
        <v>1999.2</v>
      </c>
      <c r="I92" s="261">
        <f>E92*D92*31</f>
        <v>2213.4</v>
      </c>
      <c r="J92" s="261">
        <f>E92*D92*30</f>
        <v>2142</v>
      </c>
      <c r="K92" s="261">
        <f>E92*D92*31</f>
        <v>2213.4</v>
      </c>
      <c r="L92" s="261">
        <f t="shared" ref="L92" si="102">E92*D92*30</f>
        <v>2142</v>
      </c>
      <c r="M92" s="261"/>
      <c r="N92" s="261"/>
      <c r="O92" s="261"/>
      <c r="P92" s="261"/>
      <c r="Q92" s="261"/>
      <c r="R92" s="273"/>
      <c r="S92" s="274">
        <f>31+28+31+30+31+30</f>
        <v>181</v>
      </c>
      <c r="T92"/>
      <c r="U92"/>
      <c r="V92" s="275"/>
    </row>
    <row r="93" spans="1:22" s="245" customFormat="1" x14ac:dyDescent="0.25">
      <c r="A93" s="354"/>
      <c r="B93" s="329">
        <v>8</v>
      </c>
      <c r="C93" s="276" t="s">
        <v>62</v>
      </c>
      <c r="D93" s="271">
        <v>71.400000000000006</v>
      </c>
      <c r="E93" s="272">
        <v>1</v>
      </c>
      <c r="F93" s="261">
        <f t="shared" si="78"/>
        <v>10781.4</v>
      </c>
      <c r="G93" s="261">
        <f>E93*D93*31</f>
        <v>2213.4</v>
      </c>
      <c r="H93" s="262">
        <f>E93*D93*28</f>
        <v>1999.2</v>
      </c>
      <c r="I93" s="261">
        <f t="shared" ref="I93" si="103">E93*D93*31</f>
        <v>2213.4</v>
      </c>
      <c r="J93" s="261">
        <f t="shared" ref="J93" si="104">E93*D93*30</f>
        <v>2142</v>
      </c>
      <c r="K93" s="261">
        <f t="shared" ref="K93" si="105">E93*D93*31</f>
        <v>2213.4</v>
      </c>
      <c r="L93" s="261"/>
      <c r="M93" s="261"/>
      <c r="N93" s="261"/>
      <c r="O93" s="261"/>
      <c r="P93" s="261"/>
      <c r="Q93" s="261"/>
      <c r="R93" s="273"/>
      <c r="S93" s="274">
        <f>31+28+31+30+31</f>
        <v>151</v>
      </c>
      <c r="T93"/>
      <c r="U93"/>
      <c r="V93" s="275"/>
    </row>
    <row r="94" spans="1:22" x14ac:dyDescent="0.25">
      <c r="A94" s="348"/>
      <c r="B94" s="351">
        <v>6</v>
      </c>
      <c r="C94" s="343" t="s">
        <v>62</v>
      </c>
      <c r="D94" s="83">
        <v>71.400000000000006</v>
      </c>
      <c r="E94" s="84">
        <v>1</v>
      </c>
      <c r="F94" s="86">
        <f t="shared" si="78"/>
        <v>4212.6000000000004</v>
      </c>
      <c r="G94" s="86"/>
      <c r="H94" s="87"/>
      <c r="I94" s="86">
        <f>E94*D94*S94+N9</f>
        <v>4212.6000000000004</v>
      </c>
      <c r="J94" s="86"/>
      <c r="K94" s="86"/>
      <c r="L94" s="86"/>
      <c r="M94" s="86"/>
      <c r="N94" s="86"/>
      <c r="O94" s="86"/>
      <c r="P94" s="86"/>
      <c r="Q94" s="86"/>
      <c r="R94" s="102"/>
      <c r="S94" s="248">
        <v>59</v>
      </c>
      <c r="V94" s="249"/>
    </row>
    <row r="95" spans="1:22" s="245" customFormat="1" x14ac:dyDescent="0.25">
      <c r="A95" s="354"/>
      <c r="B95" s="329">
        <v>1</v>
      </c>
      <c r="C95" s="276" t="s">
        <v>44</v>
      </c>
      <c r="D95" s="271">
        <v>72.540000000000006</v>
      </c>
      <c r="E95" s="272"/>
      <c r="F95" s="261">
        <v>45700.2</v>
      </c>
      <c r="G95" s="261">
        <v>15741.18</v>
      </c>
      <c r="H95" s="262">
        <v>14217.84</v>
      </c>
      <c r="I95" s="261">
        <v>15741.18</v>
      </c>
      <c r="J95" s="261"/>
      <c r="K95" s="261"/>
      <c r="L95" s="261"/>
      <c r="M95" s="261"/>
      <c r="N95" s="261"/>
      <c r="O95" s="261"/>
      <c r="P95" s="261"/>
      <c r="Q95" s="261"/>
      <c r="R95" s="273"/>
      <c r="S95" s="274">
        <v>90</v>
      </c>
      <c r="T95"/>
      <c r="U95"/>
      <c r="V95" s="275"/>
    </row>
    <row r="96" spans="1:22" s="245" customFormat="1" x14ac:dyDescent="0.25">
      <c r="A96" s="354"/>
      <c r="B96" s="329">
        <v>4</v>
      </c>
      <c r="C96" s="276" t="s">
        <v>144</v>
      </c>
      <c r="D96" s="271">
        <v>71.400000000000006</v>
      </c>
      <c r="E96" s="272"/>
      <c r="F96" s="261">
        <v>57834</v>
      </c>
      <c r="G96" s="261">
        <v>19920.599999999999</v>
      </c>
      <c r="H96" s="262">
        <v>17992.8</v>
      </c>
      <c r="I96" s="261">
        <v>19920.599999999999</v>
      </c>
      <c r="J96" s="261"/>
      <c r="K96" s="261"/>
      <c r="L96" s="261"/>
      <c r="M96" s="261"/>
      <c r="N96" s="261"/>
      <c r="O96" s="261"/>
      <c r="P96" s="261"/>
      <c r="Q96" s="261"/>
      <c r="R96" s="273"/>
      <c r="S96" s="274">
        <v>90</v>
      </c>
      <c r="T96"/>
      <c r="U96"/>
      <c r="V96" s="275"/>
    </row>
    <row r="97" spans="1:22" s="245" customFormat="1" x14ac:dyDescent="0.25">
      <c r="A97" s="354"/>
      <c r="B97" s="329">
        <v>4</v>
      </c>
      <c r="C97" s="276" t="s">
        <v>36</v>
      </c>
      <c r="D97" s="271">
        <v>71.400000000000006</v>
      </c>
      <c r="E97" s="272"/>
      <c r="F97" s="261">
        <v>25704</v>
      </c>
      <c r="G97" s="261">
        <v>8853.6</v>
      </c>
      <c r="H97" s="262">
        <v>7996.8</v>
      </c>
      <c r="I97" s="261">
        <v>8853.6</v>
      </c>
      <c r="J97" s="261"/>
      <c r="K97" s="261"/>
      <c r="L97" s="261"/>
      <c r="M97" s="261"/>
      <c r="N97" s="261"/>
      <c r="O97" s="261"/>
      <c r="P97" s="261"/>
      <c r="Q97" s="261"/>
      <c r="R97" s="273"/>
      <c r="S97" s="274">
        <v>90</v>
      </c>
      <c r="T97"/>
      <c r="U97"/>
      <c r="V97" s="275"/>
    </row>
    <row r="98" spans="1:22" s="245" customFormat="1" x14ac:dyDescent="0.25">
      <c r="A98" s="354"/>
      <c r="B98" s="329">
        <v>5</v>
      </c>
      <c r="C98" s="276" t="s">
        <v>20</v>
      </c>
      <c r="D98" s="271">
        <v>76.59</v>
      </c>
      <c r="E98" s="272"/>
      <c r="F98" s="261">
        <v>6893.1</v>
      </c>
      <c r="G98" s="261">
        <v>2374.29</v>
      </c>
      <c r="H98" s="262">
        <v>2144.52</v>
      </c>
      <c r="I98" s="261">
        <v>2374.29</v>
      </c>
      <c r="J98" s="261"/>
      <c r="K98" s="261"/>
      <c r="L98" s="261"/>
      <c r="M98" s="261"/>
      <c r="N98" s="261"/>
      <c r="O98" s="261"/>
      <c r="P98" s="261"/>
      <c r="Q98" s="261"/>
      <c r="R98" s="273"/>
      <c r="S98" s="274">
        <v>90</v>
      </c>
      <c r="T98"/>
      <c r="U98"/>
      <c r="V98" s="275"/>
    </row>
    <row r="99" spans="1:22" s="245" customFormat="1" x14ac:dyDescent="0.25">
      <c r="A99" s="354"/>
      <c r="B99" s="329">
        <v>5</v>
      </c>
      <c r="C99" s="276" t="s">
        <v>92</v>
      </c>
      <c r="D99" s="271">
        <v>72.540000000000006</v>
      </c>
      <c r="E99" s="272"/>
      <c r="F99" s="261">
        <v>6528.6</v>
      </c>
      <c r="G99" s="261">
        <v>2248.7399999999998</v>
      </c>
      <c r="H99" s="262">
        <v>2031.12</v>
      </c>
      <c r="I99" s="261">
        <v>2248.7399999999998</v>
      </c>
      <c r="J99" s="261"/>
      <c r="K99" s="261"/>
      <c r="L99" s="261"/>
      <c r="M99" s="261"/>
      <c r="N99" s="261"/>
      <c r="O99" s="261"/>
      <c r="P99" s="261"/>
      <c r="Q99" s="261"/>
      <c r="R99" s="273"/>
      <c r="S99" s="274">
        <v>90</v>
      </c>
      <c r="T99"/>
      <c r="U99"/>
      <c r="V99" s="275"/>
    </row>
    <row r="100" spans="1:22" s="245" customFormat="1" x14ac:dyDescent="0.25">
      <c r="A100" s="354"/>
      <c r="B100" s="329">
        <v>5</v>
      </c>
      <c r="C100" s="276" t="s">
        <v>54</v>
      </c>
      <c r="D100" s="271">
        <v>78.25</v>
      </c>
      <c r="E100" s="272"/>
      <c r="F100" s="261">
        <v>21127.5</v>
      </c>
      <c r="G100" s="261">
        <v>7277.25</v>
      </c>
      <c r="H100" s="262">
        <v>6573</v>
      </c>
      <c r="I100" s="261">
        <v>7277.25</v>
      </c>
      <c r="J100" s="261"/>
      <c r="K100" s="261"/>
      <c r="L100" s="261"/>
      <c r="M100" s="261"/>
      <c r="N100" s="261"/>
      <c r="O100" s="261"/>
      <c r="P100" s="261"/>
      <c r="Q100" s="261"/>
      <c r="R100" s="273"/>
      <c r="S100" s="274">
        <v>90</v>
      </c>
      <c r="T100"/>
      <c r="U100"/>
      <c r="V100" s="275"/>
    </row>
    <row r="101" spans="1:22" s="245" customFormat="1" x14ac:dyDescent="0.25">
      <c r="A101" s="354"/>
      <c r="B101" s="329">
        <v>6</v>
      </c>
      <c r="C101" s="276" t="s">
        <v>55</v>
      </c>
      <c r="D101" s="271">
        <v>71.400000000000006</v>
      </c>
      <c r="E101" s="272"/>
      <c r="F101" s="261">
        <v>212058</v>
      </c>
      <c r="G101" s="261">
        <v>73042.2</v>
      </c>
      <c r="H101" s="262">
        <v>65973.600000000006</v>
      </c>
      <c r="I101" s="261">
        <v>73042.2</v>
      </c>
      <c r="J101" s="261"/>
      <c r="K101" s="261"/>
      <c r="L101" s="261"/>
      <c r="M101" s="261"/>
      <c r="N101" s="261"/>
      <c r="O101" s="261"/>
      <c r="P101" s="261"/>
      <c r="Q101" s="261"/>
      <c r="R101" s="273"/>
      <c r="S101" s="274">
        <v>90</v>
      </c>
      <c r="T101"/>
      <c r="U101"/>
      <c r="V101" s="275"/>
    </row>
    <row r="102" spans="1:22" s="245" customFormat="1" x14ac:dyDescent="0.25">
      <c r="A102" s="354"/>
      <c r="B102" s="329">
        <v>8</v>
      </c>
      <c r="C102" s="276" t="s">
        <v>62</v>
      </c>
      <c r="D102" s="271">
        <v>71.400000000000006</v>
      </c>
      <c r="E102" s="272"/>
      <c r="F102" s="261">
        <v>57834</v>
      </c>
      <c r="G102" s="261">
        <v>19920.599999999999</v>
      </c>
      <c r="H102" s="262">
        <v>17992.8</v>
      </c>
      <c r="I102" s="261">
        <v>19920.599999999999</v>
      </c>
      <c r="J102" s="261"/>
      <c r="K102" s="261"/>
      <c r="L102" s="261"/>
      <c r="M102" s="261"/>
      <c r="N102" s="261"/>
      <c r="O102" s="261"/>
      <c r="P102" s="261"/>
      <c r="Q102" s="261"/>
      <c r="R102" s="273"/>
      <c r="S102" s="274">
        <v>90</v>
      </c>
      <c r="T102"/>
      <c r="U102"/>
      <c r="V102" s="275"/>
    </row>
    <row r="103" spans="1:22" s="245" customFormat="1" ht="26.25" x14ac:dyDescent="0.25">
      <c r="A103" s="354"/>
      <c r="B103" s="329">
        <v>8</v>
      </c>
      <c r="C103" s="276" t="s">
        <v>93</v>
      </c>
      <c r="D103" s="271">
        <v>78.25</v>
      </c>
      <c r="E103" s="272"/>
      <c r="F103" s="261">
        <v>7042.5</v>
      </c>
      <c r="G103" s="261">
        <v>2425.75</v>
      </c>
      <c r="H103" s="262">
        <v>2191</v>
      </c>
      <c r="I103" s="261">
        <v>2425.75</v>
      </c>
      <c r="J103" s="261"/>
      <c r="K103" s="261"/>
      <c r="L103" s="261"/>
      <c r="M103" s="261"/>
      <c r="N103" s="261"/>
      <c r="O103" s="261"/>
      <c r="P103" s="261"/>
      <c r="Q103" s="261"/>
      <c r="R103" s="273"/>
      <c r="S103" s="274">
        <v>90</v>
      </c>
      <c r="T103"/>
      <c r="U103"/>
      <c r="V103" s="275"/>
    </row>
    <row r="104" spans="1:22" x14ac:dyDescent="0.25">
      <c r="A104" s="348"/>
      <c r="B104" s="351"/>
      <c r="C104" s="343" t="s">
        <v>40</v>
      </c>
      <c r="D104" s="83"/>
      <c r="E104" s="84"/>
      <c r="F104" s="85">
        <f>4659701-SUM(F82:F103)-40556</f>
        <v>13209.15</v>
      </c>
      <c r="G104" s="103"/>
      <c r="H104" s="87"/>
      <c r="I104" s="86"/>
      <c r="J104" s="86"/>
      <c r="K104" s="86"/>
      <c r="L104" s="86"/>
      <c r="M104" s="86"/>
      <c r="N104" s="86"/>
      <c r="O104" s="86"/>
      <c r="P104" s="86"/>
      <c r="Q104" s="86"/>
      <c r="R104" s="111"/>
      <c r="S104" s="448">
        <f>+T104-F104</f>
        <v>0</v>
      </c>
      <c r="T104">
        <v>13209.15</v>
      </c>
      <c r="V104" s="249"/>
    </row>
    <row r="105" spans="1:22" ht="33.6" customHeight="1" x14ac:dyDescent="0.25">
      <c r="A105" s="348"/>
      <c r="B105" s="351"/>
      <c r="C105" s="485" t="s">
        <v>145</v>
      </c>
      <c r="D105" s="485"/>
      <c r="E105" s="104">
        <f>SUM(E107:E111)</f>
        <v>27</v>
      </c>
      <c r="F105" s="253">
        <f t="shared" ref="F105:R105" si="106">SUM(F107:F112)</f>
        <v>710400</v>
      </c>
      <c r="G105" s="253">
        <f t="shared" si="106"/>
        <v>60186.5</v>
      </c>
      <c r="H105" s="253">
        <f t="shared" si="106"/>
        <v>55218.8</v>
      </c>
      <c r="I105" s="253">
        <f t="shared" si="106"/>
        <v>60186.5</v>
      </c>
      <c r="J105" s="253">
        <f t="shared" si="106"/>
        <v>58245</v>
      </c>
      <c r="K105" s="253">
        <f t="shared" si="106"/>
        <v>60186.5</v>
      </c>
      <c r="L105" s="253">
        <f t="shared" si="106"/>
        <v>58245</v>
      </c>
      <c r="M105" s="253">
        <f t="shared" si="106"/>
        <v>60186.5</v>
      </c>
      <c r="N105" s="253">
        <f t="shared" si="106"/>
        <v>60186.5</v>
      </c>
      <c r="O105" s="253">
        <f t="shared" si="106"/>
        <v>58245</v>
      </c>
      <c r="P105" s="253">
        <f t="shared" si="106"/>
        <v>60186.5</v>
      </c>
      <c r="Q105" s="253">
        <f t="shared" si="106"/>
        <v>58245</v>
      </c>
      <c r="R105" s="254">
        <f t="shared" si="106"/>
        <v>60186.5</v>
      </c>
      <c r="S105" s="248"/>
      <c r="V105" s="249"/>
    </row>
    <row r="106" spans="1:22" x14ac:dyDescent="0.25">
      <c r="A106" s="348"/>
      <c r="B106" s="351"/>
      <c r="C106" s="345"/>
      <c r="D106" s="345"/>
      <c r="E106" s="344" t="s">
        <v>151</v>
      </c>
      <c r="F106" s="253">
        <v>0</v>
      </c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4"/>
      <c r="S106" s="248"/>
      <c r="V106" s="249"/>
    </row>
    <row r="107" spans="1:22" x14ac:dyDescent="0.25">
      <c r="A107" s="348"/>
      <c r="B107" s="351">
        <v>4</v>
      </c>
      <c r="C107" s="343" t="s">
        <v>36</v>
      </c>
      <c r="D107" s="83">
        <v>71.400000000000006</v>
      </c>
      <c r="E107" s="84">
        <f>5+2</f>
        <v>7</v>
      </c>
      <c r="F107" s="86">
        <f>+E107*S107*D107+(D107*12)</f>
        <v>183283.8</v>
      </c>
      <c r="G107" s="86">
        <f>E107*D107*31</f>
        <v>15493.8</v>
      </c>
      <c r="H107" s="87">
        <f>E107*D107*28+(12*D107*1)</f>
        <v>14851.2</v>
      </c>
      <c r="I107" s="86">
        <f>E107*D107*31</f>
        <v>15493.8</v>
      </c>
      <c r="J107" s="86">
        <f>E107*D107*30</f>
        <v>14994</v>
      </c>
      <c r="K107" s="86">
        <f>E107*D107*31</f>
        <v>15493.8</v>
      </c>
      <c r="L107" s="86">
        <f>E107*D107*30</f>
        <v>14994</v>
      </c>
      <c r="M107" s="86">
        <f>E107*D107*31</f>
        <v>15493.8</v>
      </c>
      <c r="N107" s="86">
        <f>E107*D107*31</f>
        <v>15493.8</v>
      </c>
      <c r="O107" s="86">
        <f>E107*D107*30</f>
        <v>14994</v>
      </c>
      <c r="P107" s="86">
        <f>E107*D107*31</f>
        <v>15493.8</v>
      </c>
      <c r="Q107" s="86">
        <f>E107*D107*30</f>
        <v>14994</v>
      </c>
      <c r="R107" s="102">
        <f>E107*D107*31</f>
        <v>15493.8</v>
      </c>
      <c r="S107" s="248">
        <v>365</v>
      </c>
      <c r="V107" s="249"/>
    </row>
    <row r="108" spans="1:22" x14ac:dyDescent="0.25">
      <c r="A108" s="348"/>
      <c r="B108" s="351">
        <v>4</v>
      </c>
      <c r="C108" s="343" t="s">
        <v>15</v>
      </c>
      <c r="D108" s="83">
        <v>71.400000000000006</v>
      </c>
      <c r="E108" s="84">
        <v>1</v>
      </c>
      <c r="F108" s="85">
        <f>+E108*S108*D108</f>
        <v>26061</v>
      </c>
      <c r="G108" s="86">
        <f>E108*D108*31</f>
        <v>2213.4</v>
      </c>
      <c r="H108" s="87">
        <f>E108*D108*28</f>
        <v>1999.2</v>
      </c>
      <c r="I108" s="86">
        <f>E108*D108*31</f>
        <v>2213.4</v>
      </c>
      <c r="J108" s="86">
        <f>E108*D108*30</f>
        <v>2142</v>
      </c>
      <c r="K108" s="86">
        <f>E108*D108*31</f>
        <v>2213.4</v>
      </c>
      <c r="L108" s="86">
        <f>E108*D108*30</f>
        <v>2142</v>
      </c>
      <c r="M108" s="86">
        <f>E108*D108*31</f>
        <v>2213.4</v>
      </c>
      <c r="N108" s="86">
        <f>E108*D108*31</f>
        <v>2213.4</v>
      </c>
      <c r="O108" s="86">
        <f>E108*D108*30</f>
        <v>2142</v>
      </c>
      <c r="P108" s="86">
        <f>E108*D108*31</f>
        <v>2213.4</v>
      </c>
      <c r="Q108" s="86">
        <f>E108*D108*30</f>
        <v>2142</v>
      </c>
      <c r="R108" s="102">
        <f>E108*D108*31</f>
        <v>2213.4</v>
      </c>
      <c r="S108" s="248">
        <v>365</v>
      </c>
      <c r="V108" s="249"/>
    </row>
    <row r="109" spans="1:22" x14ac:dyDescent="0.25">
      <c r="A109" s="348"/>
      <c r="B109" s="351">
        <v>5</v>
      </c>
      <c r="C109" s="343" t="s">
        <v>54</v>
      </c>
      <c r="D109" s="83">
        <v>78.25</v>
      </c>
      <c r="E109" s="84">
        <v>2</v>
      </c>
      <c r="F109" s="86">
        <f>+E109*S109*D109</f>
        <v>57122.5</v>
      </c>
      <c r="G109" s="86">
        <f>E109*D109*31</f>
        <v>4851.5</v>
      </c>
      <c r="H109" s="87">
        <f>E109*D109*28</f>
        <v>4382</v>
      </c>
      <c r="I109" s="86">
        <f>E109*D109*31</f>
        <v>4851.5</v>
      </c>
      <c r="J109" s="86">
        <f>E109*D109*30</f>
        <v>4695</v>
      </c>
      <c r="K109" s="86">
        <f>E109*D109*31</f>
        <v>4851.5</v>
      </c>
      <c r="L109" s="86">
        <f>E109*D109*30</f>
        <v>4695</v>
      </c>
      <c r="M109" s="86">
        <f>E109*D109*31</f>
        <v>4851.5</v>
      </c>
      <c r="N109" s="86">
        <f>E109*D109*31</f>
        <v>4851.5</v>
      </c>
      <c r="O109" s="86">
        <f>E109*D109*30</f>
        <v>4695</v>
      </c>
      <c r="P109" s="86">
        <f>E109*D109*31</f>
        <v>4851.5</v>
      </c>
      <c r="Q109" s="86">
        <f>E109*D109*30</f>
        <v>4695</v>
      </c>
      <c r="R109" s="102">
        <f>E109*D109*31</f>
        <v>4851.5</v>
      </c>
      <c r="S109" s="248">
        <v>365</v>
      </c>
      <c r="V109" s="249"/>
    </row>
    <row r="110" spans="1:22" x14ac:dyDescent="0.25">
      <c r="A110" s="348"/>
      <c r="B110" s="351">
        <v>5</v>
      </c>
      <c r="C110" s="343" t="s">
        <v>55</v>
      </c>
      <c r="D110" s="83">
        <v>71.400000000000006</v>
      </c>
      <c r="E110" s="84">
        <v>2</v>
      </c>
      <c r="F110" s="86">
        <f>+E110*S110*D110</f>
        <v>52122</v>
      </c>
      <c r="G110" s="86">
        <f>E110*D110*31</f>
        <v>4426.8</v>
      </c>
      <c r="H110" s="87">
        <f>E110*D110*28</f>
        <v>3998.4</v>
      </c>
      <c r="I110" s="86">
        <f>E110*D110*31</f>
        <v>4426.8</v>
      </c>
      <c r="J110" s="86">
        <f>E110*D110*30</f>
        <v>4284</v>
      </c>
      <c r="K110" s="86">
        <f>E110*D110*31</f>
        <v>4426.8</v>
      </c>
      <c r="L110" s="86">
        <f>E110*D110*30</f>
        <v>4284</v>
      </c>
      <c r="M110" s="86">
        <f>E110*D110*31</f>
        <v>4426.8</v>
      </c>
      <c r="N110" s="86">
        <f>E110*D110*31</f>
        <v>4426.8</v>
      </c>
      <c r="O110" s="86">
        <f>E110*D110*30</f>
        <v>4284</v>
      </c>
      <c r="P110" s="86">
        <f>E110*D110*31</f>
        <v>4426.8</v>
      </c>
      <c r="Q110" s="86">
        <f>E110*D110*30</f>
        <v>4284</v>
      </c>
      <c r="R110" s="102">
        <f>E110*D110*31</f>
        <v>4426.8</v>
      </c>
      <c r="S110" s="248">
        <v>365</v>
      </c>
      <c r="V110" s="249"/>
    </row>
    <row r="111" spans="1:22" x14ac:dyDescent="0.25">
      <c r="A111" s="348"/>
      <c r="B111" s="351">
        <v>8</v>
      </c>
      <c r="C111" s="343" t="s">
        <v>62</v>
      </c>
      <c r="D111" s="83">
        <v>71.400000000000006</v>
      </c>
      <c r="E111" s="84">
        <f>3+12</f>
        <v>15</v>
      </c>
      <c r="F111" s="86">
        <f>+E111*S111*D111</f>
        <v>390915</v>
      </c>
      <c r="G111" s="86">
        <f>E111*D111*31</f>
        <v>33201</v>
      </c>
      <c r="H111" s="87">
        <f>E111*D111*28</f>
        <v>29988</v>
      </c>
      <c r="I111" s="86">
        <f>E111*D111*31</f>
        <v>33201</v>
      </c>
      <c r="J111" s="86">
        <f>E111*D111*30</f>
        <v>32130</v>
      </c>
      <c r="K111" s="86">
        <f>E111*D111*31</f>
        <v>33201</v>
      </c>
      <c r="L111" s="86">
        <f>E111*D111*30</f>
        <v>32130</v>
      </c>
      <c r="M111" s="86">
        <f>E111*D111*31</f>
        <v>33201</v>
      </c>
      <c r="N111" s="86">
        <f>E111*D111*31</f>
        <v>33201</v>
      </c>
      <c r="O111" s="86">
        <f>E111*D111*30</f>
        <v>32130</v>
      </c>
      <c r="P111" s="86">
        <f>E111*D111*31</f>
        <v>33201</v>
      </c>
      <c r="Q111" s="86">
        <f>E111*D111*30</f>
        <v>32130</v>
      </c>
      <c r="R111" s="102">
        <f>E111*D111*31</f>
        <v>33201</v>
      </c>
      <c r="S111" s="248">
        <v>365</v>
      </c>
      <c r="V111" s="249"/>
    </row>
    <row r="112" spans="1:22" x14ac:dyDescent="0.25">
      <c r="A112" s="348"/>
      <c r="B112" s="351"/>
      <c r="C112" s="343" t="s">
        <v>40</v>
      </c>
      <c r="D112" s="83"/>
      <c r="E112" s="84"/>
      <c r="F112" s="85">
        <f>710400-SUM(F107:F111)</f>
        <v>895.7</v>
      </c>
      <c r="G112" s="103"/>
      <c r="H112" s="87"/>
      <c r="I112" s="86"/>
      <c r="J112" s="86"/>
      <c r="K112" s="86"/>
      <c r="L112" s="86"/>
      <c r="M112" s="86"/>
      <c r="N112" s="86"/>
      <c r="O112" s="330"/>
      <c r="P112" s="358"/>
      <c r="Q112" s="86"/>
      <c r="R112" s="111"/>
      <c r="S112" s="248"/>
      <c r="V112" s="249"/>
    </row>
    <row r="113" spans="1:22" ht="33.6" customHeight="1" x14ac:dyDescent="0.25">
      <c r="A113" s="348"/>
      <c r="B113" s="351"/>
      <c r="C113" s="485" t="s">
        <v>146</v>
      </c>
      <c r="D113" s="485"/>
      <c r="E113" s="104">
        <f>SUM(E115:E121)</f>
        <v>22</v>
      </c>
      <c r="F113" s="253">
        <f t="shared" ref="F113:R113" si="107">SUM(F115:F122)</f>
        <v>545250</v>
      </c>
      <c r="G113" s="253">
        <f t="shared" si="107"/>
        <v>44737.96</v>
      </c>
      <c r="H113" s="253">
        <f t="shared" si="107"/>
        <v>40408.480000000003</v>
      </c>
      <c r="I113" s="253">
        <f t="shared" si="107"/>
        <v>44737.96</v>
      </c>
      <c r="J113" s="253">
        <f t="shared" si="107"/>
        <v>43294.8</v>
      </c>
      <c r="K113" s="253">
        <f t="shared" si="107"/>
        <v>44737.96</v>
      </c>
      <c r="L113" s="253">
        <f t="shared" si="107"/>
        <v>43294.8</v>
      </c>
      <c r="M113" s="253">
        <f t="shared" si="107"/>
        <v>42634.3</v>
      </c>
      <c r="N113" s="253">
        <f t="shared" si="107"/>
        <v>46841.62</v>
      </c>
      <c r="O113" s="253">
        <f t="shared" si="107"/>
        <v>46507.8</v>
      </c>
      <c r="P113" s="253">
        <f t="shared" si="107"/>
        <v>51306.76</v>
      </c>
      <c r="Q113" s="253">
        <f t="shared" si="107"/>
        <v>47578.8</v>
      </c>
      <c r="R113" s="254">
        <f t="shared" si="107"/>
        <v>49164.76</v>
      </c>
      <c r="S113" s="248"/>
      <c r="V113" s="249"/>
    </row>
    <row r="114" spans="1:22" x14ac:dyDescent="0.25">
      <c r="A114" s="348"/>
      <c r="B114" s="351"/>
      <c r="C114" s="345"/>
      <c r="D114" s="357"/>
      <c r="E114" s="404" t="s">
        <v>151</v>
      </c>
      <c r="F114" s="259">
        <v>0</v>
      </c>
      <c r="G114" s="253"/>
      <c r="H114" s="253"/>
      <c r="I114" s="253"/>
      <c r="J114" s="253"/>
      <c r="K114" s="253"/>
      <c r="L114" s="253"/>
      <c r="M114" s="253"/>
      <c r="N114" s="357"/>
      <c r="O114" s="253"/>
      <c r="P114" s="253"/>
      <c r="Q114" s="253"/>
      <c r="R114" s="254"/>
      <c r="S114" s="248"/>
      <c r="V114" s="249"/>
    </row>
    <row r="115" spans="1:22" x14ac:dyDescent="0.25">
      <c r="A115" s="348"/>
      <c r="B115" s="351">
        <v>4</v>
      </c>
      <c r="C115" s="343" t="s">
        <v>44</v>
      </c>
      <c r="D115" s="83">
        <v>72.540000000000006</v>
      </c>
      <c r="E115" s="84">
        <v>4</v>
      </c>
      <c r="F115" s="86">
        <f t="shared" ref="F115:F121" si="108">+E115*S115*D115</f>
        <v>105908.4</v>
      </c>
      <c r="G115" s="86">
        <f>E115*D115*31</f>
        <v>8994.9599999999991</v>
      </c>
      <c r="H115" s="87">
        <f>E115*D115*28</f>
        <v>8124.48</v>
      </c>
      <c r="I115" s="86">
        <f>E115*D115*31</f>
        <v>8994.9599999999991</v>
      </c>
      <c r="J115" s="86">
        <f>E115*D115*30</f>
        <v>8704.7999999999993</v>
      </c>
      <c r="K115" s="86">
        <f>E115*D115*31</f>
        <v>8994.9599999999991</v>
      </c>
      <c r="L115" s="86">
        <f>E115*D115*30</f>
        <v>8704.7999999999993</v>
      </c>
      <c r="M115" s="86">
        <f>E115*D115*31</f>
        <v>8994.9599999999991</v>
      </c>
      <c r="N115" s="86">
        <f>E115*D115*31</f>
        <v>8994.9599999999991</v>
      </c>
      <c r="O115" s="86">
        <f>E115*D115*30</f>
        <v>8704.7999999999993</v>
      </c>
      <c r="P115" s="86">
        <f t="shared" ref="P115:P121" si="109">E115*D115*31</f>
        <v>8994.9599999999991</v>
      </c>
      <c r="Q115" s="86">
        <f t="shared" ref="Q115:Q121" si="110">E115*D115*30</f>
        <v>8704.7999999999993</v>
      </c>
      <c r="R115" s="102">
        <f t="shared" ref="R115:R121" si="111">E115*D115*31</f>
        <v>8994.9599999999991</v>
      </c>
      <c r="S115" s="248">
        <v>365</v>
      </c>
      <c r="V115" s="249"/>
    </row>
    <row r="116" spans="1:22" s="245" customFormat="1" x14ac:dyDescent="0.25">
      <c r="A116" s="354"/>
      <c r="B116" s="329">
        <v>4</v>
      </c>
      <c r="C116" s="276" t="s">
        <v>63</v>
      </c>
      <c r="D116" s="271">
        <v>72.540000000000006</v>
      </c>
      <c r="E116" s="272">
        <v>1</v>
      </c>
      <c r="F116" s="308">
        <f t="shared" si="108"/>
        <v>26477.1</v>
      </c>
      <c r="G116" s="261">
        <f>E116*D116*31</f>
        <v>2248.7399999999998</v>
      </c>
      <c r="H116" s="262">
        <f>E116*D116*28</f>
        <v>2031.12</v>
      </c>
      <c r="I116" s="261">
        <f>E116*D116*31</f>
        <v>2248.7399999999998</v>
      </c>
      <c r="J116" s="261">
        <f>E116*D116*30</f>
        <v>2176.1999999999998</v>
      </c>
      <c r="K116" s="261">
        <f>E116*D116*31</f>
        <v>2248.7399999999998</v>
      </c>
      <c r="L116" s="261">
        <f>E116*D116*30</f>
        <v>2176.1999999999998</v>
      </c>
      <c r="M116" s="261">
        <f>E116*D116*2</f>
        <v>145.08000000000001</v>
      </c>
      <c r="N116" s="261">
        <f>E116*D116*31+D116*E116*29</f>
        <v>4352.3999999999996</v>
      </c>
      <c r="O116" s="261">
        <f>E116*D116*30</f>
        <v>2176.1999999999998</v>
      </c>
      <c r="P116" s="261">
        <f t="shared" si="109"/>
        <v>2248.7399999999998</v>
      </c>
      <c r="Q116" s="261">
        <f t="shared" si="110"/>
        <v>2176.1999999999998</v>
      </c>
      <c r="R116" s="273">
        <f t="shared" si="111"/>
        <v>2248.7399999999998</v>
      </c>
      <c r="S116" s="274">
        <v>365</v>
      </c>
      <c r="T116"/>
      <c r="U116"/>
      <c r="V116" s="275"/>
    </row>
    <row r="117" spans="1:22" x14ac:dyDescent="0.25">
      <c r="A117" s="348"/>
      <c r="B117" s="351">
        <v>5</v>
      </c>
      <c r="C117" s="343" t="s">
        <v>55</v>
      </c>
      <c r="D117" s="83">
        <v>71.400000000000006</v>
      </c>
      <c r="E117" s="84">
        <v>9</v>
      </c>
      <c r="F117" s="86">
        <f t="shared" si="108"/>
        <v>234549</v>
      </c>
      <c r="G117" s="86">
        <f>E117*D117*31</f>
        <v>19920.599999999999</v>
      </c>
      <c r="H117" s="87">
        <f>E117*D117*28</f>
        <v>17992.8</v>
      </c>
      <c r="I117" s="86">
        <f>E117*D117*31</f>
        <v>19920.599999999999</v>
      </c>
      <c r="J117" s="86">
        <f>E117*D117*30</f>
        <v>19278</v>
      </c>
      <c r="K117" s="86">
        <f>E117*D117*31</f>
        <v>19920.599999999999</v>
      </c>
      <c r="L117" s="86">
        <f>E117*D117*30</f>
        <v>19278</v>
      </c>
      <c r="M117" s="86">
        <f>E117*D117*31</f>
        <v>19920.599999999999</v>
      </c>
      <c r="N117" s="86">
        <f>E117*D117*31</f>
        <v>19920.599999999999</v>
      </c>
      <c r="O117" s="86">
        <f>E117*D117*30</f>
        <v>19278</v>
      </c>
      <c r="P117" s="86">
        <f t="shared" si="109"/>
        <v>19920.599999999999</v>
      </c>
      <c r="Q117" s="86">
        <f t="shared" si="110"/>
        <v>19278</v>
      </c>
      <c r="R117" s="102">
        <f t="shared" si="111"/>
        <v>19920.599999999999</v>
      </c>
      <c r="S117" s="248">
        <v>365</v>
      </c>
      <c r="V117" s="249"/>
    </row>
    <row r="118" spans="1:22" s="245" customFormat="1" x14ac:dyDescent="0.25">
      <c r="A118" s="354"/>
      <c r="B118" s="329">
        <v>5</v>
      </c>
      <c r="C118" s="276" t="s">
        <v>62</v>
      </c>
      <c r="D118" s="271">
        <v>71.400000000000006</v>
      </c>
      <c r="E118" s="272">
        <v>1</v>
      </c>
      <c r="F118" s="261">
        <f t="shared" si="108"/>
        <v>8710.7999999999993</v>
      </c>
      <c r="G118" s="261"/>
      <c r="H118" s="262"/>
      <c r="I118" s="261"/>
      <c r="J118" s="261"/>
      <c r="K118" s="261"/>
      <c r="L118" s="261"/>
      <c r="M118" s="261"/>
      <c r="N118" s="261"/>
      <c r="O118" s="261"/>
      <c r="P118" s="261">
        <f>E118*D118*61</f>
        <v>4355.3999999999996</v>
      </c>
      <c r="Q118" s="261">
        <f t="shared" ref="Q118" si="112">E118*D118*30</f>
        <v>2142</v>
      </c>
      <c r="R118" s="273">
        <f t="shared" ref="R118" si="113">E118*D118*31</f>
        <v>2213.4</v>
      </c>
      <c r="S118" s="274">
        <f>30+31+30+31</f>
        <v>122</v>
      </c>
      <c r="T118"/>
      <c r="U118"/>
      <c r="V118" s="275"/>
    </row>
    <row r="119" spans="1:22" x14ac:dyDescent="0.25">
      <c r="A119" s="348"/>
      <c r="B119" s="351">
        <v>5</v>
      </c>
      <c r="C119" s="343" t="s">
        <v>62</v>
      </c>
      <c r="D119" s="83">
        <v>71.400000000000006</v>
      </c>
      <c r="E119" s="84">
        <v>5</v>
      </c>
      <c r="F119" s="86">
        <f t="shared" si="108"/>
        <v>130305</v>
      </c>
      <c r="G119" s="86">
        <f>E119*D119*31</f>
        <v>11067</v>
      </c>
      <c r="H119" s="87">
        <f>E119*D119*28</f>
        <v>9996</v>
      </c>
      <c r="I119" s="86">
        <f>E119*D119*31</f>
        <v>11067</v>
      </c>
      <c r="J119" s="86">
        <f>E119*D119*30</f>
        <v>10710</v>
      </c>
      <c r="K119" s="86">
        <f>E119*D119*31</f>
        <v>11067</v>
      </c>
      <c r="L119" s="86">
        <f>E119*D119*30</f>
        <v>10710</v>
      </c>
      <c r="M119" s="86">
        <f>E119*D119*31</f>
        <v>11067</v>
      </c>
      <c r="N119" s="86">
        <f>E119*D119*31</f>
        <v>11067</v>
      </c>
      <c r="O119" s="86">
        <f>E119*D119*30</f>
        <v>10710</v>
      </c>
      <c r="P119" s="86">
        <f t="shared" si="109"/>
        <v>11067</v>
      </c>
      <c r="Q119" s="86">
        <f t="shared" si="110"/>
        <v>10710</v>
      </c>
      <c r="R119" s="102">
        <f t="shared" si="111"/>
        <v>11067</v>
      </c>
      <c r="S119" s="248">
        <v>365</v>
      </c>
      <c r="V119" s="249"/>
    </row>
    <row r="120" spans="1:22" s="245" customFormat="1" x14ac:dyDescent="0.25">
      <c r="A120" s="354"/>
      <c r="B120" s="329">
        <v>5</v>
      </c>
      <c r="C120" s="276" t="s">
        <v>49</v>
      </c>
      <c r="D120" s="271">
        <v>71.400000000000006</v>
      </c>
      <c r="E120" s="272">
        <v>1</v>
      </c>
      <c r="F120" s="261">
        <f t="shared" si="108"/>
        <v>9781.7999999999993</v>
      </c>
      <c r="G120" s="261"/>
      <c r="H120" s="262"/>
      <c r="I120" s="261"/>
      <c r="J120" s="261"/>
      <c r="K120" s="261"/>
      <c r="L120" s="261"/>
      <c r="M120" s="261"/>
      <c r="N120" s="261"/>
      <c r="O120" s="261">
        <f>E120*D120*30+D120*15</f>
        <v>3213</v>
      </c>
      <c r="P120" s="261">
        <f t="shared" si="109"/>
        <v>2213.4</v>
      </c>
      <c r="Q120" s="261">
        <f t="shared" si="110"/>
        <v>2142</v>
      </c>
      <c r="R120" s="273">
        <f t="shared" si="111"/>
        <v>2213.4</v>
      </c>
      <c r="S120" s="274">
        <f>15+30+31+30+31</f>
        <v>137</v>
      </c>
      <c r="T120"/>
      <c r="U120"/>
      <c r="V120" s="275"/>
    </row>
    <row r="121" spans="1:22" x14ac:dyDescent="0.25">
      <c r="A121" s="348"/>
      <c r="B121" s="351">
        <v>8</v>
      </c>
      <c r="C121" s="343" t="s">
        <v>39</v>
      </c>
      <c r="D121" s="83">
        <v>80.86</v>
      </c>
      <c r="E121" s="84">
        <v>1</v>
      </c>
      <c r="F121" s="86">
        <f t="shared" si="108"/>
        <v>29513.9</v>
      </c>
      <c r="G121" s="86">
        <f>E121*D121*31</f>
        <v>2506.66</v>
      </c>
      <c r="H121" s="87">
        <f>E121*D121*28</f>
        <v>2264.08</v>
      </c>
      <c r="I121" s="86">
        <f>E121*D121*31</f>
        <v>2506.66</v>
      </c>
      <c r="J121" s="86">
        <f>E121*D121*30</f>
        <v>2425.8000000000002</v>
      </c>
      <c r="K121" s="86">
        <f>E121*D121*31</f>
        <v>2506.66</v>
      </c>
      <c r="L121" s="86">
        <f>E121*D121*30</f>
        <v>2425.8000000000002</v>
      </c>
      <c r="M121" s="86">
        <f>E121*D121*31</f>
        <v>2506.66</v>
      </c>
      <c r="N121" s="86">
        <f>E121*D121*31</f>
        <v>2506.66</v>
      </c>
      <c r="O121" s="86">
        <f>E121*D121*30</f>
        <v>2425.8000000000002</v>
      </c>
      <c r="P121" s="86">
        <f t="shared" si="109"/>
        <v>2506.66</v>
      </c>
      <c r="Q121" s="86">
        <f t="shared" si="110"/>
        <v>2425.8000000000002</v>
      </c>
      <c r="R121" s="102">
        <f t="shared" si="111"/>
        <v>2506.66</v>
      </c>
      <c r="S121" s="248">
        <v>365</v>
      </c>
      <c r="V121" s="249"/>
    </row>
    <row r="122" spans="1:22" x14ac:dyDescent="0.25">
      <c r="A122" s="348"/>
      <c r="B122" s="351"/>
      <c r="C122" s="343" t="s">
        <v>40</v>
      </c>
      <c r="D122" s="83"/>
      <c r="E122" s="84"/>
      <c r="F122" s="261">
        <f>526780-SUM(F115:F121)+9760+8710</f>
        <v>4</v>
      </c>
      <c r="G122" s="103"/>
      <c r="H122" s="87"/>
      <c r="I122" s="86"/>
      <c r="J122" s="86"/>
      <c r="K122" s="86"/>
      <c r="L122" s="306"/>
      <c r="M122" s="355"/>
      <c r="N122" s="86"/>
      <c r="O122" s="86"/>
      <c r="P122" s="411"/>
      <c r="Q122" s="1"/>
      <c r="R122" s="273"/>
      <c r="S122" s="248"/>
      <c r="V122" s="249"/>
    </row>
    <row r="123" spans="1:22" s="245" customFormat="1" ht="33.6" customHeight="1" x14ac:dyDescent="0.25">
      <c r="A123" s="354"/>
      <c r="B123" s="329"/>
      <c r="C123" s="484" t="s">
        <v>147</v>
      </c>
      <c r="D123" s="484"/>
      <c r="E123" s="292">
        <f>SUM(E125:E130)</f>
        <v>17</v>
      </c>
      <c r="F123" s="253">
        <f t="shared" ref="F123:R123" si="114">SUM(F125:F131)</f>
        <v>352860</v>
      </c>
      <c r="G123" s="253">
        <f t="shared" si="114"/>
        <v>28774.2</v>
      </c>
      <c r="H123" s="253">
        <f t="shared" si="114"/>
        <v>25989.599999999999</v>
      </c>
      <c r="I123" s="253">
        <f t="shared" si="114"/>
        <v>28774.2</v>
      </c>
      <c r="J123" s="253">
        <f t="shared" si="114"/>
        <v>27846</v>
      </c>
      <c r="K123" s="253">
        <f t="shared" si="114"/>
        <v>28774.2</v>
      </c>
      <c r="L123" s="253">
        <f t="shared" si="114"/>
        <v>25704</v>
      </c>
      <c r="M123" s="253">
        <f t="shared" si="114"/>
        <v>27489</v>
      </c>
      <c r="N123" s="253">
        <f t="shared" si="114"/>
        <v>26560.799999999999</v>
      </c>
      <c r="O123" s="253">
        <f t="shared" si="114"/>
        <v>25704</v>
      </c>
      <c r="P123" s="253">
        <f t="shared" si="114"/>
        <v>33129.599999999999</v>
      </c>
      <c r="Q123" s="253">
        <f t="shared" si="114"/>
        <v>38698.800000000003</v>
      </c>
      <c r="R123" s="254">
        <f t="shared" si="114"/>
        <v>35414.400000000001</v>
      </c>
      <c r="S123" s="274"/>
      <c r="T123"/>
      <c r="U123"/>
      <c r="V123" s="275"/>
    </row>
    <row r="124" spans="1:22" x14ac:dyDescent="0.25">
      <c r="A124" s="348"/>
      <c r="B124" s="351"/>
      <c r="C124" s="345"/>
      <c r="D124" s="345"/>
      <c r="E124" s="441" t="s">
        <v>151</v>
      </c>
      <c r="F124" s="443">
        <v>0</v>
      </c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4"/>
      <c r="S124" s="248"/>
      <c r="V124" s="249"/>
    </row>
    <row r="125" spans="1:22" x14ac:dyDescent="0.25">
      <c r="A125" s="348"/>
      <c r="B125" s="351">
        <v>4</v>
      </c>
      <c r="C125" s="343" t="s">
        <v>36</v>
      </c>
      <c r="D125" s="83">
        <v>71.400000000000006</v>
      </c>
      <c r="E125" s="84">
        <v>2</v>
      </c>
      <c r="F125" s="86">
        <f>+E125*S125*D125</f>
        <v>52122</v>
      </c>
      <c r="G125" s="86">
        <f>E125*D125*31</f>
        <v>4426.8</v>
      </c>
      <c r="H125" s="87">
        <f>E125*D125*28</f>
        <v>3998.4</v>
      </c>
      <c r="I125" s="86">
        <f>E125*D125*31</f>
        <v>4426.8</v>
      </c>
      <c r="J125" s="86">
        <f>E125*D125*30</f>
        <v>4284</v>
      </c>
      <c r="K125" s="86">
        <f>E125*D125*31</f>
        <v>4426.8</v>
      </c>
      <c r="L125" s="86">
        <f>E125*D125*30</f>
        <v>4284</v>
      </c>
      <c r="M125" s="86">
        <f>E125*D125*31</f>
        <v>4426.8</v>
      </c>
      <c r="N125" s="86">
        <f>E125*D125*31</f>
        <v>4426.8</v>
      </c>
      <c r="O125" s="86">
        <f>E125*D125*30</f>
        <v>4284</v>
      </c>
      <c r="P125" s="86">
        <f>E125*D125*31</f>
        <v>4426.8</v>
      </c>
      <c r="Q125" s="86">
        <f>E125*D125*30</f>
        <v>4284</v>
      </c>
      <c r="R125" s="102">
        <f>E125*D125*31</f>
        <v>4426.8</v>
      </c>
      <c r="S125" s="248">
        <v>365</v>
      </c>
      <c r="V125" s="249"/>
    </row>
    <row r="126" spans="1:22" s="245" customFormat="1" x14ac:dyDescent="0.25">
      <c r="A126" s="354"/>
      <c r="B126" s="329">
        <v>4</v>
      </c>
      <c r="C126" s="276" t="s">
        <v>36</v>
      </c>
      <c r="D126" s="271">
        <v>71.400000000000006</v>
      </c>
      <c r="E126" s="272">
        <v>1</v>
      </c>
      <c r="F126" s="261">
        <f>+E126*S126*D126</f>
        <v>11709.6</v>
      </c>
      <c r="G126" s="261">
        <f>E126*D126*31</f>
        <v>2213.4</v>
      </c>
      <c r="H126" s="262">
        <f>E126*D126*28</f>
        <v>1999.2</v>
      </c>
      <c r="I126" s="261">
        <f>E126*D126*31</f>
        <v>2213.4</v>
      </c>
      <c r="J126" s="261">
        <f>E126*D126*30</f>
        <v>2142</v>
      </c>
      <c r="K126" s="261">
        <f>E126*D126*31</f>
        <v>2213.4</v>
      </c>
      <c r="L126" s="261"/>
      <c r="M126" s="261">
        <v>928.2</v>
      </c>
      <c r="N126" s="261"/>
      <c r="O126" s="261"/>
      <c r="P126" s="261"/>
      <c r="Q126" s="261"/>
      <c r="R126" s="273"/>
      <c r="S126" s="274">
        <f>31+28+31+30+31+13</f>
        <v>164</v>
      </c>
      <c r="T126"/>
      <c r="U126"/>
      <c r="V126" s="275"/>
    </row>
    <row r="127" spans="1:22" s="245" customFormat="1" x14ac:dyDescent="0.25">
      <c r="A127" s="354"/>
      <c r="B127" s="329">
        <v>4</v>
      </c>
      <c r="C127" s="276" t="s">
        <v>62</v>
      </c>
      <c r="D127" s="271">
        <v>71.400000000000006</v>
      </c>
      <c r="E127" s="272">
        <v>2</v>
      </c>
      <c r="F127" s="308">
        <f>+E127*S127*D127</f>
        <v>15279.6</v>
      </c>
      <c r="G127" s="261"/>
      <c r="H127" s="262"/>
      <c r="I127" s="261"/>
      <c r="J127" s="261"/>
      <c r="K127" s="261"/>
      <c r="L127" s="261"/>
      <c r="M127" s="261"/>
      <c r="N127" s="261"/>
      <c r="O127" s="261"/>
      <c r="P127" s="261">
        <f>E127*D127*31+D127*E127*15</f>
        <v>6568.8</v>
      </c>
      <c r="Q127" s="261">
        <f>E127*D127*30</f>
        <v>4284</v>
      </c>
      <c r="R127" s="273">
        <f>E127*D127*31</f>
        <v>4426.8</v>
      </c>
      <c r="S127" s="274">
        <f>15+31+30+31</f>
        <v>107</v>
      </c>
      <c r="T127"/>
      <c r="U127"/>
      <c r="V127" s="275"/>
    </row>
    <row r="128" spans="1:22" s="245" customFormat="1" x14ac:dyDescent="0.25">
      <c r="A128" s="354"/>
      <c r="B128" s="329">
        <v>4</v>
      </c>
      <c r="C128" s="276" t="s">
        <v>62</v>
      </c>
      <c r="D128" s="271">
        <v>71.400000000000006</v>
      </c>
      <c r="E128" s="272">
        <v>2</v>
      </c>
      <c r="F128" s="261">
        <f t="shared" ref="F128" si="115">+E128*S128*D128</f>
        <v>13137.6</v>
      </c>
      <c r="G128" s="261"/>
      <c r="H128" s="262"/>
      <c r="I128" s="261"/>
      <c r="J128" s="261"/>
      <c r="K128" s="261"/>
      <c r="L128" s="261"/>
      <c r="M128" s="261"/>
      <c r="N128" s="261"/>
      <c r="O128" s="261"/>
      <c r="P128" s="261"/>
      <c r="Q128" s="261">
        <f>E128*D128*61</f>
        <v>8710.7999999999993</v>
      </c>
      <c r="R128" s="273">
        <f t="shared" ref="R128" si="116">E128*D128*31</f>
        <v>4426.8</v>
      </c>
      <c r="S128" s="274">
        <f>31+30+31</f>
        <v>92</v>
      </c>
      <c r="T128"/>
      <c r="U128"/>
      <c r="V128" s="275"/>
    </row>
    <row r="129" spans="1:22" x14ac:dyDescent="0.25">
      <c r="A129" s="348"/>
      <c r="B129" s="351">
        <v>4</v>
      </c>
      <c r="C129" s="343" t="s">
        <v>55</v>
      </c>
      <c r="D129" s="83">
        <v>71.400000000000006</v>
      </c>
      <c r="E129" s="84">
        <v>1</v>
      </c>
      <c r="F129" s="85">
        <f>+E129*S129*D129</f>
        <v>26061</v>
      </c>
      <c r="G129" s="86">
        <f>E129*D129*31</f>
        <v>2213.4</v>
      </c>
      <c r="H129" s="87">
        <f>E129*D129*28</f>
        <v>1999.2</v>
      </c>
      <c r="I129" s="86">
        <f>E129*D129*31</f>
        <v>2213.4</v>
      </c>
      <c r="J129" s="86">
        <f>E129*D129*30</f>
        <v>2142</v>
      </c>
      <c r="K129" s="86">
        <f>E129*D129*31</f>
        <v>2213.4</v>
      </c>
      <c r="L129" s="86">
        <f>E129*D129*30</f>
        <v>2142</v>
      </c>
      <c r="M129" s="86">
        <f>E129*D129*31</f>
        <v>2213.4</v>
      </c>
      <c r="N129" s="86">
        <f>E129*D129*31</f>
        <v>2213.4</v>
      </c>
      <c r="O129" s="86">
        <f>E129*D129*30</f>
        <v>2142</v>
      </c>
      <c r="P129" s="86">
        <f>E129*D129*31</f>
        <v>2213.4</v>
      </c>
      <c r="Q129" s="86">
        <f>E129*D129*30</f>
        <v>2142</v>
      </c>
      <c r="R129" s="102">
        <f>E129*D129*31</f>
        <v>2213.4</v>
      </c>
      <c r="S129" s="248">
        <v>365</v>
      </c>
      <c r="V129" s="249"/>
    </row>
    <row r="130" spans="1:22" x14ac:dyDescent="0.25">
      <c r="A130" s="348"/>
      <c r="B130" s="351">
        <v>5</v>
      </c>
      <c r="C130" s="343" t="s">
        <v>62</v>
      </c>
      <c r="D130" s="83">
        <v>71.400000000000006</v>
      </c>
      <c r="E130" s="84">
        <v>9</v>
      </c>
      <c r="F130" s="86">
        <f>+E130*S130*D130</f>
        <v>234549</v>
      </c>
      <c r="G130" s="86">
        <f>E130*D130*31</f>
        <v>19920.599999999999</v>
      </c>
      <c r="H130" s="87">
        <f>E130*D130*28</f>
        <v>17992.8</v>
      </c>
      <c r="I130" s="86">
        <f>E130*D130*31</f>
        <v>19920.599999999999</v>
      </c>
      <c r="J130" s="86">
        <f>E130*D130*30</f>
        <v>19278</v>
      </c>
      <c r="K130" s="86">
        <f>E130*D130*31</f>
        <v>19920.599999999999</v>
      </c>
      <c r="L130" s="86">
        <f>E130*D130*30</f>
        <v>19278</v>
      </c>
      <c r="M130" s="86">
        <f>E130*D130*31</f>
        <v>19920.599999999999</v>
      </c>
      <c r="N130" s="86">
        <f>E130*D130*31</f>
        <v>19920.599999999999</v>
      </c>
      <c r="O130" s="86">
        <f>E130*D130*30</f>
        <v>19278</v>
      </c>
      <c r="P130" s="86">
        <f>E130*D130*31</f>
        <v>19920.599999999999</v>
      </c>
      <c r="Q130" s="86">
        <f>E130*D130*30</f>
        <v>19278</v>
      </c>
      <c r="R130" s="102">
        <f>E130*D130*31</f>
        <v>19920.599999999999</v>
      </c>
      <c r="S130" s="248">
        <v>365</v>
      </c>
      <c r="V130" s="249"/>
    </row>
    <row r="131" spans="1:22" x14ac:dyDescent="0.25">
      <c r="A131" s="348"/>
      <c r="B131" s="351"/>
      <c r="C131" s="343" t="s">
        <v>40</v>
      </c>
      <c r="D131" s="83"/>
      <c r="E131" s="84"/>
      <c r="F131" s="86">
        <f>338810-SUM(F125:F130)+(21690)-7640</f>
        <v>1.2</v>
      </c>
      <c r="G131" s="103"/>
      <c r="H131" s="87"/>
      <c r="I131" s="86"/>
      <c r="J131" s="86"/>
      <c r="K131" s="86"/>
      <c r="L131" s="86"/>
      <c r="M131" s="86"/>
      <c r="N131" s="86"/>
      <c r="O131" s="86"/>
      <c r="P131" s="86"/>
      <c r="Q131" s="86"/>
      <c r="R131" s="102"/>
      <c r="S131" s="248"/>
      <c r="V131" s="249"/>
    </row>
    <row r="132" spans="1:22" ht="33.6" customHeight="1" x14ac:dyDescent="0.25">
      <c r="A132" s="348"/>
      <c r="B132" s="351"/>
      <c r="C132" s="485" t="s">
        <v>148</v>
      </c>
      <c r="D132" s="485"/>
      <c r="E132" s="104">
        <f>SUM(E134:E139)</f>
        <v>17</v>
      </c>
      <c r="F132" s="253">
        <f t="shared" ref="F132:R132" si="117">SUM(F134:F140)</f>
        <v>404271</v>
      </c>
      <c r="G132" s="253">
        <f t="shared" si="117"/>
        <v>31187.86</v>
      </c>
      <c r="H132" s="253">
        <f t="shared" si="117"/>
        <v>28169.68</v>
      </c>
      <c r="I132" s="253">
        <f t="shared" si="117"/>
        <v>31187.86</v>
      </c>
      <c r="J132" s="253">
        <f t="shared" si="117"/>
        <v>32323.8</v>
      </c>
      <c r="K132" s="253">
        <f t="shared" si="117"/>
        <v>33401.26</v>
      </c>
      <c r="L132" s="253">
        <f t="shared" si="117"/>
        <v>32323.8</v>
      </c>
      <c r="M132" s="253">
        <f t="shared" si="117"/>
        <v>33401.26</v>
      </c>
      <c r="N132" s="253">
        <f t="shared" si="117"/>
        <v>33401.26</v>
      </c>
      <c r="O132" s="253">
        <f t="shared" si="117"/>
        <v>32323.8</v>
      </c>
      <c r="P132" s="253">
        <f t="shared" si="117"/>
        <v>42112.06</v>
      </c>
      <c r="Q132" s="253">
        <f t="shared" si="117"/>
        <v>36607.800000000003</v>
      </c>
      <c r="R132" s="254">
        <f t="shared" si="117"/>
        <v>37828.06</v>
      </c>
      <c r="S132" s="248"/>
      <c r="V132" s="249"/>
    </row>
    <row r="133" spans="1:22" x14ac:dyDescent="0.25">
      <c r="A133" s="348"/>
      <c r="B133" s="351"/>
      <c r="C133" s="345"/>
      <c r="D133" s="345"/>
      <c r="E133" s="404" t="s">
        <v>151</v>
      </c>
      <c r="F133" s="405">
        <v>0</v>
      </c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4"/>
      <c r="S133" s="248"/>
      <c r="V133" s="249"/>
    </row>
    <row r="134" spans="1:22" x14ac:dyDescent="0.25">
      <c r="A134" s="348"/>
      <c r="B134" s="351">
        <v>1</v>
      </c>
      <c r="C134" s="343" t="s">
        <v>61</v>
      </c>
      <c r="D134" s="83">
        <v>74.63</v>
      </c>
      <c r="E134" s="84">
        <v>2</v>
      </c>
      <c r="F134" s="86">
        <f t="shared" ref="F134:F139" si="118">+E134*S134*D134</f>
        <v>54479.9</v>
      </c>
      <c r="G134" s="86">
        <f>E134*D134*31</f>
        <v>4627.0600000000004</v>
      </c>
      <c r="H134" s="87">
        <f>E134*D134*28</f>
        <v>4179.28</v>
      </c>
      <c r="I134" s="86">
        <f>E134*D134*31</f>
        <v>4627.0600000000004</v>
      </c>
      <c r="J134" s="86">
        <f>E134*D134*30</f>
        <v>4477.8</v>
      </c>
      <c r="K134" s="86">
        <f>E134*D134*31</f>
        <v>4627.0600000000004</v>
      </c>
      <c r="L134" s="86">
        <f>E134*D134*30</f>
        <v>4477.8</v>
      </c>
      <c r="M134" s="86">
        <f>E134*D134*31</f>
        <v>4627.0600000000004</v>
      </c>
      <c r="N134" s="86">
        <f>E134*D134*31</f>
        <v>4627.0600000000004</v>
      </c>
      <c r="O134" s="86">
        <f t="shared" ref="O134:O139" si="119">E134*D134*30</f>
        <v>4477.8</v>
      </c>
      <c r="P134" s="86">
        <f t="shared" ref="P134:P139" si="120">E134*D134*31</f>
        <v>4627.0600000000004</v>
      </c>
      <c r="Q134" s="86">
        <f t="shared" ref="Q134:Q139" si="121">E134*D134*30</f>
        <v>4477.8</v>
      </c>
      <c r="R134" s="102">
        <f t="shared" ref="R134:R139" si="122">E134*D134*31</f>
        <v>4627.0600000000004</v>
      </c>
      <c r="S134" s="248">
        <v>365</v>
      </c>
      <c r="V134" s="249"/>
    </row>
    <row r="135" spans="1:22" x14ac:dyDescent="0.25">
      <c r="A135" s="348"/>
      <c r="B135" s="351">
        <v>2</v>
      </c>
      <c r="C135" s="343" t="s">
        <v>36</v>
      </c>
      <c r="D135" s="83">
        <v>71.400000000000006</v>
      </c>
      <c r="E135" s="84">
        <v>1</v>
      </c>
      <c r="F135" s="85">
        <f t="shared" si="118"/>
        <v>26061</v>
      </c>
      <c r="G135" s="86">
        <f>E135*D135*31</f>
        <v>2213.4</v>
      </c>
      <c r="H135" s="87">
        <f>E135*D135*28</f>
        <v>1999.2</v>
      </c>
      <c r="I135" s="86">
        <f>E135*D135*31</f>
        <v>2213.4</v>
      </c>
      <c r="J135" s="86">
        <f>E135*D135*30</f>
        <v>2142</v>
      </c>
      <c r="K135" s="86">
        <f>E135*D135*31</f>
        <v>2213.4</v>
      </c>
      <c r="L135" s="86">
        <f>E135*D135*30</f>
        <v>2142</v>
      </c>
      <c r="M135" s="86">
        <f>E135*D135*31</f>
        <v>2213.4</v>
      </c>
      <c r="N135" s="86">
        <f>E135*D135*31</f>
        <v>2213.4</v>
      </c>
      <c r="O135" s="86">
        <f t="shared" si="119"/>
        <v>2142</v>
      </c>
      <c r="P135" s="86">
        <f t="shared" si="120"/>
        <v>2213.4</v>
      </c>
      <c r="Q135" s="86">
        <f t="shared" si="121"/>
        <v>2142</v>
      </c>
      <c r="R135" s="102">
        <f t="shared" si="122"/>
        <v>2213.4</v>
      </c>
      <c r="S135" s="248">
        <v>365</v>
      </c>
      <c r="V135" s="249"/>
    </row>
    <row r="136" spans="1:22" x14ac:dyDescent="0.25">
      <c r="A136" s="348"/>
      <c r="B136" s="351">
        <v>3</v>
      </c>
      <c r="C136" s="343" t="s">
        <v>55</v>
      </c>
      <c r="D136" s="83">
        <v>71.400000000000006</v>
      </c>
      <c r="E136" s="84">
        <v>1</v>
      </c>
      <c r="F136" s="86">
        <f t="shared" si="118"/>
        <v>26061</v>
      </c>
      <c r="G136" s="86">
        <f>E136*D136*31</f>
        <v>2213.4</v>
      </c>
      <c r="H136" s="87">
        <f>E136*D136*28</f>
        <v>1999.2</v>
      </c>
      <c r="I136" s="86">
        <f>E136*D136*31</f>
        <v>2213.4</v>
      </c>
      <c r="J136" s="86">
        <f>E136*D136*30</f>
        <v>2142</v>
      </c>
      <c r="K136" s="86">
        <f>E136*D136*31</f>
        <v>2213.4</v>
      </c>
      <c r="L136" s="86">
        <f>E136*D136*30</f>
        <v>2142</v>
      </c>
      <c r="M136" s="86">
        <f>E136*D136*31</f>
        <v>2213.4</v>
      </c>
      <c r="N136" s="86">
        <f>E136*D136*31</f>
        <v>2213.4</v>
      </c>
      <c r="O136" s="86">
        <f t="shared" si="119"/>
        <v>2142</v>
      </c>
      <c r="P136" s="86">
        <f t="shared" si="120"/>
        <v>2213.4</v>
      </c>
      <c r="Q136" s="86">
        <f t="shared" si="121"/>
        <v>2142</v>
      </c>
      <c r="R136" s="102">
        <f t="shared" si="122"/>
        <v>2213.4</v>
      </c>
      <c r="S136" s="248">
        <v>365</v>
      </c>
      <c r="V136" s="249"/>
    </row>
    <row r="137" spans="1:22" x14ac:dyDescent="0.25">
      <c r="A137" s="348"/>
      <c r="B137" s="351">
        <v>3</v>
      </c>
      <c r="C137" s="343" t="s">
        <v>55</v>
      </c>
      <c r="D137" s="83">
        <v>71.400000000000006</v>
      </c>
      <c r="E137" s="84">
        <v>1</v>
      </c>
      <c r="F137" s="86">
        <f>+E137*S137*D137</f>
        <v>19635</v>
      </c>
      <c r="G137" s="86"/>
      <c r="H137" s="87"/>
      <c r="I137" s="86"/>
      <c r="J137" s="86">
        <f>E137*D137*30</f>
        <v>2142</v>
      </c>
      <c r="K137" s="86">
        <f>E137*D137*31</f>
        <v>2213.4</v>
      </c>
      <c r="L137" s="86">
        <f>E137*D137*30</f>
        <v>2142</v>
      </c>
      <c r="M137" s="86">
        <f>E137*D137*31</f>
        <v>2213.4</v>
      </c>
      <c r="N137" s="86">
        <f>E137*D137*31</f>
        <v>2213.4</v>
      </c>
      <c r="O137" s="86">
        <f t="shared" si="119"/>
        <v>2142</v>
      </c>
      <c r="P137" s="86">
        <f t="shared" si="120"/>
        <v>2213.4</v>
      </c>
      <c r="Q137" s="86">
        <f t="shared" si="121"/>
        <v>2142</v>
      </c>
      <c r="R137" s="102">
        <f t="shared" si="122"/>
        <v>2213.4</v>
      </c>
      <c r="S137" s="248">
        <f>365-90</f>
        <v>275</v>
      </c>
      <c r="V137" s="249"/>
    </row>
    <row r="138" spans="1:22" s="245" customFormat="1" x14ac:dyDescent="0.25">
      <c r="A138" s="354"/>
      <c r="B138" s="329">
        <v>4</v>
      </c>
      <c r="C138" s="276" t="s">
        <v>62</v>
      </c>
      <c r="D138" s="271">
        <v>71.400000000000006</v>
      </c>
      <c r="E138" s="272">
        <v>2</v>
      </c>
      <c r="F138" s="261">
        <f t="shared" si="118"/>
        <v>17421.599999999999</v>
      </c>
      <c r="G138" s="261"/>
      <c r="H138" s="262"/>
      <c r="I138" s="261"/>
      <c r="J138" s="261"/>
      <c r="K138" s="261"/>
      <c r="L138" s="261"/>
      <c r="M138" s="261"/>
      <c r="N138" s="261"/>
      <c r="O138" s="261"/>
      <c r="P138" s="261">
        <f>E138*D138*61</f>
        <v>8710.7999999999993</v>
      </c>
      <c r="Q138" s="261">
        <f t="shared" si="121"/>
        <v>4284</v>
      </c>
      <c r="R138" s="273">
        <f t="shared" si="122"/>
        <v>4426.8</v>
      </c>
      <c r="S138" s="274">
        <f>30+31+30+31</f>
        <v>122</v>
      </c>
      <c r="T138"/>
      <c r="U138"/>
      <c r="V138" s="275"/>
    </row>
    <row r="139" spans="1:22" x14ac:dyDescent="0.25">
      <c r="A139" s="348"/>
      <c r="B139" s="351">
        <v>4</v>
      </c>
      <c r="C139" s="343" t="s">
        <v>62</v>
      </c>
      <c r="D139" s="83">
        <v>71.400000000000006</v>
      </c>
      <c r="E139" s="84">
        <v>10</v>
      </c>
      <c r="F139" s="86">
        <f t="shared" si="118"/>
        <v>260610</v>
      </c>
      <c r="G139" s="86">
        <f>E139*D139*31</f>
        <v>22134</v>
      </c>
      <c r="H139" s="87">
        <f>E139*D139*28</f>
        <v>19992</v>
      </c>
      <c r="I139" s="86">
        <f>E139*D139*31</f>
        <v>22134</v>
      </c>
      <c r="J139" s="86">
        <f>E139*D139*30</f>
        <v>21420</v>
      </c>
      <c r="K139" s="86">
        <f>E139*D139*31</f>
        <v>22134</v>
      </c>
      <c r="L139" s="86">
        <f>E139*D139*30</f>
        <v>21420</v>
      </c>
      <c r="M139" s="86">
        <f>E139*D139*31</f>
        <v>22134</v>
      </c>
      <c r="N139" s="86">
        <f>E139*D139*31</f>
        <v>22134</v>
      </c>
      <c r="O139" s="86">
        <f t="shared" si="119"/>
        <v>21420</v>
      </c>
      <c r="P139" s="86">
        <f t="shared" si="120"/>
        <v>22134</v>
      </c>
      <c r="Q139" s="86">
        <f t="shared" si="121"/>
        <v>21420</v>
      </c>
      <c r="R139" s="102">
        <f t="shared" si="122"/>
        <v>22134</v>
      </c>
      <c r="S139" s="248">
        <v>365</v>
      </c>
      <c r="V139" s="249"/>
    </row>
    <row r="140" spans="1:22" x14ac:dyDescent="0.25">
      <c r="A140" s="348"/>
      <c r="B140" s="351"/>
      <c r="C140" s="343" t="s">
        <v>40</v>
      </c>
      <c r="D140" s="83"/>
      <c r="E140" s="84"/>
      <c r="F140" s="261">
        <f>389741-SUM(F134:F139)+14530</f>
        <v>2.5</v>
      </c>
      <c r="G140" s="103"/>
      <c r="H140" s="87"/>
      <c r="I140" s="86"/>
      <c r="J140" s="86"/>
      <c r="K140" s="86"/>
      <c r="L140" s="86"/>
      <c r="M140" s="86"/>
      <c r="N140" s="86"/>
      <c r="O140" s="86"/>
      <c r="P140" s="86"/>
      <c r="Q140" s="86"/>
      <c r="R140" s="273"/>
      <c r="S140" s="248"/>
      <c r="V140" s="249"/>
    </row>
    <row r="141" spans="1:22" ht="33.6" customHeight="1" x14ac:dyDescent="0.25">
      <c r="A141" s="348"/>
      <c r="B141" s="351"/>
      <c r="C141" s="485" t="s">
        <v>149</v>
      </c>
      <c r="D141" s="485"/>
      <c r="E141" s="104">
        <f>SUM(E143:E144)</f>
        <v>9</v>
      </c>
      <c r="F141" s="255">
        <f>SUM(F143:F145)</f>
        <v>234559</v>
      </c>
      <c r="G141" s="255">
        <f t="shared" ref="G141:R141" si="123">SUM(G143:G145)</f>
        <v>19920.599999999999</v>
      </c>
      <c r="H141" s="255">
        <f t="shared" si="123"/>
        <v>17992.8</v>
      </c>
      <c r="I141" s="255">
        <f t="shared" si="123"/>
        <v>19920.599999999999</v>
      </c>
      <c r="J141" s="255">
        <f t="shared" si="123"/>
        <v>19278</v>
      </c>
      <c r="K141" s="255">
        <f t="shared" si="123"/>
        <v>19920.599999999999</v>
      </c>
      <c r="L141" s="255">
        <f t="shared" si="123"/>
        <v>19278</v>
      </c>
      <c r="M141" s="255">
        <f t="shared" si="123"/>
        <v>19920.599999999999</v>
      </c>
      <c r="N141" s="255">
        <f t="shared" si="123"/>
        <v>19920.599999999999</v>
      </c>
      <c r="O141" s="255">
        <f t="shared" si="123"/>
        <v>19278</v>
      </c>
      <c r="P141" s="255">
        <f t="shared" si="123"/>
        <v>19920.599999999999</v>
      </c>
      <c r="Q141" s="255">
        <f t="shared" si="123"/>
        <v>19278</v>
      </c>
      <c r="R141" s="256">
        <f t="shared" si="123"/>
        <v>19920.599999999999</v>
      </c>
      <c r="S141" s="252"/>
      <c r="V141" s="249"/>
    </row>
    <row r="142" spans="1:22" x14ac:dyDescent="0.25">
      <c r="A142" s="348"/>
      <c r="B142" s="351"/>
      <c r="C142" s="345"/>
      <c r="D142" s="345"/>
      <c r="E142" s="344" t="s">
        <v>151</v>
      </c>
      <c r="F142" s="253">
        <v>0</v>
      </c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4"/>
      <c r="S142" s="248"/>
      <c r="V142" s="249"/>
    </row>
    <row r="143" spans="1:22" x14ac:dyDescent="0.25">
      <c r="A143" s="348"/>
      <c r="B143" s="351">
        <v>1</v>
      </c>
      <c r="C143" s="343" t="s">
        <v>36</v>
      </c>
      <c r="D143" s="83">
        <v>71.400000000000006</v>
      </c>
      <c r="E143" s="84">
        <v>1</v>
      </c>
      <c r="F143" s="86">
        <f>+E143*S143*D143</f>
        <v>26061</v>
      </c>
      <c r="G143" s="86">
        <f>E143*D143*31</f>
        <v>2213.4</v>
      </c>
      <c r="H143" s="87">
        <f>E143*D143*28</f>
        <v>1999.2</v>
      </c>
      <c r="I143" s="86">
        <f>E143*D143*31</f>
        <v>2213.4</v>
      </c>
      <c r="J143" s="86">
        <f>E143*D143*30</f>
        <v>2142</v>
      </c>
      <c r="K143" s="86">
        <f>E143*D143*31</f>
        <v>2213.4</v>
      </c>
      <c r="L143" s="86">
        <f>E143*D143*30</f>
        <v>2142</v>
      </c>
      <c r="M143" s="86">
        <f>E143*D143*31</f>
        <v>2213.4</v>
      </c>
      <c r="N143" s="86">
        <f>E143*D143*31</f>
        <v>2213.4</v>
      </c>
      <c r="O143" s="86">
        <f>E143*D143*30</f>
        <v>2142</v>
      </c>
      <c r="P143" s="86">
        <f>E143*D143*31</f>
        <v>2213.4</v>
      </c>
      <c r="Q143" s="86">
        <f>E143*D143*30</f>
        <v>2142</v>
      </c>
      <c r="R143" s="102">
        <f>E143*D143*31</f>
        <v>2213.4</v>
      </c>
      <c r="S143" s="257">
        <v>365</v>
      </c>
      <c r="V143" s="249"/>
    </row>
    <row r="144" spans="1:22" x14ac:dyDescent="0.25">
      <c r="A144" s="348"/>
      <c r="B144" s="351">
        <v>2</v>
      </c>
      <c r="C144" s="343" t="s">
        <v>62</v>
      </c>
      <c r="D144" s="83">
        <v>71.400000000000006</v>
      </c>
      <c r="E144" s="84">
        <v>8</v>
      </c>
      <c r="F144" s="86">
        <f>+E144*S144*D144</f>
        <v>208488</v>
      </c>
      <c r="G144" s="86">
        <f>E144*D144*31</f>
        <v>17707.2</v>
      </c>
      <c r="H144" s="87">
        <f>E144*D144*28</f>
        <v>15993.6</v>
      </c>
      <c r="I144" s="86">
        <f>E144*D144*31</f>
        <v>17707.2</v>
      </c>
      <c r="J144" s="86">
        <f>E144*D144*30</f>
        <v>17136</v>
      </c>
      <c r="K144" s="86">
        <f>E144*D144*31</f>
        <v>17707.2</v>
      </c>
      <c r="L144" s="86">
        <f>E144*D144*30</f>
        <v>17136</v>
      </c>
      <c r="M144" s="86">
        <f>E144*D144*31</f>
        <v>17707.2</v>
      </c>
      <c r="N144" s="86">
        <f>E144*D144*31</f>
        <v>17707.2</v>
      </c>
      <c r="O144" s="86">
        <f>E144*D144*30</f>
        <v>17136</v>
      </c>
      <c r="P144" s="86">
        <f>E144*D144*31</f>
        <v>17707.2</v>
      </c>
      <c r="Q144" s="86">
        <f>E144*D144*30</f>
        <v>17136</v>
      </c>
      <c r="R144" s="102">
        <f>E144*D144*31</f>
        <v>17707.2</v>
      </c>
      <c r="S144" s="248">
        <v>365</v>
      </c>
      <c r="V144" s="249"/>
    </row>
    <row r="145" spans="1:22" x14ac:dyDescent="0.25">
      <c r="A145" s="348"/>
      <c r="B145" s="351"/>
      <c r="C145" s="343" t="s">
        <v>40</v>
      </c>
      <c r="D145" s="83"/>
      <c r="E145" s="84"/>
      <c r="F145" s="85">
        <f>234559-SUM(F143:F144)</f>
        <v>10</v>
      </c>
      <c r="G145" s="103"/>
      <c r="H145" s="87"/>
      <c r="I145" s="86"/>
      <c r="J145" s="86"/>
      <c r="K145" s="86"/>
      <c r="L145" s="86"/>
      <c r="M145" s="86"/>
      <c r="N145" s="86"/>
      <c r="O145" s="86"/>
      <c r="P145" s="86"/>
      <c r="Q145" s="86"/>
      <c r="R145" s="111"/>
      <c r="S145" s="248"/>
      <c r="V145" s="249"/>
    </row>
    <row r="146" spans="1:22" ht="37.9" customHeight="1" x14ac:dyDescent="0.25">
      <c r="A146" s="348"/>
      <c r="B146" s="351"/>
      <c r="C146" s="485" t="s">
        <v>64</v>
      </c>
      <c r="D146" s="485"/>
      <c r="E146" s="104">
        <f>SUM(E148:E152,)</f>
        <v>27</v>
      </c>
      <c r="F146" s="258">
        <f>SUM(F148:F153)</f>
        <v>672117</v>
      </c>
      <c r="G146" s="259">
        <f t="shared" ref="G146:R146" si="124">SUM(G148:G153)</f>
        <v>50908.2</v>
      </c>
      <c r="H146" s="259">
        <f t="shared" si="124"/>
        <v>49480.2</v>
      </c>
      <c r="I146" s="281">
        <f t="shared" si="124"/>
        <v>57334.2</v>
      </c>
      <c r="J146" s="259">
        <f t="shared" si="124"/>
        <v>53550</v>
      </c>
      <c r="K146" s="259">
        <f t="shared" si="124"/>
        <v>55335</v>
      </c>
      <c r="L146" s="259">
        <f t="shared" si="124"/>
        <v>57762.6</v>
      </c>
      <c r="M146" s="259">
        <f t="shared" si="124"/>
        <v>57548.4</v>
      </c>
      <c r="N146" s="259">
        <f t="shared" si="124"/>
        <v>62561.72</v>
      </c>
      <c r="O146" s="259">
        <f t="shared" si="124"/>
        <v>58117.8</v>
      </c>
      <c r="P146" s="259">
        <f t="shared" si="124"/>
        <v>60055.06</v>
      </c>
      <c r="Q146" s="259">
        <f t="shared" si="124"/>
        <v>53833.8</v>
      </c>
      <c r="R146" s="260">
        <f t="shared" si="124"/>
        <v>55628.26</v>
      </c>
      <c r="S146" s="248"/>
      <c r="V146" s="249"/>
    </row>
    <row r="147" spans="1:22" ht="14.25" customHeight="1" x14ac:dyDescent="0.25">
      <c r="A147" s="348"/>
      <c r="B147" s="351"/>
      <c r="C147" s="345"/>
      <c r="D147" s="345"/>
      <c r="E147" s="441" t="s">
        <v>151</v>
      </c>
      <c r="F147" s="443">
        <v>0</v>
      </c>
      <c r="G147" s="259"/>
      <c r="H147" s="259"/>
      <c r="I147" s="281"/>
      <c r="J147" s="259"/>
      <c r="K147" s="259"/>
      <c r="L147" s="259"/>
      <c r="M147" s="259"/>
      <c r="N147" s="259"/>
      <c r="O147" s="259"/>
      <c r="P147" s="259"/>
      <c r="Q147" s="259"/>
      <c r="R147" s="260"/>
      <c r="S147" s="248"/>
      <c r="V147" s="249"/>
    </row>
    <row r="148" spans="1:22" x14ac:dyDescent="0.25">
      <c r="A148" s="348"/>
      <c r="B148" s="351">
        <v>1</v>
      </c>
      <c r="C148" s="343" t="s">
        <v>36</v>
      </c>
      <c r="D148" s="83">
        <v>71.400000000000006</v>
      </c>
      <c r="E148" s="84">
        <v>1</v>
      </c>
      <c r="F148" s="86">
        <f>+E148*S148*D148</f>
        <v>23847.599999999999</v>
      </c>
      <c r="G148" s="86"/>
      <c r="H148" s="87"/>
      <c r="I148" s="86">
        <f>E148*D148*59</f>
        <v>4212.6000000000004</v>
      </c>
      <c r="J148" s="86">
        <f>E148*D148*30</f>
        <v>2142</v>
      </c>
      <c r="K148" s="86">
        <f>E148*D148*31</f>
        <v>2213.4</v>
      </c>
      <c r="L148" s="86">
        <f>E148*D148*30</f>
        <v>2142</v>
      </c>
      <c r="M148" s="86">
        <f>E148*D148*31</f>
        <v>2213.4</v>
      </c>
      <c r="N148" s="86">
        <f>E148*D148*31</f>
        <v>2213.4</v>
      </c>
      <c r="O148" s="86">
        <f>E148*D148*30</f>
        <v>2142</v>
      </c>
      <c r="P148" s="86">
        <f>E148*D148*31</f>
        <v>2213.4</v>
      </c>
      <c r="Q148" s="86">
        <f>E148*D148*30</f>
        <v>2142</v>
      </c>
      <c r="R148" s="102">
        <f>E148*D148*31</f>
        <v>2213.4</v>
      </c>
      <c r="S148" s="257">
        <f>365-31</f>
        <v>334</v>
      </c>
      <c r="V148" s="249"/>
    </row>
    <row r="149" spans="1:22" x14ac:dyDescent="0.25">
      <c r="A149" s="348"/>
      <c r="B149" s="351">
        <v>2</v>
      </c>
      <c r="C149" s="343" t="s">
        <v>62</v>
      </c>
      <c r="D149" s="83">
        <v>71.400000000000006</v>
      </c>
      <c r="E149" s="84">
        <v>22</v>
      </c>
      <c r="F149" s="85">
        <f>+E149*S149*D149-856.04-0.76</f>
        <v>572485.19999999995</v>
      </c>
      <c r="G149" s="86">
        <f>E149*D149*31-(31*D149)</f>
        <v>46481.4</v>
      </c>
      <c r="H149" s="87">
        <f>E149*D149*28+1499.4</f>
        <v>45481.8</v>
      </c>
      <c r="I149" s="108">
        <f>E149*D149*31</f>
        <v>48694.8</v>
      </c>
      <c r="J149" s="86">
        <f>E149*D149*30</f>
        <v>47124</v>
      </c>
      <c r="K149" s="86">
        <f>E149*D149*31</f>
        <v>48694.8</v>
      </c>
      <c r="L149" s="86">
        <f>E149*D149*30</f>
        <v>47124</v>
      </c>
      <c r="M149" s="86">
        <f>E149*D149*31</f>
        <v>48694.8</v>
      </c>
      <c r="N149" s="86">
        <f>E149*D149*31</f>
        <v>48694.8</v>
      </c>
      <c r="O149" s="86">
        <f>E149*D149*30</f>
        <v>47124</v>
      </c>
      <c r="P149" s="86">
        <f>E149*D149*31</f>
        <v>48694.8</v>
      </c>
      <c r="Q149" s="86">
        <f>E149*D149*30</f>
        <v>47124</v>
      </c>
      <c r="R149" s="102">
        <f>E149*D149*31</f>
        <v>48694.8</v>
      </c>
      <c r="S149" s="248">
        <v>365</v>
      </c>
      <c r="V149" s="249"/>
    </row>
    <row r="150" spans="1:22" s="245" customFormat="1" x14ac:dyDescent="0.25">
      <c r="A150" s="354"/>
      <c r="B150" s="329">
        <v>2</v>
      </c>
      <c r="C150" s="276" t="s">
        <v>62</v>
      </c>
      <c r="D150" s="271">
        <v>71.400000000000006</v>
      </c>
      <c r="E150" s="272">
        <v>2</v>
      </c>
      <c r="F150" s="308">
        <f>+E150*S150*D150</f>
        <v>43554</v>
      </c>
      <c r="G150" s="261">
        <f>E150*D150*31</f>
        <v>4426.8</v>
      </c>
      <c r="H150" s="262">
        <f>E150*D150*28</f>
        <v>3998.4</v>
      </c>
      <c r="I150" s="288">
        <f>E150*D150*31</f>
        <v>4426.8</v>
      </c>
      <c r="J150" s="261">
        <f>E150*D150*30</f>
        <v>4284</v>
      </c>
      <c r="K150" s="261">
        <f>E150*D150*31</f>
        <v>4426.8</v>
      </c>
      <c r="L150" s="261">
        <f>E150*D150*30</f>
        <v>4284</v>
      </c>
      <c r="M150" s="261">
        <f>E150*D150*31</f>
        <v>4426.8</v>
      </c>
      <c r="N150" s="261">
        <f>E150*D150*31</f>
        <v>4426.8</v>
      </c>
      <c r="O150" s="261">
        <f>E150*D150*30</f>
        <v>4284</v>
      </c>
      <c r="P150" s="261">
        <f>E150*D150*31</f>
        <v>4426.8</v>
      </c>
      <c r="Q150" s="261"/>
      <c r="R150" s="273"/>
      <c r="S150" s="274">
        <v>305</v>
      </c>
      <c r="T150"/>
      <c r="U150"/>
      <c r="V150" s="275"/>
    </row>
    <row r="151" spans="1:22" x14ac:dyDescent="0.25">
      <c r="A151" s="348"/>
      <c r="B151" s="351">
        <v>3</v>
      </c>
      <c r="C151" s="343" t="s">
        <v>62</v>
      </c>
      <c r="D151" s="83">
        <v>71.400000000000006</v>
      </c>
      <c r="E151" s="84">
        <v>1</v>
      </c>
      <c r="F151" s="308">
        <f>+E151*S151*D151</f>
        <v>17350.2</v>
      </c>
      <c r="G151" s="86"/>
      <c r="H151" s="87"/>
      <c r="I151" s="108"/>
      <c r="J151" s="86"/>
      <c r="K151" s="86"/>
      <c r="L151" s="86">
        <f>D151*E151*29+D151*E151*30</f>
        <v>4212.6000000000004</v>
      </c>
      <c r="M151" s="86">
        <f>E151*D151*31</f>
        <v>2213.4</v>
      </c>
      <c r="N151" s="86">
        <f>E151*D151*31</f>
        <v>2213.4</v>
      </c>
      <c r="O151" s="86">
        <f>E151*D151*30</f>
        <v>2142</v>
      </c>
      <c r="P151" s="86">
        <f>E151*D151*31</f>
        <v>2213.4</v>
      </c>
      <c r="Q151" s="86">
        <f>E151*D151*30</f>
        <v>2142</v>
      </c>
      <c r="R151" s="102">
        <f>E151*D151*31</f>
        <v>2213.4</v>
      </c>
      <c r="S151" s="248">
        <f>29+30+31+31+30+31+30+31</f>
        <v>243</v>
      </c>
      <c r="V151" s="249"/>
    </row>
    <row r="152" spans="1:22" s="245" customFormat="1" x14ac:dyDescent="0.25">
      <c r="A152" s="354"/>
      <c r="B152" s="329">
        <v>4</v>
      </c>
      <c r="C152" s="276" t="s">
        <v>39</v>
      </c>
      <c r="D152" s="271">
        <v>80.86</v>
      </c>
      <c r="E152" s="272">
        <v>1</v>
      </c>
      <c r="F152" s="261">
        <f>+E152*S152*D152</f>
        <v>14878.24</v>
      </c>
      <c r="G152" s="261"/>
      <c r="H152" s="262"/>
      <c r="I152" s="261"/>
      <c r="J152" s="261"/>
      <c r="K152" s="261"/>
      <c r="L152" s="261"/>
      <c r="M152" s="261"/>
      <c r="N152" s="261">
        <f>E152*D152*31+2506.66</f>
        <v>5013.32</v>
      </c>
      <c r="O152" s="261">
        <f>E152*D152*30</f>
        <v>2425.8000000000002</v>
      </c>
      <c r="P152" s="261">
        <f>E152*D152*31</f>
        <v>2506.66</v>
      </c>
      <c r="Q152" s="261">
        <f>E152*D152*30</f>
        <v>2425.8000000000002</v>
      </c>
      <c r="R152" s="273">
        <f>E152*D152*31</f>
        <v>2506.66</v>
      </c>
      <c r="S152" s="274">
        <f>31+31+30+31+30+31</f>
        <v>184</v>
      </c>
      <c r="T152"/>
      <c r="U152"/>
    </row>
    <row r="153" spans="1:22" x14ac:dyDescent="0.25">
      <c r="A153" s="348"/>
      <c r="B153" s="351"/>
      <c r="C153" s="343" t="s">
        <v>40</v>
      </c>
      <c r="D153" s="83"/>
      <c r="E153" s="84"/>
      <c r="F153" s="261">
        <f>703647-SUM(F148:F152)-20000-11530</f>
        <v>1.76</v>
      </c>
      <c r="G153" s="296"/>
      <c r="H153" s="262"/>
      <c r="I153" s="261"/>
      <c r="J153" s="261"/>
      <c r="K153" s="261"/>
      <c r="L153" s="261"/>
      <c r="M153" s="261"/>
      <c r="N153" s="261"/>
      <c r="O153" s="261"/>
      <c r="P153" s="261"/>
      <c r="Q153" s="261"/>
      <c r="R153" s="273"/>
      <c r="S153" s="248"/>
      <c r="V153" s="249"/>
    </row>
    <row r="154" spans="1:22" x14ac:dyDescent="0.25">
      <c r="A154" s="348"/>
      <c r="B154" s="351"/>
      <c r="C154" s="343"/>
      <c r="D154" s="83"/>
      <c r="E154" s="84"/>
      <c r="F154" s="88"/>
      <c r="G154" s="86"/>
      <c r="H154" s="87"/>
      <c r="I154" s="86"/>
      <c r="J154" s="86"/>
      <c r="K154" s="86"/>
      <c r="L154" s="86"/>
      <c r="M154" s="86"/>
      <c r="N154" s="86"/>
      <c r="O154" s="86"/>
      <c r="P154" s="86"/>
      <c r="Q154" s="86"/>
      <c r="R154" s="102"/>
      <c r="S154" s="248"/>
      <c r="V154" s="249"/>
    </row>
    <row r="155" spans="1:22" ht="33.6" customHeight="1" x14ac:dyDescent="0.25">
      <c r="A155" s="348"/>
      <c r="B155" s="351"/>
      <c r="C155" s="485" t="s">
        <v>65</v>
      </c>
      <c r="D155" s="485"/>
      <c r="E155" s="104">
        <f>SUM(E157:E158)</f>
        <v>7</v>
      </c>
      <c r="F155" s="255">
        <f>SUM(F157:F159)</f>
        <v>182429</v>
      </c>
      <c r="G155" s="255">
        <f t="shared" ref="G155:R155" si="125">SUM(G157:G159)</f>
        <v>15493.8</v>
      </c>
      <c r="H155" s="255">
        <f t="shared" si="125"/>
        <v>13994.4</v>
      </c>
      <c r="I155" s="255">
        <f t="shared" si="125"/>
        <v>15493.8</v>
      </c>
      <c r="J155" s="255">
        <f t="shared" si="125"/>
        <v>14994</v>
      </c>
      <c r="K155" s="255">
        <f t="shared" si="125"/>
        <v>15493.8</v>
      </c>
      <c r="L155" s="255">
        <f t="shared" si="125"/>
        <v>14994</v>
      </c>
      <c r="M155" s="255">
        <f t="shared" si="125"/>
        <v>15493.8</v>
      </c>
      <c r="N155" s="255">
        <f t="shared" si="125"/>
        <v>15493.8</v>
      </c>
      <c r="O155" s="255">
        <f t="shared" si="125"/>
        <v>14994</v>
      </c>
      <c r="P155" s="255">
        <f t="shared" si="125"/>
        <v>15493.8</v>
      </c>
      <c r="Q155" s="255">
        <f t="shared" si="125"/>
        <v>14994</v>
      </c>
      <c r="R155" s="256">
        <f t="shared" si="125"/>
        <v>15493.8</v>
      </c>
      <c r="S155" s="252"/>
      <c r="V155" s="249"/>
    </row>
    <row r="156" spans="1:22" ht="13.5" customHeight="1" x14ac:dyDescent="0.25">
      <c r="A156" s="348"/>
      <c r="B156" s="351"/>
      <c r="C156" s="345"/>
      <c r="D156" s="345"/>
      <c r="E156" s="441" t="s">
        <v>151</v>
      </c>
      <c r="F156" s="443">
        <v>0</v>
      </c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6"/>
      <c r="S156" s="252"/>
      <c r="V156" s="249"/>
    </row>
    <row r="157" spans="1:22" x14ac:dyDescent="0.25">
      <c r="A157" s="348"/>
      <c r="B157" s="351">
        <v>1</v>
      </c>
      <c r="C157" s="343" t="s">
        <v>55</v>
      </c>
      <c r="D157" s="83">
        <v>71.400000000000006</v>
      </c>
      <c r="E157" s="84">
        <v>1</v>
      </c>
      <c r="F157" s="86">
        <f>+E157*S157*D157</f>
        <v>26061</v>
      </c>
      <c r="G157" s="86">
        <f>E157*D157*31</f>
        <v>2213.4</v>
      </c>
      <c r="H157" s="87">
        <f>E157*D157*28</f>
        <v>1999.2</v>
      </c>
      <c r="I157" s="86">
        <f>E157*D157*31</f>
        <v>2213.4</v>
      </c>
      <c r="J157" s="86">
        <f>E157*D157*30</f>
        <v>2142</v>
      </c>
      <c r="K157" s="86">
        <f>E157*D157*31</f>
        <v>2213.4</v>
      </c>
      <c r="L157" s="86">
        <f>E157*D157*30</f>
        <v>2142</v>
      </c>
      <c r="M157" s="86">
        <f>E157*D157*31</f>
        <v>2213.4</v>
      </c>
      <c r="N157" s="86">
        <f>E157*D157*31</f>
        <v>2213.4</v>
      </c>
      <c r="O157" s="86">
        <f>E157*D157*30</f>
        <v>2142</v>
      </c>
      <c r="P157" s="86">
        <f>E157*D157*31</f>
        <v>2213.4</v>
      </c>
      <c r="Q157" s="86">
        <f>E157*D157*30</f>
        <v>2142</v>
      </c>
      <c r="R157" s="102">
        <f>E157*D157*31</f>
        <v>2213.4</v>
      </c>
      <c r="S157" s="257">
        <v>365</v>
      </c>
      <c r="V157" s="249"/>
    </row>
    <row r="158" spans="1:22" x14ac:dyDescent="0.25">
      <c r="A158" s="348"/>
      <c r="B158" s="351">
        <v>2</v>
      </c>
      <c r="C158" s="343" t="s">
        <v>62</v>
      </c>
      <c r="D158" s="83">
        <v>71.400000000000006</v>
      </c>
      <c r="E158" s="84">
        <v>6</v>
      </c>
      <c r="F158" s="86">
        <f>+E158*S158*D158</f>
        <v>156366</v>
      </c>
      <c r="G158" s="86">
        <f>E158*D158*31</f>
        <v>13280.4</v>
      </c>
      <c r="H158" s="87">
        <f>E158*D158*28</f>
        <v>11995.2</v>
      </c>
      <c r="I158" s="86">
        <f>E158*D158*31</f>
        <v>13280.4</v>
      </c>
      <c r="J158" s="86">
        <f>E158*D158*30</f>
        <v>12852</v>
      </c>
      <c r="K158" s="86">
        <f>E158*D158*31</f>
        <v>13280.4</v>
      </c>
      <c r="L158" s="86">
        <f>E158*D158*30</f>
        <v>12852</v>
      </c>
      <c r="M158" s="86">
        <f>E158*D158*31</f>
        <v>13280.4</v>
      </c>
      <c r="N158" s="86">
        <f>E158*D158*31</f>
        <v>13280.4</v>
      </c>
      <c r="O158" s="86">
        <f>E158*D158*30</f>
        <v>12852</v>
      </c>
      <c r="P158" s="86">
        <f>E158*D158*31</f>
        <v>13280.4</v>
      </c>
      <c r="Q158" s="86">
        <f>E158*D158*30</f>
        <v>12852</v>
      </c>
      <c r="R158" s="102">
        <f>E158*D158*31</f>
        <v>13280.4</v>
      </c>
      <c r="S158" s="248">
        <v>365</v>
      </c>
      <c r="V158" s="249"/>
    </row>
    <row r="159" spans="1:22" ht="15.75" thickBot="1" x14ac:dyDescent="0.3">
      <c r="A159" s="348"/>
      <c r="B159" s="351"/>
      <c r="C159" s="343" t="s">
        <v>40</v>
      </c>
      <c r="D159" s="83"/>
      <c r="E159" s="84"/>
      <c r="F159" s="85">
        <f>234549-SUM(F157:F158)-(31450)-(3240)-17430</f>
        <v>2</v>
      </c>
      <c r="G159" s="103"/>
      <c r="H159" s="87"/>
      <c r="I159" s="86"/>
      <c r="J159" s="86"/>
      <c r="K159" s="86"/>
      <c r="L159" s="86"/>
      <c r="M159" s="86"/>
      <c r="N159" s="86"/>
      <c r="O159" s="86"/>
      <c r="P159" s="86"/>
      <c r="Q159" s="86"/>
      <c r="R159" s="332"/>
      <c r="S159" s="248"/>
      <c r="V159" s="249"/>
    </row>
    <row r="160" spans="1:22" ht="35.25" customHeight="1" x14ac:dyDescent="0.25">
      <c r="A160" s="348"/>
      <c r="B160" s="380"/>
      <c r="C160" s="287" t="s">
        <v>66</v>
      </c>
      <c r="D160" s="113"/>
      <c r="E160" s="113"/>
      <c r="F160" s="113"/>
      <c r="G160" s="114"/>
      <c r="H160" s="115"/>
      <c r="I160" s="114"/>
      <c r="J160" s="114"/>
      <c r="K160" s="114"/>
      <c r="L160" s="114"/>
      <c r="M160" s="114"/>
      <c r="N160" s="114"/>
      <c r="O160" s="114"/>
      <c r="P160" s="114"/>
      <c r="Q160" s="114"/>
      <c r="R160" s="116"/>
      <c r="S160" s="1"/>
    </row>
    <row r="161" spans="1:22" ht="27" customHeight="1" thickBot="1" x14ac:dyDescent="0.3">
      <c r="A161" s="348"/>
      <c r="B161" s="376"/>
      <c r="C161" s="476" t="s">
        <v>67</v>
      </c>
      <c r="D161" s="476"/>
      <c r="E161" s="99">
        <f t="shared" ref="E161:R161" si="126">E162+E191+E204+E208+E212+E216+E224</f>
        <v>105</v>
      </c>
      <c r="F161" s="117">
        <f t="shared" si="126"/>
        <v>2515798</v>
      </c>
      <c r="G161" s="117">
        <f t="shared" si="126"/>
        <v>201787.37</v>
      </c>
      <c r="H161" s="117">
        <f t="shared" si="126"/>
        <v>187614.56</v>
      </c>
      <c r="I161" s="117">
        <f t="shared" si="126"/>
        <v>201787.37</v>
      </c>
      <c r="J161" s="117">
        <f t="shared" si="126"/>
        <v>195278.1</v>
      </c>
      <c r="K161" s="117">
        <f t="shared" si="126"/>
        <v>201787.37</v>
      </c>
      <c r="L161" s="117">
        <f t="shared" si="126"/>
        <v>195420.9</v>
      </c>
      <c r="M161" s="117">
        <f t="shared" si="126"/>
        <v>203293.53</v>
      </c>
      <c r="N161" s="117">
        <f t="shared" si="126"/>
        <v>213912.71</v>
      </c>
      <c r="O161" s="117">
        <f t="shared" si="126"/>
        <v>205604.4</v>
      </c>
      <c r="P161" s="117">
        <f t="shared" si="126"/>
        <v>213004.93</v>
      </c>
      <c r="Q161" s="117">
        <f t="shared" si="126"/>
        <v>234578.7</v>
      </c>
      <c r="R161" s="118">
        <f t="shared" si="126"/>
        <v>226756.63</v>
      </c>
    </row>
    <row r="162" spans="1:22" ht="25.9" customHeight="1" x14ac:dyDescent="0.25">
      <c r="A162" s="348"/>
      <c r="B162" s="379"/>
      <c r="C162" s="486" t="s">
        <v>68</v>
      </c>
      <c r="D162" s="486"/>
      <c r="E162" s="106">
        <f>SUM(E164:E188)</f>
        <v>71</v>
      </c>
      <c r="F162" s="177">
        <f>SUM(F164:F189)</f>
        <v>1821061</v>
      </c>
      <c r="G162" s="294">
        <f t="shared" ref="G162:Q162" si="127">SUM(G164:G188)</f>
        <v>150550.57</v>
      </c>
      <c r="H162" s="177">
        <f t="shared" si="127"/>
        <v>141336.16</v>
      </c>
      <c r="I162" s="177">
        <f t="shared" si="127"/>
        <v>150550.57</v>
      </c>
      <c r="J162" s="177">
        <f t="shared" si="127"/>
        <v>145694.1</v>
      </c>
      <c r="K162" s="177">
        <f t="shared" si="127"/>
        <v>150550.57</v>
      </c>
      <c r="L162" s="177">
        <f t="shared" si="127"/>
        <v>145836.9</v>
      </c>
      <c r="M162" s="177">
        <f t="shared" si="127"/>
        <v>152056.73000000001</v>
      </c>
      <c r="N162" s="177">
        <f t="shared" si="127"/>
        <v>155857.15</v>
      </c>
      <c r="O162" s="177">
        <f t="shared" si="127"/>
        <v>148403.70000000001</v>
      </c>
      <c r="P162" s="177">
        <f t="shared" si="127"/>
        <v>150666.51</v>
      </c>
      <c r="Q162" s="177">
        <f t="shared" si="127"/>
        <v>150620.1</v>
      </c>
      <c r="R162" s="359">
        <f>SUM(R164:R189)</f>
        <v>151066.41</v>
      </c>
    </row>
    <row r="163" spans="1:22" x14ac:dyDescent="0.25">
      <c r="A163" s="348"/>
      <c r="B163" s="351"/>
      <c r="C163" s="345"/>
      <c r="D163" s="345"/>
      <c r="E163" s="429" t="s">
        <v>151</v>
      </c>
      <c r="F163" s="253">
        <v>0</v>
      </c>
      <c r="G163" s="253"/>
      <c r="H163" s="253"/>
      <c r="I163" s="253"/>
      <c r="J163" s="253"/>
      <c r="K163" s="253"/>
      <c r="L163" s="253"/>
      <c r="M163" s="300"/>
      <c r="N163" s="253"/>
      <c r="O163" s="253"/>
      <c r="P163" s="420"/>
      <c r="Q163" s="278"/>
      <c r="R163" s="254"/>
      <c r="V163" s="249"/>
    </row>
    <row r="164" spans="1:22" x14ac:dyDescent="0.25">
      <c r="A164" s="348"/>
      <c r="B164" s="257">
        <v>1</v>
      </c>
      <c r="C164" s="341" t="s">
        <v>44</v>
      </c>
      <c r="D164" s="107">
        <v>72.540000000000006</v>
      </c>
      <c r="E164" s="119">
        <v>4</v>
      </c>
      <c r="F164" s="108">
        <f t="shared" ref="F164:F171" si="128">+E164*S164*D164</f>
        <v>105908.4</v>
      </c>
      <c r="G164" s="108">
        <f t="shared" ref="G164:G188" si="129">E164*D164*31</f>
        <v>8994.9599999999991</v>
      </c>
      <c r="H164" s="109">
        <f>E164*D164*28</f>
        <v>8124.48</v>
      </c>
      <c r="I164" s="108">
        <f>E164*D164*31</f>
        <v>8994.9599999999991</v>
      </c>
      <c r="J164" s="108">
        <f>E164*D164*30</f>
        <v>8704.7999999999993</v>
      </c>
      <c r="K164" s="108">
        <f>E164*D164*31</f>
        <v>8994.9599999999991</v>
      </c>
      <c r="L164" s="108">
        <f>E164*D164*30</f>
        <v>8704.7999999999993</v>
      </c>
      <c r="M164" s="86">
        <f t="shared" ref="M164:M188" si="130">E164*D164*31</f>
        <v>8994.9599999999991</v>
      </c>
      <c r="N164" s="86">
        <f t="shared" ref="N164:N172" si="131">E164*D164*31</f>
        <v>8994.9599999999991</v>
      </c>
      <c r="O164" s="86">
        <f t="shared" ref="O164:O172" si="132">E164*D164*30</f>
        <v>8704.7999999999993</v>
      </c>
      <c r="P164" s="86">
        <f t="shared" ref="P164:P172" si="133">E164*D164*31</f>
        <v>8994.9599999999991</v>
      </c>
      <c r="Q164" s="86">
        <f t="shared" ref="Q164:Q172" si="134">E164*D164*30</f>
        <v>8704.7999999999993</v>
      </c>
      <c r="R164" s="102">
        <f t="shared" ref="R164:R172" si="135">E164*D164*31</f>
        <v>8994.9599999999991</v>
      </c>
      <c r="S164">
        <v>365</v>
      </c>
    </row>
    <row r="165" spans="1:22" s="245" customFormat="1" x14ac:dyDescent="0.25">
      <c r="A165" s="354"/>
      <c r="B165" s="329">
        <v>1</v>
      </c>
      <c r="C165" s="270" t="s">
        <v>44</v>
      </c>
      <c r="D165" s="271">
        <v>72.540000000000006</v>
      </c>
      <c r="E165" s="272">
        <v>1</v>
      </c>
      <c r="F165" s="323">
        <f t="shared" si="128"/>
        <v>19368.18</v>
      </c>
      <c r="G165" s="288">
        <f t="shared" ref="G165" si="136">E165*D165*31</f>
        <v>2248.7399999999998</v>
      </c>
      <c r="H165" s="289">
        <f>E165*D165*28</f>
        <v>2031.12</v>
      </c>
      <c r="I165" s="288">
        <f>E165*D165*31</f>
        <v>2248.7399999999998</v>
      </c>
      <c r="J165" s="288">
        <f>E165*D165*30</f>
        <v>2176.1999999999998</v>
      </c>
      <c r="K165" s="288">
        <f>E165*D165*31</f>
        <v>2248.7399999999998</v>
      </c>
      <c r="L165" s="288">
        <f>E165*D165*30</f>
        <v>2176.1999999999998</v>
      </c>
      <c r="M165" s="261">
        <f t="shared" ref="M165" si="137">E165*D165*31</f>
        <v>2248.7399999999998</v>
      </c>
      <c r="N165" s="261">
        <f t="shared" ref="N165" si="138">E165*D165*31</f>
        <v>2248.7399999999998</v>
      </c>
      <c r="O165" s="261">
        <f t="shared" ref="O165" si="139">E165*D165*30</f>
        <v>2176.1999999999998</v>
      </c>
      <c r="P165" s="261">
        <v>-435.24</v>
      </c>
      <c r="Q165" s="261"/>
      <c r="R165" s="273"/>
      <c r="S165" s="245">
        <f>31+28+31+30+31+30+31+31+30-6</f>
        <v>267</v>
      </c>
      <c r="T165"/>
      <c r="U165"/>
      <c r="V165" s="275"/>
    </row>
    <row r="166" spans="1:22" x14ac:dyDescent="0.25">
      <c r="A166" s="348"/>
      <c r="B166" s="351">
        <v>2</v>
      </c>
      <c r="C166" s="343" t="s">
        <v>60</v>
      </c>
      <c r="D166" s="83">
        <v>73.59</v>
      </c>
      <c r="E166" s="84">
        <v>1</v>
      </c>
      <c r="F166" s="86">
        <f t="shared" si="128"/>
        <v>26860.35</v>
      </c>
      <c r="G166" s="108">
        <f t="shared" si="129"/>
        <v>2281.29</v>
      </c>
      <c r="H166" s="109">
        <f t="shared" ref="H166:H188" si="140">E166*D166*28</f>
        <v>2060.52</v>
      </c>
      <c r="I166" s="108">
        <f t="shared" ref="I166:I188" si="141">E166*D166*31</f>
        <v>2281.29</v>
      </c>
      <c r="J166" s="108">
        <f t="shared" ref="J166:J188" si="142">E166*D166*30</f>
        <v>2207.6999999999998</v>
      </c>
      <c r="K166" s="108">
        <f t="shared" ref="K166:K188" si="143">E166*D166*31</f>
        <v>2281.29</v>
      </c>
      <c r="L166" s="108">
        <f t="shared" ref="L166:L188" si="144">E166*D166*30</f>
        <v>2207.6999999999998</v>
      </c>
      <c r="M166" s="86">
        <f t="shared" si="130"/>
        <v>2281.29</v>
      </c>
      <c r="N166" s="86">
        <f t="shared" si="131"/>
        <v>2281.29</v>
      </c>
      <c r="O166" s="86">
        <f t="shared" si="132"/>
        <v>2207.6999999999998</v>
      </c>
      <c r="P166" s="86">
        <f t="shared" si="133"/>
        <v>2281.29</v>
      </c>
      <c r="Q166" s="86">
        <f t="shared" si="134"/>
        <v>2207.6999999999998</v>
      </c>
      <c r="R166" s="102">
        <f t="shared" si="135"/>
        <v>2281.29</v>
      </c>
      <c r="S166">
        <v>365</v>
      </c>
    </row>
    <row r="167" spans="1:22" x14ac:dyDescent="0.25">
      <c r="A167" s="348"/>
      <c r="B167" s="351">
        <v>4</v>
      </c>
      <c r="C167" s="343" t="s">
        <v>69</v>
      </c>
      <c r="D167" s="83">
        <v>71.400000000000006</v>
      </c>
      <c r="E167" s="84">
        <v>14</v>
      </c>
      <c r="F167" s="86">
        <f t="shared" si="128"/>
        <v>364854</v>
      </c>
      <c r="G167" s="108">
        <f>E167*D167*31</f>
        <v>30987.599999999999</v>
      </c>
      <c r="H167" s="109">
        <f>E167*D167*28</f>
        <v>27988.799999999999</v>
      </c>
      <c r="I167" s="108">
        <f t="shared" si="141"/>
        <v>30987.599999999999</v>
      </c>
      <c r="J167" s="108">
        <f t="shared" si="142"/>
        <v>29988</v>
      </c>
      <c r="K167" s="108">
        <f t="shared" si="143"/>
        <v>30987.599999999999</v>
      </c>
      <c r="L167" s="108">
        <f>E167*D167*30</f>
        <v>29988</v>
      </c>
      <c r="M167" s="86">
        <f t="shared" si="130"/>
        <v>30987.599999999999</v>
      </c>
      <c r="N167" s="86">
        <f t="shared" si="131"/>
        <v>30987.599999999999</v>
      </c>
      <c r="O167" s="86">
        <f t="shared" si="132"/>
        <v>29988</v>
      </c>
      <c r="P167" s="86">
        <f t="shared" si="133"/>
        <v>30987.599999999999</v>
      </c>
      <c r="Q167" s="86">
        <f t="shared" si="134"/>
        <v>29988</v>
      </c>
      <c r="R167" s="102">
        <f t="shared" si="135"/>
        <v>30987.599999999999</v>
      </c>
      <c r="S167">
        <v>365</v>
      </c>
    </row>
    <row r="168" spans="1:22" s="245" customFormat="1" x14ac:dyDescent="0.25">
      <c r="A168" s="354"/>
      <c r="B168" s="329"/>
      <c r="C168" s="276" t="s">
        <v>69</v>
      </c>
      <c r="D168" s="271">
        <v>71.400000000000006</v>
      </c>
      <c r="E168" s="272">
        <v>1</v>
      </c>
      <c r="F168" s="261">
        <f t="shared" ref="F168" si="145">+E168*S168*D168</f>
        <v>28203</v>
      </c>
      <c r="G168" s="288">
        <f>E168*D168*31</f>
        <v>2213.4</v>
      </c>
      <c r="H168" s="289">
        <f>E168*D168*28+D168*28</f>
        <v>3998.4</v>
      </c>
      <c r="I168" s="288">
        <f t="shared" ref="I168" si="146">E168*D168*31</f>
        <v>2213.4</v>
      </c>
      <c r="J168" s="288">
        <f t="shared" ref="J168" si="147">E168*D168*30</f>
        <v>2142</v>
      </c>
      <c r="K168" s="288">
        <f t="shared" ref="K168" si="148">E168*D168*31</f>
        <v>2213.4</v>
      </c>
      <c r="L168" s="288">
        <f>E168*D168*30+(142.8)</f>
        <v>2284.8000000000002</v>
      </c>
      <c r="M168" s="261">
        <f t="shared" ref="M168" si="149">E168*D168*31</f>
        <v>2213.4</v>
      </c>
      <c r="N168" s="261">
        <f t="shared" ref="N168" si="150">E168*D168*31</f>
        <v>2213.4</v>
      </c>
      <c r="O168" s="261">
        <f t="shared" ref="O168" si="151">E168*D168*30</f>
        <v>2142</v>
      </c>
      <c r="P168" s="261">
        <f t="shared" ref="P168" si="152">E168*D168*31</f>
        <v>2213.4</v>
      </c>
      <c r="Q168" s="261">
        <f t="shared" ref="Q168" si="153">E168*D168*30</f>
        <v>2142</v>
      </c>
      <c r="R168" s="273">
        <f t="shared" ref="R168" si="154">E168*D168*31</f>
        <v>2213.4</v>
      </c>
      <c r="S168" s="245">
        <f>31+28+28+31+30+31+30+2+31+31+30+31+30+31</f>
        <v>395</v>
      </c>
    </row>
    <row r="169" spans="1:22" s="245" customFormat="1" x14ac:dyDescent="0.25">
      <c r="A169" s="354"/>
      <c r="B169" s="329">
        <v>5</v>
      </c>
      <c r="C169" s="276" t="s">
        <v>63</v>
      </c>
      <c r="D169" s="271">
        <v>72.540000000000006</v>
      </c>
      <c r="E169" s="272">
        <v>4</v>
      </c>
      <c r="F169" s="261">
        <f t="shared" si="128"/>
        <v>105908.4</v>
      </c>
      <c r="G169" s="288">
        <f t="shared" si="129"/>
        <v>8994.9599999999991</v>
      </c>
      <c r="H169" s="289">
        <f t="shared" si="140"/>
        <v>8124.48</v>
      </c>
      <c r="I169" s="288">
        <f t="shared" si="141"/>
        <v>8994.9599999999991</v>
      </c>
      <c r="J169" s="288">
        <f t="shared" si="142"/>
        <v>8704.7999999999993</v>
      </c>
      <c r="K169" s="288">
        <f t="shared" si="143"/>
        <v>8994.9599999999991</v>
      </c>
      <c r="L169" s="288">
        <f t="shared" si="144"/>
        <v>8704.7999999999993</v>
      </c>
      <c r="M169" s="261">
        <f t="shared" si="130"/>
        <v>8994.9599999999991</v>
      </c>
      <c r="N169" s="261">
        <f t="shared" si="131"/>
        <v>8994.9599999999991</v>
      </c>
      <c r="O169" s="261">
        <f t="shared" si="132"/>
        <v>8704.7999999999993</v>
      </c>
      <c r="P169" s="261">
        <f t="shared" si="133"/>
        <v>8994.9599999999991</v>
      </c>
      <c r="Q169" s="261">
        <f t="shared" si="134"/>
        <v>8704.7999999999993</v>
      </c>
      <c r="R169" s="273">
        <f t="shared" si="135"/>
        <v>8994.9599999999991</v>
      </c>
      <c r="S169" s="245">
        <v>365</v>
      </c>
    </row>
    <row r="170" spans="1:22" s="245" customFormat="1" x14ac:dyDescent="0.25">
      <c r="A170" s="354"/>
      <c r="B170" s="329">
        <v>6</v>
      </c>
      <c r="C170" s="276" t="s">
        <v>70</v>
      </c>
      <c r="D170" s="271">
        <v>73.59</v>
      </c>
      <c r="E170" s="272">
        <v>1</v>
      </c>
      <c r="F170" s="261">
        <f t="shared" si="128"/>
        <v>26860.35</v>
      </c>
      <c r="G170" s="288">
        <f t="shared" si="129"/>
        <v>2281.29</v>
      </c>
      <c r="H170" s="289">
        <f t="shared" si="140"/>
        <v>2060.52</v>
      </c>
      <c r="I170" s="288">
        <f t="shared" si="141"/>
        <v>2281.29</v>
      </c>
      <c r="J170" s="288">
        <f t="shared" si="142"/>
        <v>2207.6999999999998</v>
      </c>
      <c r="K170" s="288">
        <f t="shared" si="143"/>
        <v>2281.29</v>
      </c>
      <c r="L170" s="288">
        <f t="shared" si="144"/>
        <v>2207.6999999999998</v>
      </c>
      <c r="M170" s="261">
        <f t="shared" si="130"/>
        <v>2281.29</v>
      </c>
      <c r="N170" s="261">
        <f t="shared" si="131"/>
        <v>2281.29</v>
      </c>
      <c r="O170" s="261">
        <f t="shared" si="132"/>
        <v>2207.6999999999998</v>
      </c>
      <c r="P170" s="261">
        <f t="shared" si="133"/>
        <v>2281.29</v>
      </c>
      <c r="Q170" s="261">
        <f t="shared" si="134"/>
        <v>2207.6999999999998</v>
      </c>
      <c r="R170" s="273">
        <f t="shared" si="135"/>
        <v>2281.29</v>
      </c>
      <c r="S170" s="245">
        <v>365</v>
      </c>
    </row>
    <row r="171" spans="1:22" s="245" customFormat="1" x14ac:dyDescent="0.25">
      <c r="A171" s="354"/>
      <c r="B171" s="329">
        <v>7</v>
      </c>
      <c r="C171" s="276" t="s">
        <v>71</v>
      </c>
      <c r="D171" s="271">
        <v>77.59</v>
      </c>
      <c r="E171" s="272">
        <v>2</v>
      </c>
      <c r="F171" s="261">
        <f t="shared" si="128"/>
        <v>56640.7</v>
      </c>
      <c r="G171" s="288">
        <f t="shared" si="129"/>
        <v>4810.58</v>
      </c>
      <c r="H171" s="289">
        <f t="shared" si="140"/>
        <v>4345.04</v>
      </c>
      <c r="I171" s="288">
        <f t="shared" si="141"/>
        <v>4810.58</v>
      </c>
      <c r="J171" s="288">
        <f t="shared" si="142"/>
        <v>4655.3999999999996</v>
      </c>
      <c r="K171" s="288">
        <f t="shared" si="143"/>
        <v>4810.58</v>
      </c>
      <c r="L171" s="288">
        <f t="shared" si="144"/>
        <v>4655.3999999999996</v>
      </c>
      <c r="M171" s="261">
        <f t="shared" si="130"/>
        <v>4810.58</v>
      </c>
      <c r="N171" s="261">
        <f t="shared" si="131"/>
        <v>4810.58</v>
      </c>
      <c r="O171" s="261">
        <f t="shared" si="132"/>
        <v>4655.3999999999996</v>
      </c>
      <c r="P171" s="261">
        <f t="shared" si="133"/>
        <v>4810.58</v>
      </c>
      <c r="Q171" s="261">
        <f t="shared" si="134"/>
        <v>4655.3999999999996</v>
      </c>
      <c r="R171" s="273">
        <f t="shared" si="135"/>
        <v>4810.58</v>
      </c>
      <c r="S171" s="245">
        <v>365</v>
      </c>
    </row>
    <row r="172" spans="1:22" s="301" customFormat="1" x14ac:dyDescent="0.25">
      <c r="A172" s="403"/>
      <c r="B172" s="329">
        <v>8</v>
      </c>
      <c r="C172" s="276" t="s">
        <v>15</v>
      </c>
      <c r="D172" s="271">
        <v>71.400000000000006</v>
      </c>
      <c r="E172" s="272">
        <v>15</v>
      </c>
      <c r="F172" s="261">
        <f>+E172*S172*D172</f>
        <v>390915</v>
      </c>
      <c r="G172" s="288">
        <f t="shared" si="129"/>
        <v>33201</v>
      </c>
      <c r="H172" s="289">
        <f>E172*D172*28</f>
        <v>29988</v>
      </c>
      <c r="I172" s="288">
        <f t="shared" si="141"/>
        <v>33201</v>
      </c>
      <c r="J172" s="288">
        <f t="shared" si="142"/>
        <v>32130</v>
      </c>
      <c r="K172" s="288">
        <f t="shared" si="143"/>
        <v>33201</v>
      </c>
      <c r="L172" s="288">
        <f t="shared" si="144"/>
        <v>32130</v>
      </c>
      <c r="M172" s="261">
        <f t="shared" si="130"/>
        <v>33201</v>
      </c>
      <c r="N172" s="261">
        <f t="shared" si="131"/>
        <v>33201</v>
      </c>
      <c r="O172" s="261">
        <f t="shared" si="132"/>
        <v>32130</v>
      </c>
      <c r="P172" s="261">
        <f t="shared" si="133"/>
        <v>33201</v>
      </c>
      <c r="Q172" s="261">
        <f t="shared" si="134"/>
        <v>32130</v>
      </c>
      <c r="R172" s="273">
        <f t="shared" si="135"/>
        <v>33201</v>
      </c>
      <c r="S172" s="245">
        <v>365</v>
      </c>
      <c r="T172" s="245"/>
      <c r="U172" s="245"/>
    </row>
    <row r="173" spans="1:22" s="301" customFormat="1" x14ac:dyDescent="0.25">
      <c r="A173" s="403"/>
      <c r="B173" s="329">
        <v>8</v>
      </c>
      <c r="C173" s="276" t="s">
        <v>15</v>
      </c>
      <c r="D173" s="271">
        <v>71.400000000000006</v>
      </c>
      <c r="E173" s="272">
        <v>1</v>
      </c>
      <c r="F173" s="261">
        <f>+E173*S173*D173</f>
        <v>28131.599999999999</v>
      </c>
      <c r="G173" s="288">
        <f t="shared" ref="G173" si="155">E173*D173*31</f>
        <v>2213.4</v>
      </c>
      <c r="H173" s="289">
        <f>E173*D173*28+(D173*29)</f>
        <v>4069.8</v>
      </c>
      <c r="I173" s="288">
        <f t="shared" ref="I173" si="156">E173*D173*31</f>
        <v>2213.4</v>
      </c>
      <c r="J173" s="288">
        <f t="shared" ref="J173" si="157">E173*D173*30</f>
        <v>2142</v>
      </c>
      <c r="K173" s="288">
        <f t="shared" ref="K173" si="158">E173*D173*31</f>
        <v>2213.4</v>
      </c>
      <c r="L173" s="288">
        <f t="shared" ref="L173" si="159">E173*D173*30</f>
        <v>2142</v>
      </c>
      <c r="M173" s="261">
        <f t="shared" ref="M173" si="160">E173*D173*31</f>
        <v>2213.4</v>
      </c>
      <c r="N173" s="261">
        <f t="shared" ref="N173" si="161">E173*D173*31</f>
        <v>2213.4</v>
      </c>
      <c r="O173" s="261">
        <f t="shared" ref="O173" si="162">E173*D173*30</f>
        <v>2142</v>
      </c>
      <c r="P173" s="261">
        <f t="shared" ref="P173" si="163">E173*D173*31</f>
        <v>2213.4</v>
      </c>
      <c r="Q173" s="261">
        <f t="shared" ref="Q173" si="164">E173*D173*30</f>
        <v>2142</v>
      </c>
      <c r="R173" s="273">
        <f t="shared" ref="R173" si="165">E173*D173*31</f>
        <v>2213.4</v>
      </c>
      <c r="S173" s="245">
        <f>365+29</f>
        <v>394</v>
      </c>
      <c r="T173" s="245"/>
      <c r="U173" s="245"/>
    </row>
    <row r="174" spans="1:22" s="301" customFormat="1" x14ac:dyDescent="0.25">
      <c r="A174" s="403"/>
      <c r="B174" s="329">
        <v>8</v>
      </c>
      <c r="C174" s="276" t="s">
        <v>15</v>
      </c>
      <c r="D174" s="271">
        <v>71.400000000000006</v>
      </c>
      <c r="E174" s="272">
        <v>1</v>
      </c>
      <c r="F174" s="261">
        <f t="shared" ref="F174:F188" si="166">+E174*S174*D174</f>
        <v>12923.4</v>
      </c>
      <c r="G174" s="288">
        <f t="shared" ref="G174" si="167">E174*D174*31</f>
        <v>2213.4</v>
      </c>
      <c r="H174" s="289">
        <f>E174*D174*28</f>
        <v>1999.2</v>
      </c>
      <c r="I174" s="288">
        <f t="shared" ref="I174" si="168">E174*D174*31</f>
        <v>2213.4</v>
      </c>
      <c r="J174" s="288">
        <f t="shared" ref="J174" si="169">E174*D174*30</f>
        <v>2142</v>
      </c>
      <c r="K174" s="288">
        <f t="shared" ref="K174" si="170">E174*D174*31</f>
        <v>2213.4</v>
      </c>
      <c r="L174" s="288">
        <f t="shared" ref="L174" si="171">E174*D174*30</f>
        <v>2142</v>
      </c>
      <c r="M174" s="261"/>
      <c r="N174" s="261"/>
      <c r="O174" s="261"/>
      <c r="P174" s="261"/>
      <c r="Q174" s="261"/>
      <c r="R174" s="273"/>
      <c r="S174" s="245">
        <f>31+28+31+30+31+30</f>
        <v>181</v>
      </c>
      <c r="T174" s="245"/>
      <c r="U174" s="245"/>
    </row>
    <row r="175" spans="1:22" s="245" customFormat="1" x14ac:dyDescent="0.25">
      <c r="A175" s="354"/>
      <c r="B175" s="329">
        <v>9</v>
      </c>
      <c r="C175" s="276" t="s">
        <v>17</v>
      </c>
      <c r="D175" s="271">
        <v>75.64</v>
      </c>
      <c r="E175" s="272">
        <v>4</v>
      </c>
      <c r="F175" s="261">
        <f t="shared" si="166"/>
        <v>110434.4</v>
      </c>
      <c r="G175" s="288">
        <f t="shared" si="129"/>
        <v>9379.36</v>
      </c>
      <c r="H175" s="289">
        <f t="shared" si="140"/>
        <v>8471.68</v>
      </c>
      <c r="I175" s="288">
        <f t="shared" si="141"/>
        <v>9379.36</v>
      </c>
      <c r="J175" s="288">
        <f t="shared" si="142"/>
        <v>9076.7999999999993</v>
      </c>
      <c r="K175" s="288">
        <f t="shared" si="143"/>
        <v>9379.36</v>
      </c>
      <c r="L175" s="288">
        <f t="shared" si="144"/>
        <v>9076.7999999999993</v>
      </c>
      <c r="M175" s="261">
        <f t="shared" si="130"/>
        <v>9379.36</v>
      </c>
      <c r="N175" s="261">
        <f t="shared" ref="N175:N184" si="172">E175*D175*31</f>
        <v>9379.36</v>
      </c>
      <c r="O175" s="261">
        <f t="shared" ref="O175:O188" si="173">E175*D175*30</f>
        <v>9076.7999999999993</v>
      </c>
      <c r="P175" s="261">
        <f t="shared" ref="P175:P188" si="174">E175*D175*31</f>
        <v>9379.36</v>
      </c>
      <c r="Q175" s="261">
        <f t="shared" ref="Q175:Q188" si="175">E175*D175*30</f>
        <v>9076.7999999999993</v>
      </c>
      <c r="R175" s="273">
        <f t="shared" ref="R175:R188" si="176">E175*D175*31</f>
        <v>9379.36</v>
      </c>
      <c r="S175" s="245">
        <v>365</v>
      </c>
    </row>
    <row r="176" spans="1:22" s="245" customFormat="1" x14ac:dyDescent="0.25">
      <c r="A176" s="354"/>
      <c r="B176" s="329">
        <v>10</v>
      </c>
      <c r="C176" s="276" t="s">
        <v>72</v>
      </c>
      <c r="D176" s="271">
        <v>77.59</v>
      </c>
      <c r="E176" s="272">
        <v>1</v>
      </c>
      <c r="F176" s="261">
        <f t="shared" si="166"/>
        <v>28320.35</v>
      </c>
      <c r="G176" s="288">
        <f t="shared" si="129"/>
        <v>2405.29</v>
      </c>
      <c r="H176" s="289">
        <f t="shared" si="140"/>
        <v>2172.52</v>
      </c>
      <c r="I176" s="288">
        <f t="shared" si="141"/>
        <v>2405.29</v>
      </c>
      <c r="J176" s="288">
        <f t="shared" si="142"/>
        <v>2327.6999999999998</v>
      </c>
      <c r="K176" s="288">
        <f t="shared" si="143"/>
        <v>2405.29</v>
      </c>
      <c r="L176" s="288">
        <f t="shared" si="144"/>
        <v>2327.6999999999998</v>
      </c>
      <c r="M176" s="261">
        <f t="shared" si="130"/>
        <v>2405.29</v>
      </c>
      <c r="N176" s="261">
        <f t="shared" si="172"/>
        <v>2405.29</v>
      </c>
      <c r="O176" s="261">
        <f t="shared" si="173"/>
        <v>2327.6999999999998</v>
      </c>
      <c r="P176" s="261">
        <f t="shared" si="174"/>
        <v>2405.29</v>
      </c>
      <c r="Q176" s="261">
        <f t="shared" si="175"/>
        <v>2327.6999999999998</v>
      </c>
      <c r="R176" s="273">
        <f t="shared" si="176"/>
        <v>2405.29</v>
      </c>
      <c r="S176" s="245">
        <v>365</v>
      </c>
    </row>
    <row r="177" spans="1:22" s="245" customFormat="1" x14ac:dyDescent="0.25">
      <c r="A177" s="354"/>
      <c r="B177" s="329">
        <v>12</v>
      </c>
      <c r="C177" s="276" t="s">
        <v>16</v>
      </c>
      <c r="D177" s="271">
        <v>71.400000000000006</v>
      </c>
      <c r="E177" s="272">
        <v>2</v>
      </c>
      <c r="F177" s="261">
        <f t="shared" si="166"/>
        <v>52122</v>
      </c>
      <c r="G177" s="288">
        <f t="shared" si="129"/>
        <v>4426.8</v>
      </c>
      <c r="H177" s="289">
        <f t="shared" si="140"/>
        <v>3998.4</v>
      </c>
      <c r="I177" s="288">
        <f t="shared" si="141"/>
        <v>4426.8</v>
      </c>
      <c r="J177" s="288">
        <f t="shared" si="142"/>
        <v>4284</v>
      </c>
      <c r="K177" s="288">
        <f t="shared" si="143"/>
        <v>4426.8</v>
      </c>
      <c r="L177" s="288">
        <f t="shared" si="144"/>
        <v>4284</v>
      </c>
      <c r="M177" s="261">
        <f t="shared" si="130"/>
        <v>4426.8</v>
      </c>
      <c r="N177" s="261">
        <f t="shared" si="172"/>
        <v>4426.8</v>
      </c>
      <c r="O177" s="261">
        <f t="shared" si="173"/>
        <v>4284</v>
      </c>
      <c r="P177" s="261">
        <f t="shared" si="174"/>
        <v>4426.8</v>
      </c>
      <c r="Q177" s="261">
        <f t="shared" si="175"/>
        <v>4284</v>
      </c>
      <c r="R177" s="273">
        <f t="shared" si="176"/>
        <v>4426.8</v>
      </c>
      <c r="S177" s="245">
        <v>365</v>
      </c>
    </row>
    <row r="178" spans="1:22" s="245" customFormat="1" x14ac:dyDescent="0.25">
      <c r="A178" s="354"/>
      <c r="B178" s="329">
        <v>13</v>
      </c>
      <c r="C178" s="276" t="s">
        <v>73</v>
      </c>
      <c r="D178" s="271">
        <v>72.540000000000006</v>
      </c>
      <c r="E178" s="277">
        <v>1</v>
      </c>
      <c r="F178" s="261">
        <f t="shared" si="166"/>
        <v>22052.16</v>
      </c>
      <c r="G178" s="288">
        <f t="shared" si="129"/>
        <v>2248.7399999999998</v>
      </c>
      <c r="H178" s="289">
        <f t="shared" si="140"/>
        <v>2031.12</v>
      </c>
      <c r="I178" s="288">
        <f t="shared" si="141"/>
        <v>2248.7399999999998</v>
      </c>
      <c r="J178" s="288">
        <f t="shared" si="142"/>
        <v>2176.1999999999998</v>
      </c>
      <c r="K178" s="288">
        <f t="shared" si="143"/>
        <v>2248.7399999999998</v>
      </c>
      <c r="L178" s="288">
        <f t="shared" si="144"/>
        <v>2176.1999999999998</v>
      </c>
      <c r="M178" s="261">
        <f t="shared" si="130"/>
        <v>2248.7399999999998</v>
      </c>
      <c r="N178" s="261">
        <f t="shared" si="172"/>
        <v>2248.7399999999998</v>
      </c>
      <c r="O178" s="261">
        <f t="shared" si="173"/>
        <v>2176.1999999999998</v>
      </c>
      <c r="P178" s="261">
        <f t="shared" si="174"/>
        <v>2248.7399999999998</v>
      </c>
      <c r="Q178" s="261"/>
      <c r="R178" s="273"/>
      <c r="S178" s="245">
        <f>31+28+31+30+31+30+31+31+30+31</f>
        <v>304</v>
      </c>
    </row>
    <row r="179" spans="1:22" s="245" customFormat="1" x14ac:dyDescent="0.25">
      <c r="A179" s="354"/>
      <c r="B179" s="329">
        <v>14</v>
      </c>
      <c r="C179" s="276" t="s">
        <v>54</v>
      </c>
      <c r="D179" s="271">
        <v>78.25</v>
      </c>
      <c r="E179" s="272">
        <v>2</v>
      </c>
      <c r="F179" s="261">
        <f t="shared" si="166"/>
        <v>57122.5</v>
      </c>
      <c r="G179" s="288">
        <f t="shared" si="129"/>
        <v>4851.5</v>
      </c>
      <c r="H179" s="289">
        <f t="shared" si="140"/>
        <v>4382</v>
      </c>
      <c r="I179" s="288">
        <f t="shared" si="141"/>
        <v>4851.5</v>
      </c>
      <c r="J179" s="288">
        <f t="shared" si="142"/>
        <v>4695</v>
      </c>
      <c r="K179" s="288">
        <f t="shared" si="143"/>
        <v>4851.5</v>
      </c>
      <c r="L179" s="288">
        <f t="shared" si="144"/>
        <v>4695</v>
      </c>
      <c r="M179" s="261">
        <f t="shared" si="130"/>
        <v>4851.5</v>
      </c>
      <c r="N179" s="261">
        <f t="shared" si="172"/>
        <v>4851.5</v>
      </c>
      <c r="O179" s="261">
        <f t="shared" si="173"/>
        <v>4695</v>
      </c>
      <c r="P179" s="261">
        <f t="shared" si="174"/>
        <v>4851.5</v>
      </c>
      <c r="Q179" s="261">
        <f t="shared" si="175"/>
        <v>4695</v>
      </c>
      <c r="R179" s="273">
        <f t="shared" si="176"/>
        <v>4851.5</v>
      </c>
      <c r="S179" s="245">
        <v>365</v>
      </c>
    </row>
    <row r="180" spans="1:22" s="245" customFormat="1" x14ac:dyDescent="0.25">
      <c r="A180" s="354"/>
      <c r="B180" s="329">
        <v>15</v>
      </c>
      <c r="C180" s="276" t="s">
        <v>62</v>
      </c>
      <c r="D180" s="271">
        <v>71.400000000000006</v>
      </c>
      <c r="E180" s="277">
        <v>6</v>
      </c>
      <c r="F180" s="261">
        <f t="shared" si="166"/>
        <v>156366</v>
      </c>
      <c r="G180" s="288">
        <f>E180*D180*31</f>
        <v>13280.4</v>
      </c>
      <c r="H180" s="289">
        <f>E180*D180*28</f>
        <v>11995.2</v>
      </c>
      <c r="I180" s="288">
        <f t="shared" si="141"/>
        <v>13280.4</v>
      </c>
      <c r="J180" s="288">
        <f t="shared" si="142"/>
        <v>12852</v>
      </c>
      <c r="K180" s="288">
        <f t="shared" si="143"/>
        <v>13280.4</v>
      </c>
      <c r="L180" s="288">
        <f t="shared" si="144"/>
        <v>12852</v>
      </c>
      <c r="M180" s="261">
        <f t="shared" si="130"/>
        <v>13280.4</v>
      </c>
      <c r="N180" s="261">
        <f t="shared" si="172"/>
        <v>13280.4</v>
      </c>
      <c r="O180" s="261">
        <f t="shared" si="173"/>
        <v>12852</v>
      </c>
      <c r="P180" s="261">
        <f t="shared" si="174"/>
        <v>13280.4</v>
      </c>
      <c r="Q180" s="261">
        <f t="shared" si="175"/>
        <v>12852</v>
      </c>
      <c r="R180" s="273">
        <f t="shared" si="176"/>
        <v>13280.4</v>
      </c>
      <c r="S180" s="245">
        <v>365</v>
      </c>
    </row>
    <row r="181" spans="1:22" s="245" customFormat="1" x14ac:dyDescent="0.25">
      <c r="A181" s="354"/>
      <c r="B181" s="329">
        <v>15</v>
      </c>
      <c r="C181" s="276" t="s">
        <v>62</v>
      </c>
      <c r="D181" s="271">
        <v>71.400000000000006</v>
      </c>
      <c r="E181" s="277">
        <v>1</v>
      </c>
      <c r="F181" s="261">
        <f t="shared" ref="F181" si="177">+E181*S181*D181</f>
        <v>27346.2</v>
      </c>
      <c r="G181" s="288">
        <f>E181*D181*31</f>
        <v>2213.4</v>
      </c>
      <c r="H181" s="289">
        <f>E181*D181*28+(D181*18)</f>
        <v>3284.4</v>
      </c>
      <c r="I181" s="288">
        <f t="shared" ref="I181" si="178">E181*D181*31</f>
        <v>2213.4</v>
      </c>
      <c r="J181" s="288">
        <f t="shared" ref="J181" si="179">E181*D181*30</f>
        <v>2142</v>
      </c>
      <c r="K181" s="288">
        <f t="shared" ref="K181" si="180">E181*D181*31</f>
        <v>2213.4</v>
      </c>
      <c r="L181" s="288">
        <f t="shared" ref="L181" si="181">E181*D181*30</f>
        <v>2142</v>
      </c>
      <c r="M181" s="261">
        <f t="shared" ref="M181" si="182">E181*D181*31</f>
        <v>2213.4</v>
      </c>
      <c r="N181" s="261">
        <f t="shared" ref="N181" si="183">E181*D181*31</f>
        <v>2213.4</v>
      </c>
      <c r="O181" s="261">
        <f t="shared" ref="O181" si="184">E181*D181*30</f>
        <v>2142</v>
      </c>
      <c r="P181" s="261">
        <f t="shared" ref="P181" si="185">E181*D181*31</f>
        <v>2213.4</v>
      </c>
      <c r="Q181" s="261">
        <f t="shared" ref="Q181" si="186">E181*D181*30</f>
        <v>2142</v>
      </c>
      <c r="R181" s="273">
        <f t="shared" ref="R181" si="187">E181*D181*31</f>
        <v>2213.4</v>
      </c>
      <c r="S181" s="245">
        <f>31+28+18+31+30+31+30+31+31+30+31+30+31</f>
        <v>383</v>
      </c>
    </row>
    <row r="182" spans="1:22" s="245" customFormat="1" x14ac:dyDescent="0.25">
      <c r="A182" s="354"/>
      <c r="B182" s="329">
        <v>15</v>
      </c>
      <c r="C182" s="276" t="s">
        <v>62</v>
      </c>
      <c r="D182" s="271">
        <v>71.400000000000006</v>
      </c>
      <c r="E182" s="277">
        <v>1</v>
      </c>
      <c r="F182" s="261">
        <f t="shared" si="166"/>
        <v>21705.599999999999</v>
      </c>
      <c r="G182" s="288">
        <f>E182*D182*31</f>
        <v>2213.4</v>
      </c>
      <c r="H182" s="289">
        <f>E182*D182*28</f>
        <v>1999.2</v>
      </c>
      <c r="I182" s="288">
        <f t="shared" ref="I182" si="188">E182*D182*31</f>
        <v>2213.4</v>
      </c>
      <c r="J182" s="288">
        <f t="shared" ref="J182" si="189">E182*D182*30</f>
        <v>2142</v>
      </c>
      <c r="K182" s="288">
        <f t="shared" ref="K182" si="190">E182*D182*31</f>
        <v>2213.4</v>
      </c>
      <c r="L182" s="288">
        <f t="shared" ref="L182" si="191">E182*D182*30</f>
        <v>2142</v>
      </c>
      <c r="M182" s="261">
        <f t="shared" ref="M182" si="192">E182*D182*31</f>
        <v>2213.4</v>
      </c>
      <c r="N182" s="261">
        <f t="shared" ref="N182" si="193">E182*D182*31</f>
        <v>2213.4</v>
      </c>
      <c r="O182" s="261">
        <f t="shared" ref="O182" si="194">E182*D182*30</f>
        <v>2142</v>
      </c>
      <c r="P182" s="261">
        <f t="shared" ref="P182" si="195">E182*D182*31</f>
        <v>2213.4</v>
      </c>
      <c r="Q182" s="261"/>
      <c r="R182" s="273"/>
      <c r="S182" s="245">
        <f>31+28+31+30+31+30+31+31+30+31</f>
        <v>304</v>
      </c>
    </row>
    <row r="183" spans="1:22" s="245" customFormat="1" x14ac:dyDescent="0.25">
      <c r="A183" s="354"/>
      <c r="B183" s="329">
        <v>16</v>
      </c>
      <c r="C183" s="276" t="s">
        <v>56</v>
      </c>
      <c r="D183" s="271">
        <v>72.540000000000006</v>
      </c>
      <c r="E183" s="272">
        <v>3</v>
      </c>
      <c r="F183" s="261">
        <f t="shared" si="166"/>
        <v>79431.3</v>
      </c>
      <c r="G183" s="288">
        <f t="shared" si="129"/>
        <v>6746.22</v>
      </c>
      <c r="H183" s="289">
        <f t="shared" si="140"/>
        <v>6093.36</v>
      </c>
      <c r="I183" s="288">
        <f t="shared" si="141"/>
        <v>6746.22</v>
      </c>
      <c r="J183" s="288">
        <f t="shared" si="142"/>
        <v>6528.6</v>
      </c>
      <c r="K183" s="288">
        <f t="shared" si="143"/>
        <v>6746.22</v>
      </c>
      <c r="L183" s="288">
        <f t="shared" si="144"/>
        <v>6528.6</v>
      </c>
      <c r="M183" s="261">
        <f t="shared" si="130"/>
        <v>6746.22</v>
      </c>
      <c r="N183" s="261">
        <f t="shared" si="172"/>
        <v>6746.22</v>
      </c>
      <c r="O183" s="261">
        <f t="shared" si="173"/>
        <v>6528.6</v>
      </c>
      <c r="P183" s="261">
        <f t="shared" si="174"/>
        <v>6746.22</v>
      </c>
      <c r="Q183" s="261">
        <f t="shared" si="175"/>
        <v>6528.6</v>
      </c>
      <c r="R183" s="273">
        <f t="shared" si="176"/>
        <v>6746.22</v>
      </c>
      <c r="S183" s="245">
        <v>365</v>
      </c>
    </row>
    <row r="184" spans="1:22" s="245" customFormat="1" x14ac:dyDescent="0.25">
      <c r="A184" s="354"/>
      <c r="B184" s="329">
        <v>17</v>
      </c>
      <c r="C184" s="276" t="s">
        <v>39</v>
      </c>
      <c r="D184" s="271">
        <v>80.86</v>
      </c>
      <c r="E184" s="272">
        <v>1</v>
      </c>
      <c r="F184" s="261">
        <f t="shared" si="166"/>
        <v>16172</v>
      </c>
      <c r="G184" s="261"/>
      <c r="H184" s="262"/>
      <c r="I184" s="261"/>
      <c r="J184" s="261"/>
      <c r="K184" s="261"/>
      <c r="L184" s="261"/>
      <c r="M184" s="261">
        <f>E184*D184*31+D184*15</f>
        <v>3719.56</v>
      </c>
      <c r="N184" s="261">
        <f t="shared" si="172"/>
        <v>2506.66</v>
      </c>
      <c r="O184" s="261">
        <f t="shared" si="173"/>
        <v>2425.8000000000002</v>
      </c>
      <c r="P184" s="261">
        <f t="shared" si="174"/>
        <v>2506.66</v>
      </c>
      <c r="Q184" s="261">
        <f t="shared" si="175"/>
        <v>2425.8000000000002</v>
      </c>
      <c r="R184" s="273">
        <f t="shared" si="176"/>
        <v>2506.66</v>
      </c>
      <c r="S184" s="245">
        <f>16+31+31+30+31+30+31</f>
        <v>200</v>
      </c>
    </row>
    <row r="185" spans="1:22" s="245" customFormat="1" x14ac:dyDescent="0.25">
      <c r="A185" s="354"/>
      <c r="B185" s="329">
        <v>17</v>
      </c>
      <c r="C185" s="276" t="s">
        <v>39</v>
      </c>
      <c r="D185" s="271">
        <v>80.86</v>
      </c>
      <c r="E185" s="272">
        <v>1</v>
      </c>
      <c r="F185" s="261">
        <f t="shared" si="166"/>
        <v>14797.38</v>
      </c>
      <c r="G185" s="261"/>
      <c r="H185" s="262"/>
      <c r="I185" s="261"/>
      <c r="J185" s="261"/>
      <c r="K185" s="261"/>
      <c r="L185" s="261"/>
      <c r="M185" s="261"/>
      <c r="N185" s="261">
        <f>E185*D185*31+D185*31</f>
        <v>5013.32</v>
      </c>
      <c r="O185" s="261">
        <f t="shared" si="173"/>
        <v>2425.8000000000002</v>
      </c>
      <c r="P185" s="261">
        <f t="shared" si="174"/>
        <v>2506.66</v>
      </c>
      <c r="Q185" s="261">
        <f t="shared" si="175"/>
        <v>2425.8000000000002</v>
      </c>
      <c r="R185" s="273">
        <f t="shared" si="176"/>
        <v>2506.66</v>
      </c>
      <c r="S185" s="245">
        <f>31+31+30+31+30+31-1</f>
        <v>183</v>
      </c>
    </row>
    <row r="186" spans="1:22" s="245" customFormat="1" x14ac:dyDescent="0.25">
      <c r="A186" s="354"/>
      <c r="B186" s="329">
        <v>15</v>
      </c>
      <c r="C186" s="276" t="s">
        <v>62</v>
      </c>
      <c r="D186" s="271">
        <v>71.400000000000006</v>
      </c>
      <c r="E186" s="277">
        <v>1</v>
      </c>
      <c r="F186" s="261">
        <f t="shared" ref="F186:F187" si="196">+E186*S186*D186</f>
        <v>6568.8</v>
      </c>
      <c r="G186" s="288"/>
      <c r="H186" s="289"/>
      <c r="I186" s="288"/>
      <c r="J186" s="288"/>
      <c r="K186" s="288"/>
      <c r="L186" s="288"/>
      <c r="M186" s="261"/>
      <c r="N186" s="261"/>
      <c r="O186" s="261"/>
      <c r="P186" s="261"/>
      <c r="Q186" s="261">
        <f>E186*D186*61</f>
        <v>4355.3999999999996</v>
      </c>
      <c r="R186" s="273">
        <f t="shared" ref="R186:R187" si="197">E186*D186*31</f>
        <v>2213.4</v>
      </c>
      <c r="S186" s="245">
        <f>31+30+31</f>
        <v>92</v>
      </c>
      <c r="T186"/>
      <c r="U186"/>
    </row>
    <row r="187" spans="1:22" s="245" customFormat="1" x14ac:dyDescent="0.25">
      <c r="A187" s="354"/>
      <c r="B187" s="329">
        <v>9</v>
      </c>
      <c r="C187" s="407" t="s">
        <v>49</v>
      </c>
      <c r="D187" s="271">
        <v>71.400000000000006</v>
      </c>
      <c r="E187" s="272">
        <v>1</v>
      </c>
      <c r="F187" s="261">
        <f t="shared" si="196"/>
        <v>6568.8</v>
      </c>
      <c r="G187" s="261"/>
      <c r="H187" s="262"/>
      <c r="I187" s="261"/>
      <c r="J187" s="261"/>
      <c r="K187" s="261"/>
      <c r="L187" s="261"/>
      <c r="M187" s="261"/>
      <c r="N187" s="261"/>
      <c r="O187" s="261"/>
      <c r="P187" s="261"/>
      <c r="Q187" s="261">
        <f>E187*D187*61</f>
        <v>4355.3999999999996</v>
      </c>
      <c r="R187" s="273">
        <f t="shared" si="197"/>
        <v>2213.4</v>
      </c>
      <c r="S187" s="245">
        <f>31+30+31</f>
        <v>92</v>
      </c>
      <c r="T187"/>
      <c r="U187"/>
    </row>
    <row r="188" spans="1:22" s="3" customFormat="1" ht="15" customHeight="1" x14ac:dyDescent="0.25">
      <c r="A188" s="402"/>
      <c r="B188" s="351">
        <v>17</v>
      </c>
      <c r="C188" s="343" t="s">
        <v>38</v>
      </c>
      <c r="D188" s="83">
        <v>75.64</v>
      </c>
      <c r="E188" s="82">
        <v>1</v>
      </c>
      <c r="F188" s="86">
        <f t="shared" si="166"/>
        <v>27608.6</v>
      </c>
      <c r="G188" s="108">
        <f t="shared" si="129"/>
        <v>2344.84</v>
      </c>
      <c r="H188" s="109">
        <f t="shared" si="140"/>
        <v>2117.92</v>
      </c>
      <c r="I188" s="108">
        <f t="shared" si="141"/>
        <v>2344.84</v>
      </c>
      <c r="J188" s="108">
        <f t="shared" si="142"/>
        <v>2269.1999999999998</v>
      </c>
      <c r="K188" s="108">
        <f t="shared" si="143"/>
        <v>2344.84</v>
      </c>
      <c r="L188" s="108">
        <f t="shared" si="144"/>
        <v>2269.1999999999998</v>
      </c>
      <c r="M188" s="86">
        <f t="shared" si="130"/>
        <v>2344.84</v>
      </c>
      <c r="N188" s="86">
        <f>E188*D188*31</f>
        <v>2344.84</v>
      </c>
      <c r="O188" s="86">
        <f t="shared" si="173"/>
        <v>2269.1999999999998</v>
      </c>
      <c r="P188" s="86">
        <f t="shared" si="174"/>
        <v>2344.84</v>
      </c>
      <c r="Q188" s="86">
        <f t="shared" si="175"/>
        <v>2269.1999999999998</v>
      </c>
      <c r="R188" s="102">
        <f t="shared" si="176"/>
        <v>2344.84</v>
      </c>
      <c r="S188">
        <v>365</v>
      </c>
      <c r="T188"/>
      <c r="U188"/>
    </row>
    <row r="189" spans="1:22" x14ac:dyDescent="0.25">
      <c r="A189" s="348"/>
      <c r="B189" s="351"/>
      <c r="C189" s="343" t="s">
        <v>40</v>
      </c>
      <c r="D189" s="83"/>
      <c r="E189" s="84"/>
      <c r="F189" s="86">
        <f>1851267-SUM(F164:F188)-(8000)-22206</f>
        <v>27871.53</v>
      </c>
      <c r="G189" s="103"/>
      <c r="H189" s="87"/>
      <c r="I189" s="86"/>
      <c r="J189" s="88"/>
      <c r="K189" s="88"/>
      <c r="L189" s="86"/>
      <c r="M189" s="86"/>
      <c r="N189" s="86"/>
      <c r="O189" s="86"/>
      <c r="P189" s="86"/>
      <c r="Q189" s="86"/>
      <c r="R189" s="102"/>
      <c r="S189" s="1">
        <f>+T189-F189</f>
        <v>0</v>
      </c>
      <c r="T189">
        <v>27871.53</v>
      </c>
    </row>
    <row r="190" spans="1:22" x14ac:dyDescent="0.25">
      <c r="A190" s="348"/>
      <c r="B190" s="351"/>
      <c r="C190" s="343"/>
      <c r="D190" s="83"/>
      <c r="E190" s="84"/>
      <c r="F190" s="86"/>
      <c r="G190" s="88"/>
      <c r="H190" s="87"/>
      <c r="I190" s="86"/>
      <c r="J190" s="88"/>
      <c r="K190" s="88"/>
      <c r="L190" s="86"/>
      <c r="M190" s="86"/>
      <c r="N190" s="86"/>
      <c r="O190" s="86"/>
      <c r="P190" s="86"/>
      <c r="Q190" s="86"/>
      <c r="R190" s="110"/>
    </row>
    <row r="191" spans="1:22" ht="30" customHeight="1" x14ac:dyDescent="0.25">
      <c r="A191" s="348"/>
      <c r="B191" s="351"/>
      <c r="C191" s="477" t="s">
        <v>74</v>
      </c>
      <c r="D191" s="477"/>
      <c r="E191" s="104">
        <f>SUM(E193:E202)</f>
        <v>23</v>
      </c>
      <c r="F191" s="175">
        <f>SUM(F193:F202)</f>
        <v>407630</v>
      </c>
      <c r="G191" s="175">
        <f t="shared" ref="G191:Q191" si="198">SUM(G193:G201)</f>
        <v>26854.06</v>
      </c>
      <c r="H191" s="175">
        <f t="shared" si="198"/>
        <v>24255.279999999999</v>
      </c>
      <c r="I191" s="282">
        <f t="shared" si="198"/>
        <v>26854.06</v>
      </c>
      <c r="J191" s="175">
        <f t="shared" si="198"/>
        <v>25987.8</v>
      </c>
      <c r="K191" s="175">
        <f t="shared" si="198"/>
        <v>26854.06</v>
      </c>
      <c r="L191" s="175">
        <f t="shared" si="198"/>
        <v>25987.8</v>
      </c>
      <c r="M191" s="175">
        <f t="shared" si="198"/>
        <v>26854.06</v>
      </c>
      <c r="N191" s="175">
        <f t="shared" si="198"/>
        <v>33672.82</v>
      </c>
      <c r="O191" s="175">
        <f t="shared" si="198"/>
        <v>33604.5</v>
      </c>
      <c r="P191" s="86">
        <f t="shared" si="198"/>
        <v>37955.68</v>
      </c>
      <c r="Q191" s="86">
        <f t="shared" si="198"/>
        <v>60362.400000000001</v>
      </c>
      <c r="R191" s="176">
        <f>SUM(R193:R202)</f>
        <v>51307.48</v>
      </c>
      <c r="S191" s="355"/>
    </row>
    <row r="192" spans="1:22" x14ac:dyDescent="0.25">
      <c r="A192" s="348"/>
      <c r="B192" s="351"/>
      <c r="C192" s="345"/>
      <c r="D192" s="345"/>
      <c r="E192" s="432" t="s">
        <v>151</v>
      </c>
      <c r="F192" s="253">
        <v>0</v>
      </c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4"/>
      <c r="S192" s="248"/>
      <c r="V192" s="249"/>
    </row>
    <row r="193" spans="1:21" x14ac:dyDescent="0.25">
      <c r="A193" s="348"/>
      <c r="B193" s="351">
        <v>2</v>
      </c>
      <c r="C193" s="343" t="s">
        <v>36</v>
      </c>
      <c r="D193" s="83">
        <v>71.400000000000006</v>
      </c>
      <c r="E193" s="84">
        <v>9</v>
      </c>
      <c r="F193" s="86">
        <f t="shared" ref="F193:F201" si="199">+E193*S193*D193</f>
        <v>234549</v>
      </c>
      <c r="G193" s="86">
        <f>E193*D193*31</f>
        <v>19920.599999999999</v>
      </c>
      <c r="H193" s="87">
        <f>E193*D193*28</f>
        <v>17992.8</v>
      </c>
      <c r="I193" s="86">
        <f>E193*D193*31</f>
        <v>19920.599999999999</v>
      </c>
      <c r="J193" s="86">
        <f>E193*D193*30</f>
        <v>19278</v>
      </c>
      <c r="K193" s="86">
        <f>E193*D193*31</f>
        <v>19920.599999999999</v>
      </c>
      <c r="L193" s="86">
        <f>E193*D193*30</f>
        <v>19278</v>
      </c>
      <c r="M193" s="86">
        <f>E193*D193*31</f>
        <v>19920.599999999999</v>
      </c>
      <c r="N193" s="86">
        <f>E193*D193*31</f>
        <v>19920.599999999999</v>
      </c>
      <c r="O193" s="86">
        <f>E193*D193*30</f>
        <v>19278</v>
      </c>
      <c r="P193" s="86">
        <f t="shared" ref="P193:P201" si="200">E193*D193*31</f>
        <v>19920.599999999999</v>
      </c>
      <c r="Q193" s="86">
        <f t="shared" ref="Q193:Q201" si="201">E193*D193*30</f>
        <v>19278</v>
      </c>
      <c r="R193" s="102">
        <f t="shared" ref="R193:R201" si="202">E193*D193*31</f>
        <v>19920.599999999999</v>
      </c>
      <c r="S193">
        <v>365</v>
      </c>
    </row>
    <row r="194" spans="1:21" x14ac:dyDescent="0.25">
      <c r="A194" s="348"/>
      <c r="B194" s="351">
        <v>3</v>
      </c>
      <c r="C194" s="343" t="s">
        <v>15</v>
      </c>
      <c r="D194" s="83">
        <v>71.400000000000006</v>
      </c>
      <c r="E194" s="84">
        <v>2</v>
      </c>
      <c r="F194" s="86">
        <f t="shared" si="199"/>
        <v>52122</v>
      </c>
      <c r="G194" s="86">
        <f>E194*D194*31</f>
        <v>4426.8</v>
      </c>
      <c r="H194" s="87">
        <f>E194*D194*28</f>
        <v>3998.4</v>
      </c>
      <c r="I194" s="86">
        <f>(E194*D194*31)</f>
        <v>4426.8</v>
      </c>
      <c r="J194" s="86">
        <f>(E194*D194*30)</f>
        <v>4284</v>
      </c>
      <c r="K194" s="86">
        <f>E194*D194*31</f>
        <v>4426.8</v>
      </c>
      <c r="L194" s="86">
        <f>E194*D194*30</f>
        <v>4284</v>
      </c>
      <c r="M194" s="86">
        <f>E194*D194*31</f>
        <v>4426.8</v>
      </c>
      <c r="N194" s="86">
        <f>E194*D194*31</f>
        <v>4426.8</v>
      </c>
      <c r="O194" s="86">
        <f>E194*D194*30</f>
        <v>4284</v>
      </c>
      <c r="P194" s="86">
        <f t="shared" si="200"/>
        <v>4426.8</v>
      </c>
      <c r="Q194" s="86">
        <f t="shared" si="201"/>
        <v>4284</v>
      </c>
      <c r="R194" s="102">
        <f t="shared" si="202"/>
        <v>4426.8</v>
      </c>
      <c r="S194">
        <v>365</v>
      </c>
    </row>
    <row r="195" spans="1:21" s="245" customFormat="1" x14ac:dyDescent="0.25">
      <c r="A195" s="354"/>
      <c r="B195" s="329">
        <v>3</v>
      </c>
      <c r="C195" s="276" t="s">
        <v>44</v>
      </c>
      <c r="D195" s="271">
        <v>72.540000000000006</v>
      </c>
      <c r="E195" s="272">
        <v>2</v>
      </c>
      <c r="F195" s="261">
        <f t="shared" si="199"/>
        <v>24518.52</v>
      </c>
      <c r="G195" s="261"/>
      <c r="H195" s="262"/>
      <c r="I195" s="261"/>
      <c r="J195" s="261"/>
      <c r="K195" s="261"/>
      <c r="L195" s="261"/>
      <c r="M195" s="261"/>
      <c r="N195" s="261">
        <f>E195*D195*31+2321.28</f>
        <v>6818.76</v>
      </c>
      <c r="O195" s="261">
        <f>E195*D195*30</f>
        <v>4352.3999999999996</v>
      </c>
      <c r="P195" s="261">
        <f t="shared" si="200"/>
        <v>4497.4799999999996</v>
      </c>
      <c r="Q195" s="261">
        <f t="shared" si="201"/>
        <v>4352.3999999999996</v>
      </c>
      <c r="R195" s="273">
        <f t="shared" si="202"/>
        <v>4497.4799999999996</v>
      </c>
      <c r="S195" s="245">
        <v>169</v>
      </c>
      <c r="T195"/>
      <c r="U195"/>
    </row>
    <row r="196" spans="1:21" s="245" customFormat="1" x14ac:dyDescent="0.25">
      <c r="A196" s="354"/>
      <c r="B196" s="329">
        <v>3</v>
      </c>
      <c r="C196" s="276" t="s">
        <v>19</v>
      </c>
      <c r="D196" s="271">
        <v>72.540000000000006</v>
      </c>
      <c r="E196" s="272">
        <v>1</v>
      </c>
      <c r="F196" s="261">
        <f t="shared" si="199"/>
        <v>9937.98</v>
      </c>
      <c r="G196" s="261"/>
      <c r="H196" s="262"/>
      <c r="I196" s="261"/>
      <c r="J196" s="261"/>
      <c r="K196" s="261"/>
      <c r="L196" s="261"/>
      <c r="M196" s="261"/>
      <c r="N196" s="261"/>
      <c r="O196" s="261">
        <f>E196*D196*30+D196*15</f>
        <v>3264.3</v>
      </c>
      <c r="P196" s="261">
        <f t="shared" si="200"/>
        <v>2248.7399999999998</v>
      </c>
      <c r="Q196" s="261">
        <f t="shared" si="201"/>
        <v>2176.1999999999998</v>
      </c>
      <c r="R196" s="273">
        <f t="shared" si="202"/>
        <v>2248.7399999999998</v>
      </c>
      <c r="S196" s="245">
        <v>137</v>
      </c>
      <c r="T196"/>
      <c r="U196"/>
    </row>
    <row r="197" spans="1:21" s="245" customFormat="1" x14ac:dyDescent="0.25">
      <c r="A197" s="354"/>
      <c r="B197" s="329">
        <v>4</v>
      </c>
      <c r="C197" s="276" t="s">
        <v>62</v>
      </c>
      <c r="D197" s="271">
        <v>71.400000000000006</v>
      </c>
      <c r="E197" s="272">
        <v>1</v>
      </c>
      <c r="F197" s="261">
        <f t="shared" si="199"/>
        <v>8710.7999999999993</v>
      </c>
      <c r="G197" s="261"/>
      <c r="H197" s="262"/>
      <c r="I197" s="261"/>
      <c r="J197" s="261"/>
      <c r="K197" s="261"/>
      <c r="L197" s="261"/>
      <c r="M197" s="261"/>
      <c r="N197" s="261"/>
      <c r="O197" s="261"/>
      <c r="P197" s="261">
        <f>E197*D197*61</f>
        <v>4355.3999999999996</v>
      </c>
      <c r="Q197" s="261">
        <f t="shared" si="201"/>
        <v>2142</v>
      </c>
      <c r="R197" s="273">
        <f t="shared" si="202"/>
        <v>2213.4</v>
      </c>
      <c r="S197" s="245">
        <f>30+31+30+31</f>
        <v>122</v>
      </c>
      <c r="T197"/>
      <c r="U197"/>
    </row>
    <row r="198" spans="1:21" s="245" customFormat="1" x14ac:dyDescent="0.25">
      <c r="A198" s="354"/>
      <c r="B198" s="329">
        <v>2</v>
      </c>
      <c r="C198" s="276" t="s">
        <v>36</v>
      </c>
      <c r="D198" s="271">
        <v>71.400000000000006</v>
      </c>
      <c r="E198" s="272">
        <v>5</v>
      </c>
      <c r="F198" s="261">
        <f t="shared" ref="F198:F199" si="203">+E198*S198*D198</f>
        <v>30345</v>
      </c>
      <c r="G198" s="261"/>
      <c r="H198" s="262"/>
      <c r="I198" s="261"/>
      <c r="J198" s="261"/>
      <c r="K198" s="261"/>
      <c r="L198" s="261"/>
      <c r="M198" s="261"/>
      <c r="N198" s="261"/>
      <c r="O198" s="261"/>
      <c r="P198" s="261"/>
      <c r="Q198" s="261">
        <f>E198*D198*54</f>
        <v>19278</v>
      </c>
      <c r="R198" s="273">
        <f t="shared" ref="R198" si="204">E198*D198*31</f>
        <v>11067</v>
      </c>
      <c r="S198" s="245">
        <f>24+30+31</f>
        <v>85</v>
      </c>
      <c r="T198"/>
      <c r="U198"/>
    </row>
    <row r="199" spans="1:21" s="245" customFormat="1" x14ac:dyDescent="0.25">
      <c r="A199" s="354"/>
      <c r="B199" s="329">
        <v>2</v>
      </c>
      <c r="C199" s="276" t="s">
        <v>62</v>
      </c>
      <c r="D199" s="271">
        <v>71.400000000000006</v>
      </c>
      <c r="E199" s="272">
        <v>1</v>
      </c>
      <c r="F199" s="261">
        <f t="shared" si="203"/>
        <v>5569.2</v>
      </c>
      <c r="G199" s="261"/>
      <c r="H199" s="262"/>
      <c r="I199" s="261"/>
      <c r="J199" s="261"/>
      <c r="K199" s="261"/>
      <c r="L199" s="261"/>
      <c r="M199" s="261"/>
      <c r="N199" s="261"/>
      <c r="O199" s="261"/>
      <c r="P199" s="261"/>
      <c r="Q199" s="261">
        <f>E199*D199*47</f>
        <v>3355.8</v>
      </c>
      <c r="R199" s="273">
        <f t="shared" si="202"/>
        <v>2213.4</v>
      </c>
      <c r="S199" s="245">
        <f>17+30+31</f>
        <v>78</v>
      </c>
      <c r="T199"/>
      <c r="U199"/>
    </row>
    <row r="200" spans="1:21" s="245" customFormat="1" x14ac:dyDescent="0.25">
      <c r="A200" s="354"/>
      <c r="B200" s="329">
        <v>2</v>
      </c>
      <c r="C200" s="276" t="s">
        <v>62</v>
      </c>
      <c r="D200" s="271">
        <v>71.400000000000006</v>
      </c>
      <c r="E200" s="272">
        <v>1</v>
      </c>
      <c r="F200" s="261">
        <f t="shared" ref="F200" si="205">+E200*S200*D200</f>
        <v>5283.6</v>
      </c>
      <c r="G200" s="261"/>
      <c r="H200" s="262"/>
      <c r="I200" s="261"/>
      <c r="J200" s="261"/>
      <c r="K200" s="261"/>
      <c r="L200" s="261"/>
      <c r="M200" s="261"/>
      <c r="N200" s="261"/>
      <c r="O200" s="261"/>
      <c r="P200" s="261"/>
      <c r="Q200" s="261">
        <f>E200*D200*43</f>
        <v>3070.2</v>
      </c>
      <c r="R200" s="273">
        <f t="shared" ref="R200" si="206">E200*D200*31</f>
        <v>2213.4</v>
      </c>
      <c r="S200" s="245">
        <f>13+30+31</f>
        <v>74</v>
      </c>
      <c r="T200"/>
      <c r="U200"/>
    </row>
    <row r="201" spans="1:21" s="245" customFormat="1" x14ac:dyDescent="0.25">
      <c r="A201" s="354"/>
      <c r="B201" s="329">
        <v>5</v>
      </c>
      <c r="C201" s="276" t="s">
        <v>75</v>
      </c>
      <c r="D201" s="271">
        <v>80.86</v>
      </c>
      <c r="E201" s="272">
        <v>1</v>
      </c>
      <c r="F201" s="261">
        <f t="shared" si="199"/>
        <v>29513.9</v>
      </c>
      <c r="G201" s="261">
        <f>E201*D201*31</f>
        <v>2506.66</v>
      </c>
      <c r="H201" s="262">
        <f>E201*D201*28</f>
        <v>2264.08</v>
      </c>
      <c r="I201" s="261">
        <f>E201*D201*31</f>
        <v>2506.66</v>
      </c>
      <c r="J201" s="261">
        <f>E201*D201*30</f>
        <v>2425.8000000000002</v>
      </c>
      <c r="K201" s="261">
        <f>E201*D201*31</f>
        <v>2506.66</v>
      </c>
      <c r="L201" s="261">
        <f>E201*D201*30</f>
        <v>2425.8000000000002</v>
      </c>
      <c r="M201" s="261">
        <f>E201*D201*31</f>
        <v>2506.66</v>
      </c>
      <c r="N201" s="261">
        <f>E201*D201*31</f>
        <v>2506.66</v>
      </c>
      <c r="O201" s="261">
        <f>E201*D201*30</f>
        <v>2425.8000000000002</v>
      </c>
      <c r="P201" s="261">
        <f t="shared" si="200"/>
        <v>2506.66</v>
      </c>
      <c r="Q201" s="261">
        <f t="shared" si="201"/>
        <v>2425.8000000000002</v>
      </c>
      <c r="R201" s="273">
        <f t="shared" si="202"/>
        <v>2506.66</v>
      </c>
      <c r="S201" s="245">
        <v>365</v>
      </c>
      <c r="T201"/>
      <c r="U201"/>
    </row>
    <row r="202" spans="1:21" x14ac:dyDescent="0.25">
      <c r="A202" s="348"/>
      <c r="B202" s="351"/>
      <c r="C202" s="343" t="s">
        <v>40</v>
      </c>
      <c r="D202" s="83"/>
      <c r="E202" s="84"/>
      <c r="F202" s="261">
        <f>342270-SUM(F193:F201)+9093+8000+48267</f>
        <v>7080</v>
      </c>
      <c r="G202" s="103"/>
      <c r="H202" s="87"/>
      <c r="I202" s="86"/>
      <c r="J202" s="86"/>
      <c r="K202" s="86"/>
      <c r="L202" s="86"/>
      <c r="M202" s="86"/>
      <c r="N202" s="86"/>
      <c r="O202" s="86"/>
      <c r="P202" s="86"/>
      <c r="Q202" s="86"/>
      <c r="R202" s="273"/>
    </row>
    <row r="203" spans="1:21" x14ac:dyDescent="0.25">
      <c r="A203" s="348"/>
      <c r="B203" s="351"/>
      <c r="C203" s="343"/>
      <c r="D203" s="83"/>
      <c r="E203" s="84"/>
      <c r="F203" s="86"/>
      <c r="G203" s="86"/>
      <c r="H203" s="87"/>
      <c r="I203" s="86"/>
      <c r="J203" s="86"/>
      <c r="K203" s="86"/>
      <c r="L203" s="86"/>
      <c r="M203" s="86"/>
      <c r="N203" s="86"/>
      <c r="O203" s="86"/>
      <c r="P203" s="86"/>
      <c r="Q203" s="86"/>
      <c r="R203" s="102"/>
    </row>
    <row r="204" spans="1:21" ht="28.9" customHeight="1" x14ac:dyDescent="0.25">
      <c r="A204" s="348"/>
      <c r="B204" s="351"/>
      <c r="C204" s="477" t="s">
        <v>76</v>
      </c>
      <c r="D204" s="477"/>
      <c r="E204" s="104">
        <f>SUM(E205:E205)</f>
        <v>1</v>
      </c>
      <c r="F204" s="175">
        <f t="shared" ref="F204:Q204" si="207">SUM(F205:F206)</f>
        <v>26061</v>
      </c>
      <c r="G204" s="175">
        <f t="shared" si="207"/>
        <v>2213.4</v>
      </c>
      <c r="H204" s="175">
        <f t="shared" si="207"/>
        <v>1999.2</v>
      </c>
      <c r="I204" s="175">
        <f t="shared" si="207"/>
        <v>2213.4</v>
      </c>
      <c r="J204" s="175">
        <f t="shared" si="207"/>
        <v>2142</v>
      </c>
      <c r="K204" s="175">
        <f t="shared" si="207"/>
        <v>2213.4</v>
      </c>
      <c r="L204" s="175">
        <f t="shared" si="207"/>
        <v>2142</v>
      </c>
      <c r="M204" s="175">
        <f t="shared" si="207"/>
        <v>2213.4</v>
      </c>
      <c r="N204" s="175">
        <f t="shared" si="207"/>
        <v>2213.4</v>
      </c>
      <c r="O204" s="175">
        <f t="shared" si="207"/>
        <v>2142</v>
      </c>
      <c r="P204" s="175">
        <f t="shared" si="207"/>
        <v>2213.4</v>
      </c>
      <c r="Q204" s="175">
        <f t="shared" si="207"/>
        <v>2142</v>
      </c>
      <c r="R204" s="176">
        <f>SUM(R205:R206)</f>
        <v>2213.4</v>
      </c>
    </row>
    <row r="205" spans="1:21" x14ac:dyDescent="0.25">
      <c r="A205" s="348"/>
      <c r="B205" s="351">
        <v>1</v>
      </c>
      <c r="C205" s="343" t="s">
        <v>36</v>
      </c>
      <c r="D205" s="83">
        <v>71.400000000000006</v>
      </c>
      <c r="E205" s="84">
        <v>1</v>
      </c>
      <c r="F205" s="86">
        <f>+E205*S205*D205</f>
        <v>26061</v>
      </c>
      <c r="G205" s="86">
        <f>E205*D205*31</f>
        <v>2213.4</v>
      </c>
      <c r="H205" s="87">
        <f>E205*D205*28</f>
        <v>1999.2</v>
      </c>
      <c r="I205" s="86">
        <f>E205*D205*31</f>
        <v>2213.4</v>
      </c>
      <c r="J205" s="86">
        <f>E205*D205*30</f>
        <v>2142</v>
      </c>
      <c r="K205" s="86">
        <f>E205*D205*31</f>
        <v>2213.4</v>
      </c>
      <c r="L205" s="86">
        <f>E205*D205*30</f>
        <v>2142</v>
      </c>
      <c r="M205" s="86">
        <f>E205*D205*31</f>
        <v>2213.4</v>
      </c>
      <c r="N205" s="86">
        <f>E205*D205*31</f>
        <v>2213.4</v>
      </c>
      <c r="O205" s="86">
        <f>E205*D205*30</f>
        <v>2142</v>
      </c>
      <c r="P205" s="86">
        <f>E205*D205*31</f>
        <v>2213.4</v>
      </c>
      <c r="Q205" s="86">
        <f>E205*D205*30</f>
        <v>2142</v>
      </c>
      <c r="R205" s="102">
        <f>E205*D205*31</f>
        <v>2213.4</v>
      </c>
      <c r="S205">
        <v>365</v>
      </c>
    </row>
    <row r="206" spans="1:21" x14ac:dyDescent="0.25">
      <c r="A206" s="348"/>
      <c r="B206" s="351"/>
      <c r="C206" s="343" t="s">
        <v>40</v>
      </c>
      <c r="D206" s="83"/>
      <c r="E206" s="84"/>
      <c r="F206" s="86"/>
      <c r="G206" s="103"/>
      <c r="H206" s="87"/>
      <c r="I206" s="86"/>
      <c r="J206" s="86"/>
      <c r="K206" s="86"/>
      <c r="L206" s="86"/>
      <c r="M206" s="86"/>
      <c r="N206" s="86"/>
      <c r="O206" s="86"/>
      <c r="P206" s="86"/>
      <c r="Q206" s="86"/>
      <c r="R206" s="102"/>
    </row>
    <row r="207" spans="1:21" x14ac:dyDescent="0.25">
      <c r="A207" s="348"/>
      <c r="B207" s="351"/>
      <c r="C207" s="343"/>
      <c r="D207" s="83"/>
      <c r="E207" s="84"/>
      <c r="F207" s="86"/>
      <c r="G207" s="86"/>
      <c r="H207" s="87"/>
      <c r="I207" s="86"/>
      <c r="J207" s="86"/>
      <c r="K207" s="86"/>
      <c r="L207" s="86"/>
      <c r="M207" s="86"/>
      <c r="N207" s="86"/>
      <c r="O207" s="86"/>
      <c r="P207" s="86"/>
      <c r="Q207" s="86"/>
      <c r="R207" s="102"/>
    </row>
    <row r="208" spans="1:21" ht="33" customHeight="1" x14ac:dyDescent="0.25">
      <c r="A208" s="348"/>
      <c r="B208" s="351"/>
      <c r="C208" s="477" t="s">
        <v>77</v>
      </c>
      <c r="D208" s="477"/>
      <c r="E208" s="104">
        <f>SUM(E209:E209)</f>
        <v>1</v>
      </c>
      <c r="F208" s="175">
        <f>SUM(F209:F210)</f>
        <v>26061</v>
      </c>
      <c r="G208" s="175">
        <f t="shared" ref="G208:R208" si="208">SUM(G209:G211)</f>
        <v>2213.4</v>
      </c>
      <c r="H208" s="175">
        <f t="shared" si="208"/>
        <v>1999.2</v>
      </c>
      <c r="I208" s="175">
        <f t="shared" si="208"/>
        <v>2213.4</v>
      </c>
      <c r="J208" s="175">
        <f t="shared" si="208"/>
        <v>2142</v>
      </c>
      <c r="K208" s="175">
        <f t="shared" si="208"/>
        <v>2213.4</v>
      </c>
      <c r="L208" s="175">
        <f t="shared" si="208"/>
        <v>2142</v>
      </c>
      <c r="M208" s="175">
        <f t="shared" si="208"/>
        <v>2213.4</v>
      </c>
      <c r="N208" s="175">
        <f t="shared" si="208"/>
        <v>2213.4</v>
      </c>
      <c r="O208" s="175">
        <f t="shared" si="208"/>
        <v>2142</v>
      </c>
      <c r="P208" s="175">
        <f t="shared" si="208"/>
        <v>2213.4</v>
      </c>
      <c r="Q208" s="175">
        <f t="shared" si="208"/>
        <v>2142</v>
      </c>
      <c r="R208" s="176">
        <f t="shared" si="208"/>
        <v>2213.4</v>
      </c>
    </row>
    <row r="209" spans="1:19" x14ac:dyDescent="0.25">
      <c r="A209" s="348"/>
      <c r="B209" s="351">
        <v>1</v>
      </c>
      <c r="C209" s="343" t="s">
        <v>55</v>
      </c>
      <c r="D209" s="83">
        <v>71.400000000000006</v>
      </c>
      <c r="E209" s="84">
        <v>1</v>
      </c>
      <c r="F209" s="86">
        <f>+E209*S209*D209</f>
        <v>26061</v>
      </c>
      <c r="G209" s="86">
        <f>E209*D209*31</f>
        <v>2213.4</v>
      </c>
      <c r="H209" s="87">
        <f>E209*D209*28</f>
        <v>1999.2</v>
      </c>
      <c r="I209" s="86">
        <f>E209*D209*31</f>
        <v>2213.4</v>
      </c>
      <c r="J209" s="86">
        <f>E209*D209*30</f>
        <v>2142</v>
      </c>
      <c r="K209" s="86">
        <f>E209*D209*31</f>
        <v>2213.4</v>
      </c>
      <c r="L209" s="86">
        <f>E209*D209*30</f>
        <v>2142</v>
      </c>
      <c r="M209" s="86">
        <f>E209*D209*31</f>
        <v>2213.4</v>
      </c>
      <c r="N209" s="86">
        <f>E209*D209*31</f>
        <v>2213.4</v>
      </c>
      <c r="O209" s="86">
        <f>E209*D209*30</f>
        <v>2142</v>
      </c>
      <c r="P209" s="86">
        <f>E209*D209*31</f>
        <v>2213.4</v>
      </c>
      <c r="Q209" s="86">
        <f>E209*D209*30</f>
        <v>2142</v>
      </c>
      <c r="R209" s="102">
        <f>E209*D209*31</f>
        <v>2213.4</v>
      </c>
      <c r="S209">
        <v>365</v>
      </c>
    </row>
    <row r="210" spans="1:19" x14ac:dyDescent="0.25">
      <c r="A210" s="348"/>
      <c r="B210" s="351"/>
      <c r="C210" s="343" t="s">
        <v>40</v>
      </c>
      <c r="D210" s="83"/>
      <c r="E210" s="84"/>
      <c r="F210" s="86"/>
      <c r="G210" s="103"/>
      <c r="H210" s="87"/>
      <c r="I210" s="86"/>
      <c r="J210" s="86"/>
      <c r="K210" s="86"/>
      <c r="L210" s="86"/>
      <c r="M210" s="86"/>
      <c r="N210" s="86"/>
      <c r="O210" s="86"/>
      <c r="P210" s="86"/>
      <c r="Q210" s="86"/>
      <c r="R210" s="102"/>
    </row>
    <row r="211" spans="1:19" x14ac:dyDescent="0.25">
      <c r="A211" s="348"/>
      <c r="B211" s="351"/>
      <c r="C211" s="343"/>
      <c r="D211" s="83"/>
      <c r="E211" s="84"/>
      <c r="F211" s="86"/>
      <c r="G211" s="86"/>
      <c r="H211" s="87"/>
      <c r="I211" s="86"/>
      <c r="J211" s="86"/>
      <c r="K211" s="86"/>
      <c r="L211" s="86"/>
      <c r="M211" s="86"/>
      <c r="N211" s="86"/>
      <c r="O211" s="86"/>
      <c r="P211" s="86"/>
      <c r="Q211" s="86"/>
      <c r="R211" s="102"/>
    </row>
    <row r="212" spans="1:19" ht="31.15" customHeight="1" x14ac:dyDescent="0.25">
      <c r="A212" s="348"/>
      <c r="B212" s="351"/>
      <c r="C212" s="477" t="s">
        <v>78</v>
      </c>
      <c r="D212" s="477"/>
      <c r="E212" s="104">
        <f>SUM(E213:E213)</f>
        <v>1</v>
      </c>
      <c r="F212" s="175">
        <f t="shared" ref="F212:Q212" si="209">SUM(F213:F214)</f>
        <v>26061</v>
      </c>
      <c r="G212" s="175">
        <f t="shared" si="209"/>
        <v>2213.4</v>
      </c>
      <c r="H212" s="175">
        <f t="shared" si="209"/>
        <v>1999.2</v>
      </c>
      <c r="I212" s="175">
        <f t="shared" si="209"/>
        <v>2213.4</v>
      </c>
      <c r="J212" s="175">
        <f t="shared" si="209"/>
        <v>2142</v>
      </c>
      <c r="K212" s="175">
        <f t="shared" si="209"/>
        <v>2213.4</v>
      </c>
      <c r="L212" s="175">
        <f t="shared" si="209"/>
        <v>2142</v>
      </c>
      <c r="M212" s="175">
        <f t="shared" si="209"/>
        <v>2213.4</v>
      </c>
      <c r="N212" s="175">
        <f t="shared" si="209"/>
        <v>2213.4</v>
      </c>
      <c r="O212" s="175">
        <f t="shared" si="209"/>
        <v>2142</v>
      </c>
      <c r="P212" s="175">
        <f t="shared" si="209"/>
        <v>2213.4</v>
      </c>
      <c r="Q212" s="175">
        <f t="shared" si="209"/>
        <v>2142</v>
      </c>
      <c r="R212" s="176">
        <f>SUM(R213:R214)</f>
        <v>2213.4</v>
      </c>
    </row>
    <row r="213" spans="1:19" x14ac:dyDescent="0.25">
      <c r="A213" s="348"/>
      <c r="B213" s="351">
        <v>1</v>
      </c>
      <c r="C213" s="343" t="s">
        <v>36</v>
      </c>
      <c r="D213" s="83">
        <v>71.400000000000006</v>
      </c>
      <c r="E213" s="84">
        <v>1</v>
      </c>
      <c r="F213" s="86">
        <f>+E213*S213*D213</f>
        <v>26061</v>
      </c>
      <c r="G213" s="86">
        <f>E213*D213*31</f>
        <v>2213.4</v>
      </c>
      <c r="H213" s="87">
        <f>E213*D213*28</f>
        <v>1999.2</v>
      </c>
      <c r="I213" s="86">
        <f>E213*D213*31</f>
        <v>2213.4</v>
      </c>
      <c r="J213" s="86">
        <f>E213*D213*30</f>
        <v>2142</v>
      </c>
      <c r="K213" s="86">
        <f>E213*D213*31</f>
        <v>2213.4</v>
      </c>
      <c r="L213" s="86">
        <f>E213*D213*30</f>
        <v>2142</v>
      </c>
      <c r="M213" s="86">
        <f>E213*D213*31</f>
        <v>2213.4</v>
      </c>
      <c r="N213" s="86">
        <f>E213*D213*31</f>
        <v>2213.4</v>
      </c>
      <c r="O213" s="86">
        <f>E213*D213*30</f>
        <v>2142</v>
      </c>
      <c r="P213" s="86">
        <f>E213*D213*31</f>
        <v>2213.4</v>
      </c>
      <c r="Q213" s="86">
        <f>E213*D213*30</f>
        <v>2142</v>
      </c>
      <c r="R213" s="102">
        <f>E213*D213*31</f>
        <v>2213.4</v>
      </c>
      <c r="S213">
        <v>365</v>
      </c>
    </row>
    <row r="214" spans="1:19" x14ac:dyDescent="0.25">
      <c r="A214" s="348"/>
      <c r="B214" s="351"/>
      <c r="C214" s="343" t="s">
        <v>40</v>
      </c>
      <c r="D214" s="83"/>
      <c r="E214" s="84"/>
      <c r="F214" s="86"/>
      <c r="G214" s="103"/>
      <c r="H214" s="87"/>
      <c r="I214" s="86"/>
      <c r="J214" s="86"/>
      <c r="K214" s="86"/>
      <c r="L214" s="86"/>
      <c r="M214" s="86"/>
      <c r="N214" s="86"/>
      <c r="O214" s="86"/>
      <c r="P214" s="86"/>
      <c r="Q214" s="86"/>
      <c r="R214" s="102"/>
    </row>
    <row r="215" spans="1:19" x14ac:dyDescent="0.25">
      <c r="A215" s="348"/>
      <c r="B215" s="351"/>
      <c r="C215" s="343"/>
      <c r="D215" s="83"/>
      <c r="E215" s="84"/>
      <c r="F215" s="86"/>
      <c r="G215" s="86"/>
      <c r="H215" s="87"/>
      <c r="I215" s="86"/>
      <c r="J215" s="86"/>
      <c r="K215" s="86"/>
      <c r="L215" s="86"/>
      <c r="M215" s="86"/>
      <c r="N215" s="86"/>
      <c r="O215" s="86"/>
      <c r="P215" s="86"/>
      <c r="Q215" s="86"/>
      <c r="R215" s="102"/>
    </row>
    <row r="216" spans="1:19" ht="35.450000000000003" customHeight="1" x14ac:dyDescent="0.25">
      <c r="A216" s="348"/>
      <c r="B216" s="351"/>
      <c r="C216" s="477" t="s">
        <v>79</v>
      </c>
      <c r="D216" s="477"/>
      <c r="E216" s="104">
        <f>SUM(E218:E221)</f>
        <v>4</v>
      </c>
      <c r="F216" s="175">
        <f>SUM(F218:F222)</f>
        <v>104244</v>
      </c>
      <c r="G216" s="175">
        <f t="shared" ref="G216:R216" si="210">SUM(G218:G222)</f>
        <v>8853.6</v>
      </c>
      <c r="H216" s="175">
        <f t="shared" si="210"/>
        <v>7996.8</v>
      </c>
      <c r="I216" s="175">
        <f t="shared" si="210"/>
        <v>8853.6</v>
      </c>
      <c r="J216" s="175">
        <f t="shared" si="210"/>
        <v>8568</v>
      </c>
      <c r="K216" s="175">
        <f t="shared" si="210"/>
        <v>8853.6</v>
      </c>
      <c r="L216" s="175">
        <f t="shared" si="210"/>
        <v>8568</v>
      </c>
      <c r="M216" s="175">
        <f t="shared" si="210"/>
        <v>8853.6</v>
      </c>
      <c r="N216" s="175">
        <f t="shared" si="210"/>
        <v>8853.6</v>
      </c>
      <c r="O216" s="175">
        <f t="shared" si="210"/>
        <v>8568</v>
      </c>
      <c r="P216" s="175">
        <f t="shared" si="210"/>
        <v>8853.6</v>
      </c>
      <c r="Q216" s="175">
        <f t="shared" si="210"/>
        <v>8568</v>
      </c>
      <c r="R216" s="176">
        <f t="shared" si="210"/>
        <v>8853.6</v>
      </c>
    </row>
    <row r="217" spans="1:19" ht="14.25" customHeight="1" x14ac:dyDescent="0.25">
      <c r="A217" s="348"/>
      <c r="B217" s="481"/>
      <c r="C217" s="482"/>
      <c r="D217" s="483"/>
      <c r="E217" s="429" t="s">
        <v>151</v>
      </c>
      <c r="F217" s="253">
        <v>0</v>
      </c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6"/>
    </row>
    <row r="218" spans="1:19" ht="34.5" customHeight="1" x14ac:dyDescent="0.25">
      <c r="A218" s="348"/>
      <c r="B218" s="351">
        <v>1</v>
      </c>
      <c r="C218" s="343" t="s">
        <v>36</v>
      </c>
      <c r="D218" s="83">
        <v>71.400000000000006</v>
      </c>
      <c r="E218" s="84">
        <v>1</v>
      </c>
      <c r="F218" s="86">
        <f>+E218*S218*D218</f>
        <v>26061</v>
      </c>
      <c r="G218" s="86">
        <f>E218*D218*31</f>
        <v>2213.4</v>
      </c>
      <c r="H218" s="87">
        <f>E218*D218*28</f>
        <v>1999.2</v>
      </c>
      <c r="I218" s="86">
        <f>E218*D218*31</f>
        <v>2213.4</v>
      </c>
      <c r="J218" s="86">
        <f>E218*D218*30</f>
        <v>2142</v>
      </c>
      <c r="K218" s="86">
        <f>E218*D218*31</f>
        <v>2213.4</v>
      </c>
      <c r="L218" s="86">
        <f>E218*D218*30</f>
        <v>2142</v>
      </c>
      <c r="M218" s="86">
        <f>E218*D218*31</f>
        <v>2213.4</v>
      </c>
      <c r="N218" s="86">
        <f>E218*D218*31</f>
        <v>2213.4</v>
      </c>
      <c r="O218" s="86">
        <f>E218*D218*30</f>
        <v>2142</v>
      </c>
      <c r="P218" s="86">
        <f>E218*D218*31</f>
        <v>2213.4</v>
      </c>
      <c r="Q218" s="86">
        <f>E218*D218*30</f>
        <v>2142</v>
      </c>
      <c r="R218" s="102">
        <f>E218*D218*31</f>
        <v>2213.4</v>
      </c>
      <c r="S218">
        <v>365</v>
      </c>
    </row>
    <row r="219" spans="1:19" x14ac:dyDescent="0.25">
      <c r="A219" s="348"/>
      <c r="B219" s="351">
        <v>2</v>
      </c>
      <c r="C219" s="343" t="s">
        <v>15</v>
      </c>
      <c r="D219" s="83">
        <v>71.400000000000006</v>
      </c>
      <c r="E219" s="84">
        <v>1</v>
      </c>
      <c r="F219" s="86">
        <f>+E219*S219*D219</f>
        <v>26061</v>
      </c>
      <c r="G219" s="86">
        <f>E219*D219*31</f>
        <v>2213.4</v>
      </c>
      <c r="H219" s="87">
        <f>E219*D219*28</f>
        <v>1999.2</v>
      </c>
      <c r="I219" s="86">
        <f>E219*D219*31</f>
        <v>2213.4</v>
      </c>
      <c r="J219" s="86">
        <f>E219*D219*30</f>
        <v>2142</v>
      </c>
      <c r="K219" s="86">
        <f>E219*D219*31</f>
        <v>2213.4</v>
      </c>
      <c r="L219" s="86">
        <f>E219*D219*30</f>
        <v>2142</v>
      </c>
      <c r="M219" s="86">
        <f>E219*D219*31</f>
        <v>2213.4</v>
      </c>
      <c r="N219" s="86">
        <f>E219*D219*31</f>
        <v>2213.4</v>
      </c>
      <c r="O219" s="86">
        <f>E219*D219*30</f>
        <v>2142</v>
      </c>
      <c r="P219" s="86">
        <f>E219*D219*31</f>
        <v>2213.4</v>
      </c>
      <c r="Q219" s="86">
        <f>E219*D219*30</f>
        <v>2142</v>
      </c>
      <c r="R219" s="102">
        <f>E219*D219*31</f>
        <v>2213.4</v>
      </c>
      <c r="S219">
        <v>365</v>
      </c>
    </row>
    <row r="220" spans="1:19" x14ac:dyDescent="0.25">
      <c r="A220" s="348"/>
      <c r="B220" s="351">
        <v>3</v>
      </c>
      <c r="C220" s="343" t="s">
        <v>16</v>
      </c>
      <c r="D220" s="83">
        <v>71.400000000000006</v>
      </c>
      <c r="E220" s="84">
        <v>1</v>
      </c>
      <c r="F220" s="86">
        <f>+E220*S220*D220</f>
        <v>26061</v>
      </c>
      <c r="G220" s="86">
        <f>E220*D220*31</f>
        <v>2213.4</v>
      </c>
      <c r="H220" s="87">
        <f>E220*D220*28</f>
        <v>1999.2</v>
      </c>
      <c r="I220" s="86">
        <f>E220*D220*31</f>
        <v>2213.4</v>
      </c>
      <c r="J220" s="86">
        <f>E220*D220*30</f>
        <v>2142</v>
      </c>
      <c r="K220" s="86">
        <f>E220*D220*31</f>
        <v>2213.4</v>
      </c>
      <c r="L220" s="86">
        <f>E220*D220*30</f>
        <v>2142</v>
      </c>
      <c r="M220" s="86">
        <f>E220*D220*31</f>
        <v>2213.4</v>
      </c>
      <c r="N220" s="86">
        <f>E220*D220*31</f>
        <v>2213.4</v>
      </c>
      <c r="O220" s="86">
        <f>E220*D220*30</f>
        <v>2142</v>
      </c>
      <c r="P220" s="86">
        <f>E220*D220*31</f>
        <v>2213.4</v>
      </c>
      <c r="Q220" s="86">
        <f>E220*D220*30</f>
        <v>2142</v>
      </c>
      <c r="R220" s="102">
        <f>E220*D220*31</f>
        <v>2213.4</v>
      </c>
      <c r="S220">
        <v>365</v>
      </c>
    </row>
    <row r="221" spans="1:19" x14ac:dyDescent="0.25">
      <c r="A221" s="348"/>
      <c r="B221" s="351">
        <v>4</v>
      </c>
      <c r="C221" s="343" t="s">
        <v>62</v>
      </c>
      <c r="D221" s="83">
        <v>71.400000000000006</v>
      </c>
      <c r="E221" s="84">
        <v>1</v>
      </c>
      <c r="F221" s="86">
        <f>+E221*S221*D221</f>
        <v>26061</v>
      </c>
      <c r="G221" s="86">
        <f>E221*D221*31</f>
        <v>2213.4</v>
      </c>
      <c r="H221" s="87">
        <f>E221*D221*28</f>
        <v>1999.2</v>
      </c>
      <c r="I221" s="86">
        <f>E221*D221*31</f>
        <v>2213.4</v>
      </c>
      <c r="J221" s="86">
        <f>E221*D221*30</f>
        <v>2142</v>
      </c>
      <c r="K221" s="86">
        <f>E221*D221*31</f>
        <v>2213.4</v>
      </c>
      <c r="L221" s="86">
        <f>E221*D221*30</f>
        <v>2142</v>
      </c>
      <c r="M221" s="86">
        <f>E221*D221*31</f>
        <v>2213.4</v>
      </c>
      <c r="N221" s="86">
        <f>E221*D221*31</f>
        <v>2213.4</v>
      </c>
      <c r="O221" s="86">
        <f>E221*D221*30</f>
        <v>2142</v>
      </c>
      <c r="P221" s="86">
        <f>E221*D221*31</f>
        <v>2213.4</v>
      </c>
      <c r="Q221" s="86">
        <f>E221*D221*30</f>
        <v>2142</v>
      </c>
      <c r="R221" s="102">
        <f>E221*D221*31</f>
        <v>2213.4</v>
      </c>
      <c r="S221">
        <v>365</v>
      </c>
    </row>
    <row r="222" spans="1:19" x14ac:dyDescent="0.25">
      <c r="A222" s="348"/>
      <c r="B222" s="351"/>
      <c r="C222" s="343" t="s">
        <v>40</v>
      </c>
      <c r="D222" s="83"/>
      <c r="E222" s="84"/>
      <c r="F222" s="86">
        <f>130305-SUM(F218:F221)-26061</f>
        <v>0</v>
      </c>
      <c r="G222" s="86"/>
      <c r="H222" s="87"/>
      <c r="I222" s="86"/>
      <c r="J222" s="86"/>
      <c r="K222" s="86"/>
      <c r="L222" s="86"/>
      <c r="M222" s="86"/>
      <c r="N222" s="86"/>
      <c r="O222" s="86"/>
      <c r="P222" s="86"/>
      <c r="Q222" s="86"/>
      <c r="R222" s="102"/>
    </row>
    <row r="223" spans="1:19" x14ac:dyDescent="0.25">
      <c r="A223" s="348"/>
      <c r="B223" s="351"/>
      <c r="C223" s="343"/>
      <c r="D223" s="83"/>
      <c r="E223" s="84"/>
      <c r="F223" s="86"/>
      <c r="G223" s="86"/>
      <c r="H223" s="87"/>
      <c r="I223" s="86"/>
      <c r="J223" s="86"/>
      <c r="K223" s="86"/>
      <c r="L223" s="86"/>
      <c r="M223" s="86"/>
      <c r="N223" s="86"/>
      <c r="O223" s="86"/>
      <c r="P223" s="86"/>
      <c r="Q223" s="86"/>
      <c r="R223" s="102"/>
    </row>
    <row r="224" spans="1:19" ht="35.25" customHeight="1" x14ac:dyDescent="0.25">
      <c r="A224" s="348"/>
      <c r="B224" s="351"/>
      <c r="C224" s="477" t="s">
        <v>80</v>
      </c>
      <c r="D224" s="477"/>
      <c r="E224" s="104">
        <f>SUM(E226:E227)</f>
        <v>4</v>
      </c>
      <c r="F224" s="175">
        <f>SUM(F226:F228)</f>
        <v>104680</v>
      </c>
      <c r="G224" s="175">
        <f t="shared" ref="G224:Q224" si="211">SUM(G226:G228)</f>
        <v>8888.94</v>
      </c>
      <c r="H224" s="175">
        <f t="shared" si="211"/>
        <v>8028.72</v>
      </c>
      <c r="I224" s="175">
        <f t="shared" si="211"/>
        <v>8888.94</v>
      </c>
      <c r="J224" s="175">
        <f t="shared" si="211"/>
        <v>8602.2000000000007</v>
      </c>
      <c r="K224" s="175">
        <f t="shared" si="211"/>
        <v>8888.94</v>
      </c>
      <c r="L224" s="175">
        <f t="shared" si="211"/>
        <v>8602.2000000000007</v>
      </c>
      <c r="M224" s="175">
        <f t="shared" si="211"/>
        <v>8888.94</v>
      </c>
      <c r="N224" s="175">
        <f t="shared" si="211"/>
        <v>8888.94</v>
      </c>
      <c r="O224" s="175">
        <f t="shared" si="211"/>
        <v>8602.2000000000007</v>
      </c>
      <c r="P224" s="175">
        <f t="shared" si="211"/>
        <v>8888.94</v>
      </c>
      <c r="Q224" s="175">
        <f t="shared" si="211"/>
        <v>8602.2000000000007</v>
      </c>
      <c r="R224" s="243">
        <f>SUM(R226:R228)</f>
        <v>8888.94</v>
      </c>
    </row>
    <row r="225" spans="1:22" x14ac:dyDescent="0.25">
      <c r="A225" s="348"/>
      <c r="B225" s="351"/>
      <c r="C225" s="345"/>
      <c r="D225" s="345"/>
      <c r="E225" s="344" t="s">
        <v>151</v>
      </c>
      <c r="F225" s="253">
        <v>0</v>
      </c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4"/>
      <c r="S225" s="248"/>
      <c r="V225" s="249"/>
    </row>
    <row r="226" spans="1:22" x14ac:dyDescent="0.25">
      <c r="A226" s="348"/>
      <c r="B226" s="351">
        <v>1</v>
      </c>
      <c r="C226" s="343" t="s">
        <v>81</v>
      </c>
      <c r="D226" s="83">
        <v>72.540000000000006</v>
      </c>
      <c r="E226" s="84">
        <v>1</v>
      </c>
      <c r="F226" s="86">
        <f>+E226*S226*D226</f>
        <v>26477.1</v>
      </c>
      <c r="G226" s="86">
        <f>E226*D226*31</f>
        <v>2248.7399999999998</v>
      </c>
      <c r="H226" s="87">
        <f>E226*D226*28</f>
        <v>2031.12</v>
      </c>
      <c r="I226" s="86">
        <f>E226*D226*31</f>
        <v>2248.7399999999998</v>
      </c>
      <c r="J226" s="86">
        <f>E226*D226*30</f>
        <v>2176.1999999999998</v>
      </c>
      <c r="K226" s="86">
        <f>E226*D226*31</f>
        <v>2248.7399999999998</v>
      </c>
      <c r="L226" s="86">
        <f>E226*D226*30</f>
        <v>2176.1999999999998</v>
      </c>
      <c r="M226" s="86">
        <f>E226*D226*31</f>
        <v>2248.7399999999998</v>
      </c>
      <c r="N226" s="86">
        <f>E226*D226*31</f>
        <v>2248.7399999999998</v>
      </c>
      <c r="O226" s="86">
        <f>E226*D226*30</f>
        <v>2176.1999999999998</v>
      </c>
      <c r="P226" s="86">
        <f>E226*D226*31</f>
        <v>2248.7399999999998</v>
      </c>
      <c r="Q226" s="86">
        <f>E226*D226*30</f>
        <v>2176.1999999999998</v>
      </c>
      <c r="R226" s="102">
        <f>E226*D226*31</f>
        <v>2248.7399999999998</v>
      </c>
      <c r="S226">
        <v>365</v>
      </c>
    </row>
    <row r="227" spans="1:22" x14ac:dyDescent="0.25">
      <c r="A227" s="348"/>
      <c r="B227" s="351">
        <v>2</v>
      </c>
      <c r="C227" s="343" t="s">
        <v>36</v>
      </c>
      <c r="D227" s="83">
        <v>71.400000000000006</v>
      </c>
      <c r="E227" s="84">
        <v>3</v>
      </c>
      <c r="F227" s="86">
        <f>+E227*S227*D227</f>
        <v>78183</v>
      </c>
      <c r="G227" s="86">
        <f>E227*D227*31</f>
        <v>6640.2</v>
      </c>
      <c r="H227" s="87">
        <f>E227*D227*28</f>
        <v>5997.6</v>
      </c>
      <c r="I227" s="86">
        <f>E227*D227*31</f>
        <v>6640.2</v>
      </c>
      <c r="J227" s="86">
        <f>E227*D227*30</f>
        <v>6426</v>
      </c>
      <c r="K227" s="86">
        <f>E227*D227*31</f>
        <v>6640.2</v>
      </c>
      <c r="L227" s="86">
        <f>E227*D227*30</f>
        <v>6426</v>
      </c>
      <c r="M227" s="86">
        <f>E227*D227*31</f>
        <v>6640.2</v>
      </c>
      <c r="N227" s="86">
        <f>E227*D227*31</f>
        <v>6640.2</v>
      </c>
      <c r="O227" s="86">
        <f>E227*D227*30</f>
        <v>6426</v>
      </c>
      <c r="P227" s="86">
        <f>E227*D227*31</f>
        <v>6640.2</v>
      </c>
      <c r="Q227" s="86">
        <f>E227*D227*30</f>
        <v>6426</v>
      </c>
      <c r="R227" s="102">
        <f>E227*D227*31</f>
        <v>6640.2</v>
      </c>
      <c r="S227">
        <v>365</v>
      </c>
    </row>
    <row r="228" spans="1:22" ht="15.75" thickBot="1" x14ac:dyDescent="0.3">
      <c r="A228" s="348"/>
      <c r="B228" s="352"/>
      <c r="C228" s="89" t="s">
        <v>40</v>
      </c>
      <c r="D228" s="90"/>
      <c r="E228" s="66"/>
      <c r="F228" s="94">
        <f>104680-SUM(F226:F227)</f>
        <v>19.899999999999999</v>
      </c>
      <c r="G228" s="92"/>
      <c r="H228" s="120"/>
      <c r="I228" s="94"/>
      <c r="J228" s="94"/>
      <c r="K228" s="94"/>
      <c r="L228" s="94"/>
      <c r="M228" s="94"/>
      <c r="N228" s="94"/>
      <c r="O228" s="94"/>
      <c r="P228" s="94"/>
      <c r="Q228" s="94"/>
      <c r="R228" s="121"/>
    </row>
    <row r="229" spans="1:22" ht="47.25" customHeight="1" x14ac:dyDescent="0.25">
      <c r="A229" s="348"/>
      <c r="B229" s="380"/>
      <c r="C229" s="478" t="s">
        <v>154</v>
      </c>
      <c r="D229" s="479"/>
      <c r="E229" s="113"/>
      <c r="F229" s="114"/>
      <c r="G229" s="114"/>
      <c r="H229" s="115"/>
      <c r="I229" s="114"/>
      <c r="J229" s="114"/>
      <c r="K229" s="114"/>
      <c r="L229" s="114"/>
      <c r="M229" s="114"/>
      <c r="N229" s="114"/>
      <c r="O229" s="114"/>
      <c r="P229" s="114"/>
      <c r="Q229" s="114"/>
      <c r="R229" s="116"/>
      <c r="S229" s="1"/>
    </row>
    <row r="230" spans="1:22" ht="24.75" customHeight="1" thickBot="1" x14ac:dyDescent="0.3">
      <c r="A230" s="348"/>
      <c r="B230" s="376"/>
      <c r="C230" s="476" t="s">
        <v>82</v>
      </c>
      <c r="D230" s="476"/>
      <c r="E230" s="122">
        <f>SUM(E232:E244)</f>
        <v>28</v>
      </c>
      <c r="F230" s="100">
        <f>SUM(F232:F244)</f>
        <v>741442</v>
      </c>
      <c r="G230" s="100">
        <f t="shared" ref="G230:Q230" si="212">SUM(G232:G243)</f>
        <v>62967.199999999997</v>
      </c>
      <c r="H230" s="100">
        <f t="shared" si="212"/>
        <v>54874.400000000001</v>
      </c>
      <c r="I230" s="100">
        <f t="shared" si="212"/>
        <v>60753.8</v>
      </c>
      <c r="J230" s="100">
        <f t="shared" si="212"/>
        <v>58794</v>
      </c>
      <c r="K230" s="100">
        <f t="shared" si="212"/>
        <v>60753.8</v>
      </c>
      <c r="L230" s="100">
        <f t="shared" si="212"/>
        <v>58794</v>
      </c>
      <c r="M230" s="100">
        <f t="shared" si="212"/>
        <v>58540.4</v>
      </c>
      <c r="N230" s="100">
        <f t="shared" si="212"/>
        <v>65751.8</v>
      </c>
      <c r="O230" s="100">
        <f t="shared" si="212"/>
        <v>55938</v>
      </c>
      <c r="P230" s="100">
        <f t="shared" si="212"/>
        <v>61026.559999999998</v>
      </c>
      <c r="Q230" s="100">
        <f t="shared" si="212"/>
        <v>60509.4</v>
      </c>
      <c r="R230" s="360">
        <f>SUM(R232:R244)</f>
        <v>60541.4</v>
      </c>
      <c r="S230" s="1"/>
    </row>
    <row r="231" spans="1:22" x14ac:dyDescent="0.25">
      <c r="A231" s="348"/>
      <c r="B231" s="351"/>
      <c r="C231" s="345"/>
      <c r="D231" s="345"/>
      <c r="E231" s="428" t="s">
        <v>151</v>
      </c>
      <c r="F231" s="253">
        <v>0</v>
      </c>
      <c r="G231" s="253"/>
      <c r="H231" s="253"/>
      <c r="I231" s="253"/>
      <c r="J231" s="253"/>
      <c r="K231" s="253"/>
      <c r="L231" s="253"/>
      <c r="M231" s="253"/>
      <c r="N231" s="313"/>
      <c r="O231" s="357"/>
      <c r="P231" s="253"/>
      <c r="Q231" s="253"/>
      <c r="R231" s="254"/>
      <c r="S231" s="248"/>
      <c r="V231" s="249"/>
    </row>
    <row r="232" spans="1:22" s="245" customFormat="1" x14ac:dyDescent="0.25">
      <c r="A232" s="354"/>
      <c r="B232" s="381">
        <v>1</v>
      </c>
      <c r="C232" s="270" t="s">
        <v>36</v>
      </c>
      <c r="D232" s="328">
        <v>71.400000000000006</v>
      </c>
      <c r="E232" s="324">
        <v>7</v>
      </c>
      <c r="F232" s="288">
        <f t="shared" ref="F232:F243" si="213">+E232*S232*D232</f>
        <v>182427</v>
      </c>
      <c r="G232" s="261">
        <f t="shared" ref="G232:G243" si="214">E232*D232*31</f>
        <v>15493.8</v>
      </c>
      <c r="H232" s="262">
        <f>E232*D232*28</f>
        <v>13994.4</v>
      </c>
      <c r="I232" s="261">
        <f>E232*D232*31</f>
        <v>15493.8</v>
      </c>
      <c r="J232" s="261">
        <f>E232*D232*30</f>
        <v>14994</v>
      </c>
      <c r="K232" s="261">
        <f>E232*D232*31</f>
        <v>15493.8</v>
      </c>
      <c r="L232" s="261">
        <f>E232*D232*30</f>
        <v>14994</v>
      </c>
      <c r="M232" s="261">
        <f>E232*D232*31</f>
        <v>15493.8</v>
      </c>
      <c r="N232" s="261">
        <f>E232*D232*31</f>
        <v>15493.8</v>
      </c>
      <c r="O232" s="261">
        <f t="shared" ref="O232:O243" si="215">E232*D232*30</f>
        <v>14994</v>
      </c>
      <c r="P232" s="261">
        <f t="shared" ref="P232:P242" si="216">E232*D232*31</f>
        <v>15493.8</v>
      </c>
      <c r="Q232" s="261">
        <f t="shared" ref="Q232:Q242" si="217">E232*D232*30</f>
        <v>14994</v>
      </c>
      <c r="R232" s="273">
        <f t="shared" ref="R232:R242" si="218">D232*31*E232</f>
        <v>15493.8</v>
      </c>
      <c r="S232" s="245">
        <v>365</v>
      </c>
      <c r="T232"/>
      <c r="U232"/>
      <c r="V232" s="278"/>
    </row>
    <row r="233" spans="1:22" s="245" customFormat="1" x14ac:dyDescent="0.25">
      <c r="A233" s="354"/>
      <c r="B233" s="381">
        <v>1</v>
      </c>
      <c r="C233" s="270" t="s">
        <v>36</v>
      </c>
      <c r="D233" s="328">
        <v>71.400000000000006</v>
      </c>
      <c r="E233" s="324">
        <v>1</v>
      </c>
      <c r="F233" s="288">
        <f t="shared" ref="F233" si="219">+E233*S233*D233</f>
        <v>13637.4</v>
      </c>
      <c r="G233" s="261">
        <f t="shared" ref="G233" si="220">E233*D233*31</f>
        <v>2213.4</v>
      </c>
      <c r="H233" s="262">
        <f>E233*D233*28-(D233*28)</f>
        <v>0</v>
      </c>
      <c r="I233" s="261">
        <f>E233*D233*31-(D233*31)</f>
        <v>0</v>
      </c>
      <c r="J233" s="261">
        <f>E233*D233*30-(D233*30)</f>
        <v>0</v>
      </c>
      <c r="K233" s="261">
        <f>E233*D233*31-(D233*31)</f>
        <v>0</v>
      </c>
      <c r="L233" s="261">
        <f>E233*D233*30-(D233*30)</f>
        <v>0</v>
      </c>
      <c r="M233" s="261">
        <f>E233*D233*31-(D233*31)-(2213.4)</f>
        <v>-2213.4</v>
      </c>
      <c r="N233" s="261">
        <f>E233*D233*31+D233*39</f>
        <v>4998</v>
      </c>
      <c r="O233" s="261">
        <f t="shared" ref="O233" si="221">E233*D233*30</f>
        <v>2142</v>
      </c>
      <c r="P233" s="261">
        <f t="shared" ref="P233" si="222">E233*D233*31</f>
        <v>2213.4</v>
      </c>
      <c r="Q233" s="261">
        <f t="shared" ref="Q233" si="223">E233*D233*30</f>
        <v>2142</v>
      </c>
      <c r="R233" s="273">
        <f t="shared" ref="R233" si="224">D233*31*E233</f>
        <v>2213.4</v>
      </c>
      <c r="S233" s="245">
        <f>31-31+31+39+30+31+30+31-1</f>
        <v>191</v>
      </c>
      <c r="V233" s="278"/>
    </row>
    <row r="234" spans="1:22" s="245" customFormat="1" x14ac:dyDescent="0.25">
      <c r="A234" s="354"/>
      <c r="B234" s="381">
        <v>1</v>
      </c>
      <c r="C234" s="270" t="s">
        <v>36</v>
      </c>
      <c r="D234" s="328">
        <v>71.400000000000006</v>
      </c>
      <c r="E234" s="324">
        <v>1</v>
      </c>
      <c r="F234" s="288">
        <f t="shared" ref="F234" si="225">+E234*S234*D234</f>
        <v>24990</v>
      </c>
      <c r="G234" s="261">
        <f t="shared" ref="G234" si="226">E234*D234*31</f>
        <v>2213.4</v>
      </c>
      <c r="H234" s="262">
        <f>E234*D234*28</f>
        <v>1999.2</v>
      </c>
      <c r="I234" s="261">
        <f>E234*D234*31</f>
        <v>2213.4</v>
      </c>
      <c r="J234" s="261">
        <f>E234*D234*30</f>
        <v>2142</v>
      </c>
      <c r="K234" s="261">
        <f>E234*D234*31</f>
        <v>2213.4</v>
      </c>
      <c r="L234" s="261">
        <f>E234*D234*30</f>
        <v>2142</v>
      </c>
      <c r="M234" s="261">
        <f>E234*D234*31</f>
        <v>2213.4</v>
      </c>
      <c r="N234" s="261">
        <f>E234*D234*31</f>
        <v>2213.4</v>
      </c>
      <c r="O234" s="261">
        <v>-642.6</v>
      </c>
      <c r="P234" s="261">
        <f t="shared" ref="P234" si="227">E234*D234*31</f>
        <v>2213.4</v>
      </c>
      <c r="Q234" s="261">
        <f>E234*D234*30+(D234*E234*24)</f>
        <v>3855.6</v>
      </c>
      <c r="R234" s="273">
        <f t="shared" ref="R234" si="228">D234*31*E234</f>
        <v>2213.4</v>
      </c>
      <c r="S234" s="245">
        <f>365-30-9+24</f>
        <v>350</v>
      </c>
      <c r="T234"/>
      <c r="U234"/>
      <c r="V234" s="278"/>
    </row>
    <row r="235" spans="1:22" x14ac:dyDescent="0.25">
      <c r="A235" s="348"/>
      <c r="B235" s="351">
        <v>2</v>
      </c>
      <c r="C235" s="343" t="s">
        <v>83</v>
      </c>
      <c r="D235" s="83">
        <v>73.59</v>
      </c>
      <c r="E235" s="84">
        <v>1</v>
      </c>
      <c r="F235" s="86">
        <f t="shared" si="213"/>
        <v>26860.35</v>
      </c>
      <c r="G235" s="86">
        <f t="shared" si="214"/>
        <v>2281.29</v>
      </c>
      <c r="H235" s="87">
        <f t="shared" ref="H235:H243" si="229">E235*D235*28</f>
        <v>2060.52</v>
      </c>
      <c r="I235" s="86">
        <f t="shared" ref="I235:I243" si="230">E235*D235*31</f>
        <v>2281.29</v>
      </c>
      <c r="J235" s="86">
        <f t="shared" ref="J235:J243" si="231">E235*D235*30</f>
        <v>2207.6999999999998</v>
      </c>
      <c r="K235" s="86">
        <f t="shared" ref="K235:K243" si="232">E235*D235*31</f>
        <v>2281.29</v>
      </c>
      <c r="L235" s="86">
        <f t="shared" ref="L235:L243" si="233">E235*D235*30</f>
        <v>2207.6999999999998</v>
      </c>
      <c r="M235" s="86">
        <f t="shared" ref="M235:M243" si="234">E235*D235*31</f>
        <v>2281.29</v>
      </c>
      <c r="N235" s="86">
        <f t="shared" ref="N235:N243" si="235">E235*D235*31</f>
        <v>2281.29</v>
      </c>
      <c r="O235" s="86">
        <f t="shared" si="215"/>
        <v>2207.6999999999998</v>
      </c>
      <c r="P235" s="86">
        <f t="shared" si="216"/>
        <v>2281.29</v>
      </c>
      <c r="Q235" s="86">
        <f t="shared" si="217"/>
        <v>2207.6999999999998</v>
      </c>
      <c r="R235" s="102">
        <f t="shared" si="218"/>
        <v>2281.29</v>
      </c>
      <c r="S235">
        <v>365</v>
      </c>
    </row>
    <row r="236" spans="1:22" x14ac:dyDescent="0.25">
      <c r="A236" s="348"/>
      <c r="B236" s="351">
        <v>3</v>
      </c>
      <c r="C236" s="343" t="s">
        <v>51</v>
      </c>
      <c r="D236" s="83">
        <v>74.63</v>
      </c>
      <c r="E236" s="84">
        <v>1</v>
      </c>
      <c r="F236" s="86">
        <f t="shared" si="213"/>
        <v>27239.95</v>
      </c>
      <c r="G236" s="86">
        <f t="shared" si="214"/>
        <v>2313.5300000000002</v>
      </c>
      <c r="H236" s="87">
        <f t="shared" si="229"/>
        <v>2089.64</v>
      </c>
      <c r="I236" s="86">
        <f t="shared" si="230"/>
        <v>2313.5300000000002</v>
      </c>
      <c r="J236" s="86">
        <f t="shared" si="231"/>
        <v>2238.9</v>
      </c>
      <c r="K236" s="86">
        <f t="shared" si="232"/>
        <v>2313.5300000000002</v>
      </c>
      <c r="L236" s="86">
        <f t="shared" si="233"/>
        <v>2238.9</v>
      </c>
      <c r="M236" s="86">
        <f t="shared" si="234"/>
        <v>2313.5300000000002</v>
      </c>
      <c r="N236" s="86">
        <f t="shared" si="235"/>
        <v>2313.5300000000002</v>
      </c>
      <c r="O236" s="86">
        <f t="shared" si="215"/>
        <v>2238.9</v>
      </c>
      <c r="P236" s="86">
        <f t="shared" si="216"/>
        <v>2313.5300000000002</v>
      </c>
      <c r="Q236" s="86">
        <f t="shared" si="217"/>
        <v>2238.9</v>
      </c>
      <c r="R236" s="102">
        <f t="shared" si="218"/>
        <v>2313.5300000000002</v>
      </c>
      <c r="S236">
        <v>365</v>
      </c>
    </row>
    <row r="237" spans="1:22" s="245" customFormat="1" x14ac:dyDescent="0.25">
      <c r="A237" s="354"/>
      <c r="B237" s="329"/>
      <c r="C237" s="276" t="s">
        <v>15</v>
      </c>
      <c r="D237" s="271">
        <v>71.400000000000006</v>
      </c>
      <c r="E237" s="272">
        <v>1</v>
      </c>
      <c r="F237" s="261">
        <f t="shared" si="213"/>
        <v>24204.6</v>
      </c>
      <c r="G237" s="261">
        <f t="shared" ref="G237" si="236">E237*D237*31</f>
        <v>2213.4</v>
      </c>
      <c r="H237" s="262">
        <f t="shared" ref="H237" si="237">E237*D237*28</f>
        <v>1999.2</v>
      </c>
      <c r="I237" s="261">
        <f t="shared" ref="I237" si="238">E237*D237*31</f>
        <v>2213.4</v>
      </c>
      <c r="J237" s="261">
        <f t="shared" ref="J237" si="239">E237*D237*30</f>
        <v>2142</v>
      </c>
      <c r="K237" s="261">
        <f t="shared" ref="K237" si="240">E237*D237*31</f>
        <v>2213.4</v>
      </c>
      <c r="L237" s="261">
        <f t="shared" ref="L237" si="241">E237*D237*30</f>
        <v>2142</v>
      </c>
      <c r="M237" s="261">
        <f t="shared" ref="M237" si="242">E237*D237*31</f>
        <v>2213.4</v>
      </c>
      <c r="N237" s="261">
        <f t="shared" ref="N237" si="243">E237*D237*31</f>
        <v>2213.4</v>
      </c>
      <c r="O237" s="261">
        <v>-71.400000000000006</v>
      </c>
      <c r="P237" s="261">
        <f t="shared" ref="P237" si="244">E237*D237*31</f>
        <v>2213.4</v>
      </c>
      <c r="Q237" s="261">
        <f>E237*D237*30+D237*E237*4</f>
        <v>2427.6</v>
      </c>
      <c r="R237" s="273">
        <f t="shared" si="218"/>
        <v>2213.4</v>
      </c>
      <c r="S237" s="245">
        <f>365-30+4</f>
        <v>339</v>
      </c>
      <c r="T237"/>
      <c r="U237"/>
    </row>
    <row r="238" spans="1:22" s="245" customFormat="1" x14ac:dyDescent="0.25">
      <c r="A238" s="354"/>
      <c r="B238" s="329">
        <v>4</v>
      </c>
      <c r="C238" s="276" t="s">
        <v>15</v>
      </c>
      <c r="D238" s="271">
        <v>71.400000000000006</v>
      </c>
      <c r="E238" s="272">
        <v>6</v>
      </c>
      <c r="F238" s="261">
        <f t="shared" si="213"/>
        <v>156366</v>
      </c>
      <c r="G238" s="261">
        <f t="shared" si="214"/>
        <v>13280.4</v>
      </c>
      <c r="H238" s="262">
        <f t="shared" si="229"/>
        <v>11995.2</v>
      </c>
      <c r="I238" s="261">
        <f t="shared" si="230"/>
        <v>13280.4</v>
      </c>
      <c r="J238" s="261">
        <f t="shared" si="231"/>
        <v>12852</v>
      </c>
      <c r="K238" s="261">
        <f t="shared" si="232"/>
        <v>13280.4</v>
      </c>
      <c r="L238" s="261">
        <f t="shared" si="233"/>
        <v>12852</v>
      </c>
      <c r="M238" s="261">
        <f t="shared" si="234"/>
        <v>13280.4</v>
      </c>
      <c r="N238" s="261">
        <f t="shared" si="235"/>
        <v>13280.4</v>
      </c>
      <c r="O238" s="261">
        <f>E238*D238*30</f>
        <v>12852</v>
      </c>
      <c r="P238" s="261">
        <f t="shared" si="216"/>
        <v>13280.4</v>
      </c>
      <c r="Q238" s="261">
        <f t="shared" si="217"/>
        <v>12852</v>
      </c>
      <c r="R238" s="273">
        <f t="shared" si="218"/>
        <v>13280.4</v>
      </c>
      <c r="S238" s="245">
        <f>365</f>
        <v>365</v>
      </c>
      <c r="T238"/>
      <c r="U238"/>
    </row>
    <row r="239" spans="1:22" ht="15.75" customHeight="1" x14ac:dyDescent="0.25">
      <c r="A239" s="348"/>
      <c r="B239" s="351">
        <v>6</v>
      </c>
      <c r="C239" s="343" t="s">
        <v>84</v>
      </c>
      <c r="D239" s="83">
        <v>72.540000000000006</v>
      </c>
      <c r="E239" s="84">
        <v>2</v>
      </c>
      <c r="F239" s="86">
        <f t="shared" si="213"/>
        <v>52954.2</v>
      </c>
      <c r="G239" s="86">
        <f t="shared" si="214"/>
        <v>4497.4799999999996</v>
      </c>
      <c r="H239" s="87">
        <f t="shared" si="229"/>
        <v>4062.24</v>
      </c>
      <c r="I239" s="86">
        <f t="shared" si="230"/>
        <v>4497.4799999999996</v>
      </c>
      <c r="J239" s="86">
        <f t="shared" si="231"/>
        <v>4352.3999999999996</v>
      </c>
      <c r="K239" s="86">
        <f t="shared" si="232"/>
        <v>4497.4799999999996</v>
      </c>
      <c r="L239" s="86">
        <f t="shared" si="233"/>
        <v>4352.3999999999996</v>
      </c>
      <c r="M239" s="86">
        <f t="shared" si="234"/>
        <v>4497.4799999999996</v>
      </c>
      <c r="N239" s="86">
        <f t="shared" si="235"/>
        <v>4497.4799999999996</v>
      </c>
      <c r="O239" s="86">
        <f t="shared" si="215"/>
        <v>4352.3999999999996</v>
      </c>
      <c r="P239" s="86">
        <f t="shared" si="216"/>
        <v>4497.4799999999996</v>
      </c>
      <c r="Q239" s="86">
        <f t="shared" si="217"/>
        <v>4352.3999999999996</v>
      </c>
      <c r="R239" s="102">
        <f t="shared" si="218"/>
        <v>4497.4799999999996</v>
      </c>
      <c r="S239">
        <v>365</v>
      </c>
    </row>
    <row r="240" spans="1:22" x14ac:dyDescent="0.25">
      <c r="A240" s="348"/>
      <c r="B240" s="351">
        <v>7</v>
      </c>
      <c r="C240" s="343" t="s">
        <v>54</v>
      </c>
      <c r="D240" s="83">
        <v>78.25</v>
      </c>
      <c r="E240" s="84">
        <v>2</v>
      </c>
      <c r="F240" s="86">
        <f t="shared" si="213"/>
        <v>57122.5</v>
      </c>
      <c r="G240" s="86">
        <f t="shared" si="214"/>
        <v>4851.5</v>
      </c>
      <c r="H240" s="87">
        <f t="shared" si="229"/>
        <v>4382</v>
      </c>
      <c r="I240" s="86">
        <f t="shared" si="230"/>
        <v>4851.5</v>
      </c>
      <c r="J240" s="86">
        <f t="shared" si="231"/>
        <v>4695</v>
      </c>
      <c r="K240" s="86">
        <f t="shared" si="232"/>
        <v>4851.5</v>
      </c>
      <c r="L240" s="86">
        <f t="shared" si="233"/>
        <v>4695</v>
      </c>
      <c r="M240" s="86">
        <f t="shared" si="234"/>
        <v>4851.5</v>
      </c>
      <c r="N240" s="86">
        <f t="shared" si="235"/>
        <v>4851.5</v>
      </c>
      <c r="O240" s="86">
        <f t="shared" si="215"/>
        <v>4695</v>
      </c>
      <c r="P240" s="86">
        <f t="shared" si="216"/>
        <v>4851.5</v>
      </c>
      <c r="Q240" s="86">
        <f t="shared" si="217"/>
        <v>4695</v>
      </c>
      <c r="R240" s="102">
        <f t="shared" si="218"/>
        <v>4851.5</v>
      </c>
      <c r="S240">
        <v>365</v>
      </c>
    </row>
    <row r="241" spans="1:22" x14ac:dyDescent="0.25">
      <c r="A241" s="348"/>
      <c r="B241" s="351">
        <v>8</v>
      </c>
      <c r="C241" s="343" t="s">
        <v>85</v>
      </c>
      <c r="D241" s="83">
        <v>72.540000000000006</v>
      </c>
      <c r="E241" s="84">
        <v>1</v>
      </c>
      <c r="F241" s="86">
        <f t="shared" si="213"/>
        <v>26477.1</v>
      </c>
      <c r="G241" s="86">
        <f t="shared" si="214"/>
        <v>2248.7399999999998</v>
      </c>
      <c r="H241" s="87">
        <f t="shared" si="229"/>
        <v>2031.12</v>
      </c>
      <c r="I241" s="86">
        <f t="shared" si="230"/>
        <v>2248.7399999999998</v>
      </c>
      <c r="J241" s="86">
        <f t="shared" si="231"/>
        <v>2176.1999999999998</v>
      </c>
      <c r="K241" s="86">
        <f t="shared" si="232"/>
        <v>2248.7399999999998</v>
      </c>
      <c r="L241" s="86">
        <f t="shared" si="233"/>
        <v>2176.1999999999998</v>
      </c>
      <c r="M241" s="86">
        <f t="shared" si="234"/>
        <v>2248.7399999999998</v>
      </c>
      <c r="N241" s="86">
        <f t="shared" si="235"/>
        <v>2248.7399999999998</v>
      </c>
      <c r="O241" s="86">
        <f t="shared" si="215"/>
        <v>2176.1999999999998</v>
      </c>
      <c r="P241" s="86">
        <f t="shared" si="216"/>
        <v>2248.7399999999998</v>
      </c>
      <c r="Q241" s="86">
        <f t="shared" si="217"/>
        <v>2176.1999999999998</v>
      </c>
      <c r="R241" s="102">
        <f t="shared" si="218"/>
        <v>2248.7399999999998</v>
      </c>
      <c r="S241">
        <v>365</v>
      </c>
    </row>
    <row r="242" spans="1:22" x14ac:dyDescent="0.25">
      <c r="A242" s="348"/>
      <c r="B242" s="351">
        <v>9</v>
      </c>
      <c r="C242" s="343" t="s">
        <v>86</v>
      </c>
      <c r="D242" s="83">
        <v>71.400000000000006</v>
      </c>
      <c r="E242" s="84">
        <v>4</v>
      </c>
      <c r="F242" s="86">
        <f t="shared" si="213"/>
        <v>104244</v>
      </c>
      <c r="G242" s="86">
        <f t="shared" si="214"/>
        <v>8853.6</v>
      </c>
      <c r="H242" s="87">
        <f t="shared" si="229"/>
        <v>7996.8</v>
      </c>
      <c r="I242" s="86">
        <f t="shared" si="230"/>
        <v>8853.6</v>
      </c>
      <c r="J242" s="86">
        <f t="shared" si="231"/>
        <v>8568</v>
      </c>
      <c r="K242" s="86">
        <f t="shared" si="232"/>
        <v>8853.6</v>
      </c>
      <c r="L242" s="86">
        <f t="shared" si="233"/>
        <v>8568</v>
      </c>
      <c r="M242" s="86">
        <f t="shared" si="234"/>
        <v>8853.6</v>
      </c>
      <c r="N242" s="86">
        <f t="shared" si="235"/>
        <v>8853.6</v>
      </c>
      <c r="O242" s="86">
        <f t="shared" si="215"/>
        <v>8568</v>
      </c>
      <c r="P242" s="86">
        <f t="shared" si="216"/>
        <v>8853.6</v>
      </c>
      <c r="Q242" s="86">
        <f t="shared" si="217"/>
        <v>8568</v>
      </c>
      <c r="R242" s="102">
        <f t="shared" si="218"/>
        <v>8853.6</v>
      </c>
      <c r="S242">
        <v>365</v>
      </c>
    </row>
    <row r="243" spans="1:22" ht="14.25" customHeight="1" x14ac:dyDescent="0.25">
      <c r="A243" s="348"/>
      <c r="B243" s="351">
        <v>10</v>
      </c>
      <c r="C243" s="343" t="s">
        <v>39</v>
      </c>
      <c r="D243" s="83">
        <v>80.86</v>
      </c>
      <c r="E243" s="84">
        <v>1</v>
      </c>
      <c r="F243" s="86">
        <f t="shared" si="213"/>
        <v>22721.66</v>
      </c>
      <c r="G243" s="86">
        <f t="shared" si="214"/>
        <v>2506.66</v>
      </c>
      <c r="H243" s="87">
        <f t="shared" si="229"/>
        <v>2264.08</v>
      </c>
      <c r="I243" s="86">
        <f t="shared" si="230"/>
        <v>2506.66</v>
      </c>
      <c r="J243" s="86">
        <f t="shared" si="231"/>
        <v>2425.8000000000002</v>
      </c>
      <c r="K243" s="86">
        <f t="shared" si="232"/>
        <v>2506.66</v>
      </c>
      <c r="L243" s="86">
        <f t="shared" si="233"/>
        <v>2425.8000000000002</v>
      </c>
      <c r="M243" s="86">
        <f t="shared" si="234"/>
        <v>2506.66</v>
      </c>
      <c r="N243" s="86">
        <f t="shared" si="235"/>
        <v>2506.66</v>
      </c>
      <c r="O243" s="86">
        <f t="shared" si="215"/>
        <v>2425.8000000000002</v>
      </c>
      <c r="P243" s="86">
        <f>E243*D243*7</f>
        <v>566.02</v>
      </c>
      <c r="Q243" s="86">
        <v>0</v>
      </c>
      <c r="R243" s="102">
        <v>80.86</v>
      </c>
      <c r="S243">
        <f>365-31+7-30-31+1</f>
        <v>281</v>
      </c>
    </row>
    <row r="244" spans="1:22" ht="15" customHeight="1" thickBot="1" x14ac:dyDescent="0.3">
      <c r="A244" s="348"/>
      <c r="B244" s="382"/>
      <c r="C244" s="123" t="s">
        <v>40</v>
      </c>
      <c r="D244" s="124"/>
      <c r="E244" s="125"/>
      <c r="F244" s="126">
        <f>741442-SUM(F232:F243)</f>
        <v>22197.24</v>
      </c>
      <c r="G244" s="126"/>
      <c r="H244" s="127"/>
      <c r="I244" s="126"/>
      <c r="J244" s="128"/>
      <c r="K244" s="129"/>
      <c r="L244" s="129"/>
      <c r="M244" s="129"/>
      <c r="N244" s="129"/>
      <c r="O244" s="129"/>
      <c r="P244" s="129"/>
      <c r="Q244" s="129"/>
      <c r="R244" s="130"/>
      <c r="S244" s="171">
        <f>+T244-F244</f>
        <v>0</v>
      </c>
      <c r="T244" s="1">
        <v>22197.24</v>
      </c>
    </row>
    <row r="245" spans="1:22" ht="26.25" x14ac:dyDescent="0.25">
      <c r="A245" s="348"/>
      <c r="B245" s="380"/>
      <c r="C245" s="112" t="s">
        <v>87</v>
      </c>
      <c r="D245" s="113"/>
      <c r="E245" s="113"/>
      <c r="F245" s="114"/>
      <c r="G245" s="114"/>
      <c r="H245" s="115"/>
      <c r="I245" s="114"/>
      <c r="J245" s="114"/>
      <c r="K245" s="114"/>
      <c r="L245" s="114"/>
      <c r="M245" s="114"/>
      <c r="N245" s="114"/>
      <c r="O245" s="114"/>
      <c r="P245" s="114"/>
      <c r="Q245" s="114"/>
      <c r="R245" s="116"/>
      <c r="S245" s="1"/>
    </row>
    <row r="246" spans="1:22" ht="30" customHeight="1" thickBot="1" x14ac:dyDescent="0.3">
      <c r="A246" s="348"/>
      <c r="B246" s="383"/>
      <c r="C246" s="449" t="s">
        <v>88</v>
      </c>
      <c r="D246" s="449"/>
      <c r="E246" s="131">
        <f>SUM(E248:E282)</f>
        <v>321</v>
      </c>
      <c r="F246" s="178">
        <f>SUM(F248:F283)</f>
        <v>4493926</v>
      </c>
      <c r="G246" s="178">
        <f t="shared" ref="G246:Q246" si="245">SUM(G248:G282)</f>
        <v>0</v>
      </c>
      <c r="H246" s="178">
        <f t="shared" si="245"/>
        <v>0</v>
      </c>
      <c r="I246" s="178">
        <f t="shared" si="245"/>
        <v>0</v>
      </c>
      <c r="J246" s="178">
        <f t="shared" si="245"/>
        <v>462661.5</v>
      </c>
      <c r="K246" s="178">
        <f t="shared" si="245"/>
        <v>754829.95</v>
      </c>
      <c r="L246" s="178">
        <f t="shared" si="245"/>
        <v>475085.1</v>
      </c>
      <c r="M246" s="178">
        <f t="shared" si="245"/>
        <v>463375.15</v>
      </c>
      <c r="N246" s="178">
        <f t="shared" si="245"/>
        <v>472371.55</v>
      </c>
      <c r="O246" s="178">
        <f t="shared" si="245"/>
        <v>454093.5</v>
      </c>
      <c r="P246" s="178">
        <f t="shared" si="245"/>
        <v>477262.81</v>
      </c>
      <c r="Q246" s="178">
        <f t="shared" si="245"/>
        <v>456342.24</v>
      </c>
      <c r="R246" s="179">
        <f>SUM(R248:R283)</f>
        <v>469229.95</v>
      </c>
      <c r="S246" s="171">
        <f>+J246-462661.5</f>
        <v>0</v>
      </c>
      <c r="V246" s="247"/>
    </row>
    <row r="247" spans="1:22" x14ac:dyDescent="0.25">
      <c r="A247" s="348"/>
      <c r="B247" s="351"/>
      <c r="C247" s="345"/>
      <c r="D247" s="345"/>
      <c r="E247" s="438" t="s">
        <v>151</v>
      </c>
      <c r="F247" s="294">
        <v>0</v>
      </c>
      <c r="G247" s="253"/>
      <c r="H247" s="253"/>
      <c r="I247" s="253"/>
      <c r="J247" s="253"/>
      <c r="K247" s="253"/>
      <c r="L247" s="253"/>
      <c r="M247" s="261"/>
      <c r="N247" s="253"/>
      <c r="O247" s="253"/>
      <c r="P247" s="253"/>
      <c r="Q247" s="253"/>
      <c r="R247" s="254"/>
      <c r="S247" s="248"/>
      <c r="V247" s="249"/>
    </row>
    <row r="248" spans="1:22" x14ac:dyDescent="0.25">
      <c r="A248" s="348"/>
      <c r="B248" s="351">
        <v>1</v>
      </c>
      <c r="C248" s="276" t="s">
        <v>44</v>
      </c>
      <c r="D248" s="271">
        <v>72.540000000000006</v>
      </c>
      <c r="E248" s="272">
        <v>14</v>
      </c>
      <c r="F248" s="261">
        <f t="shared" ref="F248:F282" si="246">+E248*S248*D248</f>
        <v>279279</v>
      </c>
      <c r="G248" s="261"/>
      <c r="H248" s="262"/>
      <c r="I248" s="261"/>
      <c r="J248" s="261">
        <f t="shared" ref="J248:J282" si="247">E248*D248*30</f>
        <v>30466.799999999999</v>
      </c>
      <c r="K248" s="261">
        <f t="shared" ref="K248:K282" si="248">E248*D248*31</f>
        <v>31482.36</v>
      </c>
      <c r="L248" s="261">
        <f t="shared" ref="L248:L282" si="249">E248*D248*30</f>
        <v>30466.799999999999</v>
      </c>
      <c r="M248" s="261">
        <f>E248*D248*31</f>
        <v>31482.36</v>
      </c>
      <c r="N248" s="261">
        <f t="shared" ref="N248:N258" si="250">E248*D248*31</f>
        <v>31482.36</v>
      </c>
      <c r="O248" s="261">
        <f t="shared" ref="O248:O258" si="251">E248*D248*30</f>
        <v>30466.799999999999</v>
      </c>
      <c r="P248" s="261">
        <f t="shared" ref="P248:P258" si="252">E248*D248*31</f>
        <v>31482.36</v>
      </c>
      <c r="Q248" s="261">
        <f t="shared" ref="Q248:Q258" si="253">E248*D248*30</f>
        <v>30466.799999999999</v>
      </c>
      <c r="R248" s="273">
        <f t="shared" ref="R248:R258" si="254">E248*D248*31</f>
        <v>31482.36</v>
      </c>
      <c r="S248">
        <f>365-31-28-31</f>
        <v>275</v>
      </c>
    </row>
    <row r="249" spans="1:22" s="245" customFormat="1" x14ac:dyDescent="0.25">
      <c r="A249" s="354"/>
      <c r="B249" s="329">
        <v>1</v>
      </c>
      <c r="C249" s="276" t="s">
        <v>44</v>
      </c>
      <c r="D249" s="271">
        <v>72.540000000000006</v>
      </c>
      <c r="E249" s="272">
        <v>2</v>
      </c>
      <c r="F249" s="261">
        <f t="shared" si="246"/>
        <v>26549.64</v>
      </c>
      <c r="G249" s="261"/>
      <c r="H249" s="262"/>
      <c r="I249" s="261"/>
      <c r="J249" s="261">
        <f t="shared" si="247"/>
        <v>4352.3999999999996</v>
      </c>
      <c r="K249" s="261">
        <f t="shared" si="248"/>
        <v>4497.4799999999996</v>
      </c>
      <c r="L249" s="261">
        <f t="shared" si="249"/>
        <v>4352.3999999999996</v>
      </c>
      <c r="M249" s="261">
        <f t="shared" ref="M249:M282" si="255">E249*D249*31</f>
        <v>4497.4799999999996</v>
      </c>
      <c r="N249" s="261">
        <f t="shared" si="250"/>
        <v>4497.4799999999996</v>
      </c>
      <c r="O249" s="261">
        <f t="shared" si="251"/>
        <v>4352.3999999999996</v>
      </c>
      <c r="P249" s="261"/>
      <c r="Q249" s="261"/>
      <c r="R249" s="273"/>
      <c r="S249" s="245">
        <f>30+31+30+31+31+30</f>
        <v>183</v>
      </c>
      <c r="T249"/>
      <c r="U249"/>
    </row>
    <row r="250" spans="1:22" s="245" customFormat="1" x14ac:dyDescent="0.25">
      <c r="A250" s="354"/>
      <c r="B250" s="329">
        <v>1</v>
      </c>
      <c r="C250" s="276" t="s">
        <v>44</v>
      </c>
      <c r="D250" s="271">
        <v>72.540000000000006</v>
      </c>
      <c r="E250" s="272">
        <v>2</v>
      </c>
      <c r="F250" s="261">
        <f t="shared" ref="F250" si="256">+E250*S250*D250</f>
        <v>13347.36</v>
      </c>
      <c r="G250" s="261"/>
      <c r="H250" s="262"/>
      <c r="I250" s="261"/>
      <c r="J250" s="261"/>
      <c r="K250" s="261"/>
      <c r="L250" s="261"/>
      <c r="M250" s="261"/>
      <c r="N250" s="261"/>
      <c r="O250" s="261"/>
      <c r="P250" s="261">
        <f t="shared" ref="P250" si="257">E250*D250*31</f>
        <v>4497.4799999999996</v>
      </c>
      <c r="Q250" s="261">
        <f t="shared" ref="Q250" si="258">E250*D250*30</f>
        <v>4352.3999999999996</v>
      </c>
      <c r="R250" s="273">
        <f t="shared" ref="R250" si="259">E250*D250*31</f>
        <v>4497.4799999999996</v>
      </c>
      <c r="S250" s="245">
        <f>31+30+31</f>
        <v>92</v>
      </c>
      <c r="T250"/>
      <c r="U250"/>
    </row>
    <row r="251" spans="1:22" s="245" customFormat="1" x14ac:dyDescent="0.25">
      <c r="A251" s="354"/>
      <c r="B251" s="329">
        <v>2</v>
      </c>
      <c r="C251" s="276" t="s">
        <v>89</v>
      </c>
      <c r="D251" s="271">
        <v>71.400000000000006</v>
      </c>
      <c r="E251" s="272">
        <v>14</v>
      </c>
      <c r="F251" s="261">
        <f t="shared" si="246"/>
        <v>274890</v>
      </c>
      <c r="G251" s="261"/>
      <c r="H251" s="262"/>
      <c r="I251" s="261"/>
      <c r="J251" s="261">
        <f t="shared" si="247"/>
        <v>29988</v>
      </c>
      <c r="K251" s="261">
        <f t="shared" si="248"/>
        <v>30987.599999999999</v>
      </c>
      <c r="L251" s="261">
        <f t="shared" si="249"/>
        <v>29988</v>
      </c>
      <c r="M251" s="261">
        <f t="shared" si="255"/>
        <v>30987.599999999999</v>
      </c>
      <c r="N251" s="261">
        <f t="shared" si="250"/>
        <v>30987.599999999999</v>
      </c>
      <c r="O251" s="261">
        <f t="shared" si="251"/>
        <v>29988</v>
      </c>
      <c r="P251" s="261">
        <f t="shared" si="252"/>
        <v>30987.599999999999</v>
      </c>
      <c r="Q251" s="261">
        <f t="shared" si="253"/>
        <v>29988</v>
      </c>
      <c r="R251" s="273">
        <f t="shared" si="254"/>
        <v>30987.599999999999</v>
      </c>
      <c r="S251" s="245">
        <f t="shared" ref="S251:S269" si="260">365-31-28-31</f>
        <v>275</v>
      </c>
      <c r="T251"/>
      <c r="U251"/>
    </row>
    <row r="252" spans="1:22" s="245" customFormat="1" x14ac:dyDescent="0.25">
      <c r="A252" s="354"/>
      <c r="B252" s="329">
        <v>2</v>
      </c>
      <c r="C252" s="276" t="s">
        <v>89</v>
      </c>
      <c r="D252" s="271">
        <v>71.400000000000006</v>
      </c>
      <c r="E252" s="272">
        <v>3</v>
      </c>
      <c r="F252" s="261">
        <f t="shared" si="246"/>
        <v>39198.6</v>
      </c>
      <c r="G252" s="261"/>
      <c r="H252" s="262"/>
      <c r="I252" s="261"/>
      <c r="J252" s="261">
        <f t="shared" si="247"/>
        <v>6426</v>
      </c>
      <c r="K252" s="261">
        <f t="shared" si="248"/>
        <v>6640.2</v>
      </c>
      <c r="L252" s="261">
        <f t="shared" si="249"/>
        <v>6426</v>
      </c>
      <c r="M252" s="261">
        <f t="shared" si="255"/>
        <v>6640.2</v>
      </c>
      <c r="N252" s="261">
        <f t="shared" si="250"/>
        <v>6640.2</v>
      </c>
      <c r="O252" s="261">
        <f t="shared" si="251"/>
        <v>6426</v>
      </c>
      <c r="P252" s="261"/>
      <c r="Q252" s="261"/>
      <c r="R252" s="273"/>
      <c r="S252" s="245">
        <f>30+31+30+31+31+30</f>
        <v>183</v>
      </c>
      <c r="T252"/>
      <c r="U252"/>
    </row>
    <row r="253" spans="1:22" s="245" customFormat="1" x14ac:dyDescent="0.25">
      <c r="A253" s="354"/>
      <c r="B253" s="329">
        <v>2</v>
      </c>
      <c r="C253" s="276" t="s">
        <v>89</v>
      </c>
      <c r="D253" s="271">
        <v>71.400000000000006</v>
      </c>
      <c r="E253" s="272">
        <v>2</v>
      </c>
      <c r="F253" s="261">
        <f t="shared" ref="F253" si="261">+E253*S253*D253</f>
        <v>13137.6</v>
      </c>
      <c r="G253" s="261"/>
      <c r="H253" s="262"/>
      <c r="I253" s="261"/>
      <c r="J253" s="261"/>
      <c r="K253" s="261"/>
      <c r="L253" s="261"/>
      <c r="M253" s="261"/>
      <c r="N253" s="261"/>
      <c r="O253" s="261"/>
      <c r="P253" s="261">
        <f t="shared" ref="P253" si="262">E253*D253*31</f>
        <v>4426.8</v>
      </c>
      <c r="Q253" s="261">
        <f t="shared" ref="Q253" si="263">E253*D253*30</f>
        <v>4284</v>
      </c>
      <c r="R253" s="273">
        <f t="shared" ref="R253" si="264">E253*D253*31</f>
        <v>4426.8</v>
      </c>
      <c r="S253" s="245">
        <f>31+30+31</f>
        <v>92</v>
      </c>
      <c r="T253"/>
      <c r="U253"/>
    </row>
    <row r="254" spans="1:22" s="245" customFormat="1" x14ac:dyDescent="0.25">
      <c r="A254" s="354"/>
      <c r="B254" s="329">
        <v>3</v>
      </c>
      <c r="C254" s="276" t="s">
        <v>90</v>
      </c>
      <c r="D254" s="271">
        <v>71.400000000000006</v>
      </c>
      <c r="E254" s="272">
        <v>1</v>
      </c>
      <c r="F254" s="261">
        <f t="shared" si="246"/>
        <v>19635</v>
      </c>
      <c r="G254" s="261"/>
      <c r="H254" s="262"/>
      <c r="I254" s="261"/>
      <c r="J254" s="261">
        <f t="shared" si="247"/>
        <v>2142</v>
      </c>
      <c r="K254" s="261">
        <f t="shared" si="248"/>
        <v>2213.4</v>
      </c>
      <c r="L254" s="261">
        <f t="shared" si="249"/>
        <v>2142</v>
      </c>
      <c r="M254" s="261">
        <f t="shared" si="255"/>
        <v>2213.4</v>
      </c>
      <c r="N254" s="261">
        <f t="shared" si="250"/>
        <v>2213.4</v>
      </c>
      <c r="O254" s="261">
        <f t="shared" si="251"/>
        <v>2142</v>
      </c>
      <c r="P254" s="261">
        <f t="shared" si="252"/>
        <v>2213.4</v>
      </c>
      <c r="Q254" s="261">
        <f t="shared" si="253"/>
        <v>2142</v>
      </c>
      <c r="R254" s="273">
        <f t="shared" si="254"/>
        <v>2213.4</v>
      </c>
      <c r="S254" s="245">
        <f t="shared" si="260"/>
        <v>275</v>
      </c>
      <c r="T254"/>
      <c r="U254"/>
    </row>
    <row r="255" spans="1:22" s="245" customFormat="1" x14ac:dyDescent="0.25">
      <c r="A255" s="354"/>
      <c r="B255" s="329">
        <v>3</v>
      </c>
      <c r="C255" s="276" t="s">
        <v>90</v>
      </c>
      <c r="D255" s="271">
        <v>71.400000000000006</v>
      </c>
      <c r="E255" s="272">
        <v>1</v>
      </c>
      <c r="F255" s="261">
        <f t="shared" si="246"/>
        <v>13066.2</v>
      </c>
      <c r="G255" s="261"/>
      <c r="H255" s="262"/>
      <c r="I255" s="261"/>
      <c r="J255" s="261">
        <f t="shared" si="247"/>
        <v>2142</v>
      </c>
      <c r="K255" s="261">
        <f t="shared" si="248"/>
        <v>2213.4</v>
      </c>
      <c r="L255" s="261">
        <f t="shared" si="249"/>
        <v>2142</v>
      </c>
      <c r="M255" s="261">
        <f t="shared" si="255"/>
        <v>2213.4</v>
      </c>
      <c r="N255" s="261">
        <f t="shared" si="250"/>
        <v>2213.4</v>
      </c>
      <c r="O255" s="261">
        <f t="shared" si="251"/>
        <v>2142</v>
      </c>
      <c r="P255" s="261"/>
      <c r="Q255" s="261"/>
      <c r="R255" s="273"/>
      <c r="S255" s="245">
        <f>30+31+30+31+30+31</f>
        <v>183</v>
      </c>
      <c r="T255"/>
      <c r="U255"/>
    </row>
    <row r="256" spans="1:22" s="245" customFormat="1" x14ac:dyDescent="0.25">
      <c r="A256" s="354"/>
      <c r="B256" s="329">
        <v>3</v>
      </c>
      <c r="C256" s="276" t="s">
        <v>90</v>
      </c>
      <c r="D256" s="271">
        <v>71.400000000000006</v>
      </c>
      <c r="E256" s="272">
        <v>1</v>
      </c>
      <c r="F256" s="261">
        <f t="shared" ref="F256" si="265">+E256*S256*D256</f>
        <v>6568.8</v>
      </c>
      <c r="G256" s="261"/>
      <c r="H256" s="262"/>
      <c r="I256" s="261"/>
      <c r="J256" s="261"/>
      <c r="K256" s="261"/>
      <c r="L256" s="261"/>
      <c r="M256" s="261"/>
      <c r="N256" s="261"/>
      <c r="O256" s="261"/>
      <c r="P256" s="261">
        <f t="shared" ref="P256" si="266">E256*D256*31</f>
        <v>2213.4</v>
      </c>
      <c r="Q256" s="261">
        <f t="shared" ref="Q256" si="267">E256*D256*30</f>
        <v>2142</v>
      </c>
      <c r="R256" s="273">
        <f t="shared" ref="R256" si="268">E256*D256*31</f>
        <v>2213.4</v>
      </c>
      <c r="S256" s="245">
        <f>31+30+31</f>
        <v>92</v>
      </c>
      <c r="T256"/>
      <c r="U256"/>
    </row>
    <row r="257" spans="1:23" s="245" customFormat="1" ht="15.75" customHeight="1" x14ac:dyDescent="0.25">
      <c r="A257" s="354"/>
      <c r="B257" s="329">
        <v>4</v>
      </c>
      <c r="C257" s="276" t="s">
        <v>91</v>
      </c>
      <c r="D257" s="271">
        <v>75.64</v>
      </c>
      <c r="E257" s="277">
        <v>1</v>
      </c>
      <c r="F257" s="261">
        <f t="shared" si="246"/>
        <v>20801</v>
      </c>
      <c r="G257" s="261"/>
      <c r="H257" s="262"/>
      <c r="I257" s="261"/>
      <c r="J257" s="261">
        <f t="shared" si="247"/>
        <v>2269.1999999999998</v>
      </c>
      <c r="K257" s="261">
        <f t="shared" si="248"/>
        <v>2344.84</v>
      </c>
      <c r="L257" s="261">
        <f t="shared" si="249"/>
        <v>2269.1999999999998</v>
      </c>
      <c r="M257" s="261">
        <f t="shared" si="255"/>
        <v>2344.84</v>
      </c>
      <c r="N257" s="261">
        <f>E257*D257*31</f>
        <v>2344.84</v>
      </c>
      <c r="O257" s="261">
        <f t="shared" si="251"/>
        <v>2269.1999999999998</v>
      </c>
      <c r="P257" s="261">
        <f t="shared" si="252"/>
        <v>2344.84</v>
      </c>
      <c r="Q257" s="261">
        <f t="shared" si="253"/>
        <v>2269.1999999999998</v>
      </c>
      <c r="R257" s="273">
        <f t="shared" si="254"/>
        <v>2344.84</v>
      </c>
      <c r="S257" s="245">
        <f t="shared" si="260"/>
        <v>275</v>
      </c>
      <c r="T257"/>
      <c r="U257"/>
      <c r="W257" s="291"/>
    </row>
    <row r="258" spans="1:23" s="245" customFormat="1" x14ac:dyDescent="0.25">
      <c r="A258" s="354"/>
      <c r="B258" s="329">
        <v>5</v>
      </c>
      <c r="C258" s="276" t="s">
        <v>36</v>
      </c>
      <c r="D258" s="271">
        <v>71.400000000000006</v>
      </c>
      <c r="E258" s="272">
        <v>13</v>
      </c>
      <c r="F258" s="261">
        <f t="shared" si="246"/>
        <v>255255</v>
      </c>
      <c r="G258" s="261"/>
      <c r="H258" s="262"/>
      <c r="I258" s="261"/>
      <c r="J258" s="261">
        <f t="shared" si="247"/>
        <v>27846</v>
      </c>
      <c r="K258" s="261">
        <f t="shared" si="248"/>
        <v>28774.2</v>
      </c>
      <c r="L258" s="261">
        <f>E258*D258*30+(357)</f>
        <v>28203</v>
      </c>
      <c r="M258" s="261">
        <f>E258*D258*31</f>
        <v>28774.2</v>
      </c>
      <c r="N258" s="261">
        <f t="shared" si="250"/>
        <v>28774.2</v>
      </c>
      <c r="O258" s="261">
        <f t="shared" si="251"/>
        <v>27846</v>
      </c>
      <c r="P258" s="261">
        <f t="shared" si="252"/>
        <v>28774.2</v>
      </c>
      <c r="Q258" s="261">
        <f t="shared" si="253"/>
        <v>27846</v>
      </c>
      <c r="R258" s="273">
        <f t="shared" si="254"/>
        <v>28774.2</v>
      </c>
      <c r="S258" s="245">
        <f t="shared" si="260"/>
        <v>275</v>
      </c>
      <c r="T258"/>
      <c r="U258"/>
    </row>
    <row r="259" spans="1:23" s="245" customFormat="1" x14ac:dyDescent="0.25">
      <c r="A259" s="354"/>
      <c r="B259" s="329">
        <v>5</v>
      </c>
      <c r="C259" s="276" t="s">
        <v>36</v>
      </c>
      <c r="D259" s="271">
        <v>71.400000000000006</v>
      </c>
      <c r="E259" s="272">
        <v>1</v>
      </c>
      <c r="F259" s="261">
        <f t="shared" si="246"/>
        <v>4355.3999999999996</v>
      </c>
      <c r="G259" s="262"/>
      <c r="H259" s="262"/>
      <c r="I259" s="261"/>
      <c r="J259" s="261">
        <f>E259*D259*30</f>
        <v>2142</v>
      </c>
      <c r="K259" s="261">
        <f>E259*D259*31</f>
        <v>2213.4</v>
      </c>
      <c r="L259" s="261">
        <v>-285.60000000000002</v>
      </c>
      <c r="M259" s="261"/>
      <c r="N259" s="261"/>
      <c r="O259" s="261"/>
      <c r="P259" s="261"/>
      <c r="Q259" s="261"/>
      <c r="R259" s="273"/>
      <c r="S259" s="245">
        <f>30+31</f>
        <v>61</v>
      </c>
      <c r="T259"/>
      <c r="U259"/>
    </row>
    <row r="260" spans="1:23" s="245" customFormat="1" x14ac:dyDescent="0.25">
      <c r="A260" s="354"/>
      <c r="B260" s="329">
        <v>5</v>
      </c>
      <c r="C260" s="276" t="s">
        <v>36</v>
      </c>
      <c r="D260" s="271">
        <v>71.400000000000006</v>
      </c>
      <c r="E260" s="272">
        <v>3</v>
      </c>
      <c r="F260" s="261">
        <f t="shared" si="246"/>
        <v>39198.6</v>
      </c>
      <c r="G260" s="261"/>
      <c r="H260" s="262"/>
      <c r="I260" s="261"/>
      <c r="J260" s="261">
        <f>E260*D260*30</f>
        <v>6426</v>
      </c>
      <c r="K260" s="261">
        <f t="shared" si="248"/>
        <v>6640.2</v>
      </c>
      <c r="L260" s="261">
        <f t="shared" si="249"/>
        <v>6426</v>
      </c>
      <c r="M260" s="261">
        <f>E260*D260*31</f>
        <v>6640.2</v>
      </c>
      <c r="N260" s="261">
        <f t="shared" ref="N260:N269" si="269">E260*D260*31</f>
        <v>6640.2</v>
      </c>
      <c r="O260" s="261">
        <f t="shared" ref="O260:O269" si="270">E260*D260*30</f>
        <v>6426</v>
      </c>
      <c r="P260" s="261"/>
      <c r="Q260" s="261"/>
      <c r="R260" s="273"/>
      <c r="S260" s="245">
        <f>30+31+30+31+31+30</f>
        <v>183</v>
      </c>
      <c r="T260"/>
      <c r="U260"/>
    </row>
    <row r="261" spans="1:23" s="245" customFormat="1" x14ac:dyDescent="0.25">
      <c r="A261" s="354"/>
      <c r="B261" s="329">
        <v>5</v>
      </c>
      <c r="C261" s="276" t="s">
        <v>36</v>
      </c>
      <c r="D261" s="271">
        <v>71.400000000000006</v>
      </c>
      <c r="E261" s="272">
        <v>3</v>
      </c>
      <c r="F261" s="261">
        <f t="shared" ref="F261" si="271">+E261*S261*D261</f>
        <v>19706.400000000001</v>
      </c>
      <c r="G261" s="261"/>
      <c r="H261" s="262"/>
      <c r="I261" s="261"/>
      <c r="J261" s="261"/>
      <c r="K261" s="261"/>
      <c r="L261" s="261"/>
      <c r="M261" s="261"/>
      <c r="N261" s="261"/>
      <c r="O261" s="261"/>
      <c r="P261" s="261">
        <f t="shared" ref="P261" si="272">E261*D261*31</f>
        <v>6640.2</v>
      </c>
      <c r="Q261" s="261">
        <f t="shared" ref="Q261" si="273">E261*D261*30</f>
        <v>6426</v>
      </c>
      <c r="R261" s="273">
        <f t="shared" ref="R261" si="274">E261*D261*31</f>
        <v>6640.2</v>
      </c>
      <c r="S261" s="245">
        <f>31+30+31</f>
        <v>92</v>
      </c>
      <c r="T261"/>
      <c r="U261"/>
    </row>
    <row r="262" spans="1:23" s="245" customFormat="1" x14ac:dyDescent="0.25">
      <c r="A262" s="354"/>
      <c r="B262" s="329">
        <v>6</v>
      </c>
      <c r="C262" s="276" t="s">
        <v>20</v>
      </c>
      <c r="D262" s="271">
        <v>76.59</v>
      </c>
      <c r="E262" s="272">
        <v>1</v>
      </c>
      <c r="F262" s="261">
        <f t="shared" si="246"/>
        <v>21062.25</v>
      </c>
      <c r="G262" s="261"/>
      <c r="H262" s="262"/>
      <c r="I262" s="261"/>
      <c r="J262" s="261">
        <f t="shared" si="247"/>
        <v>2297.6999999999998</v>
      </c>
      <c r="K262" s="261">
        <f t="shared" si="248"/>
        <v>2374.29</v>
      </c>
      <c r="L262" s="261">
        <f t="shared" si="249"/>
        <v>2297.6999999999998</v>
      </c>
      <c r="M262" s="261">
        <f t="shared" si="255"/>
        <v>2374.29</v>
      </c>
      <c r="N262" s="261">
        <f t="shared" si="269"/>
        <v>2374.29</v>
      </c>
      <c r="O262" s="261">
        <f t="shared" si="270"/>
        <v>2297.6999999999998</v>
      </c>
      <c r="P262" s="261">
        <f t="shared" ref="P262:P269" si="275">E262*D262*31</f>
        <v>2374.29</v>
      </c>
      <c r="Q262" s="261">
        <f t="shared" ref="Q262:Q269" si="276">E262*D262*30</f>
        <v>2297.6999999999998</v>
      </c>
      <c r="R262" s="273">
        <f t="shared" ref="R262:R269" si="277">E262*D262*31</f>
        <v>2374.29</v>
      </c>
      <c r="S262" s="245">
        <f t="shared" si="260"/>
        <v>275</v>
      </c>
      <c r="T262"/>
      <c r="U262"/>
    </row>
    <row r="263" spans="1:23" s="245" customFormat="1" x14ac:dyDescent="0.25">
      <c r="A263" s="354"/>
      <c r="B263" s="329">
        <v>7</v>
      </c>
      <c r="C263" s="276" t="s">
        <v>92</v>
      </c>
      <c r="D263" s="271">
        <v>72.540000000000006</v>
      </c>
      <c r="E263" s="272">
        <v>1</v>
      </c>
      <c r="F263" s="261">
        <f t="shared" si="246"/>
        <v>19948.5</v>
      </c>
      <c r="G263" s="261"/>
      <c r="H263" s="262"/>
      <c r="I263" s="261"/>
      <c r="J263" s="261">
        <f t="shared" si="247"/>
        <v>2176.1999999999998</v>
      </c>
      <c r="K263" s="261">
        <f t="shared" si="248"/>
        <v>2248.7399999999998</v>
      </c>
      <c r="L263" s="261">
        <f t="shared" si="249"/>
        <v>2176.1999999999998</v>
      </c>
      <c r="M263" s="261">
        <f t="shared" si="255"/>
        <v>2248.7399999999998</v>
      </c>
      <c r="N263" s="261">
        <f t="shared" si="269"/>
        <v>2248.7399999999998</v>
      </c>
      <c r="O263" s="261">
        <f t="shared" si="270"/>
        <v>2176.1999999999998</v>
      </c>
      <c r="P263" s="261">
        <f t="shared" si="275"/>
        <v>2248.7399999999998</v>
      </c>
      <c r="Q263" s="261">
        <f t="shared" si="276"/>
        <v>2176.1999999999998</v>
      </c>
      <c r="R263" s="273">
        <f t="shared" si="277"/>
        <v>2248.7399999999998</v>
      </c>
      <c r="S263" s="245">
        <f t="shared" si="260"/>
        <v>275</v>
      </c>
      <c r="T263"/>
      <c r="U263"/>
    </row>
    <row r="264" spans="1:23" s="245" customFormat="1" ht="15.75" customHeight="1" x14ac:dyDescent="0.25">
      <c r="A264" s="354"/>
      <c r="B264" s="329">
        <v>8</v>
      </c>
      <c r="C264" s="276" t="s">
        <v>53</v>
      </c>
      <c r="D264" s="271">
        <v>72.540000000000006</v>
      </c>
      <c r="E264" s="272">
        <v>1</v>
      </c>
      <c r="F264" s="261">
        <f t="shared" si="246"/>
        <v>13274.82</v>
      </c>
      <c r="G264" s="261"/>
      <c r="H264" s="262"/>
      <c r="I264" s="261"/>
      <c r="J264" s="261">
        <f t="shared" si="247"/>
        <v>2176.1999999999998</v>
      </c>
      <c r="K264" s="261">
        <f t="shared" si="248"/>
        <v>2248.7399999999998</v>
      </c>
      <c r="L264" s="261">
        <f t="shared" si="249"/>
        <v>2176.1999999999998</v>
      </c>
      <c r="M264" s="261">
        <f t="shared" si="255"/>
        <v>2248.7399999999998</v>
      </c>
      <c r="N264" s="261">
        <f t="shared" si="269"/>
        <v>2248.7399999999998</v>
      </c>
      <c r="O264" s="261">
        <f t="shared" si="270"/>
        <v>2176.1999999999998</v>
      </c>
      <c r="P264" s="261"/>
      <c r="Q264" s="261"/>
      <c r="R264" s="273"/>
      <c r="S264" s="245">
        <f>30+31+30+31+31+30</f>
        <v>183</v>
      </c>
      <c r="T264"/>
      <c r="U264"/>
    </row>
    <row r="265" spans="1:23" s="245" customFormat="1" ht="15.75" customHeight="1" x14ac:dyDescent="0.25">
      <c r="A265" s="354"/>
      <c r="B265" s="329">
        <v>8</v>
      </c>
      <c r="C265" s="413" t="s">
        <v>19</v>
      </c>
      <c r="D265" s="271">
        <v>72.540000000000006</v>
      </c>
      <c r="E265" s="272">
        <v>1</v>
      </c>
      <c r="F265" s="261">
        <f t="shared" ref="F265" si="278">+E265*S265*D265</f>
        <v>6673.68</v>
      </c>
      <c r="G265" s="261"/>
      <c r="H265" s="262"/>
      <c r="I265" s="261"/>
      <c r="J265" s="261"/>
      <c r="K265" s="261"/>
      <c r="L265" s="261"/>
      <c r="M265" s="261"/>
      <c r="N265" s="261"/>
      <c r="O265" s="261"/>
      <c r="P265" s="261"/>
      <c r="Q265" s="261">
        <f>E265*D265*61</f>
        <v>4424.9399999999996</v>
      </c>
      <c r="R265" s="273">
        <f t="shared" ref="R265" si="279">E265*D265*31</f>
        <v>2248.7399999999998</v>
      </c>
      <c r="S265" s="245">
        <f>31+30+31</f>
        <v>92</v>
      </c>
      <c r="T265"/>
      <c r="U265"/>
    </row>
    <row r="266" spans="1:23" s="245" customFormat="1" x14ac:dyDescent="0.25">
      <c r="A266" s="354"/>
      <c r="B266" s="329">
        <v>9</v>
      </c>
      <c r="C266" s="276" t="s">
        <v>54</v>
      </c>
      <c r="D266" s="271">
        <v>78.25</v>
      </c>
      <c r="E266" s="272">
        <v>3</v>
      </c>
      <c r="F266" s="261">
        <f t="shared" si="246"/>
        <v>64556.25</v>
      </c>
      <c r="G266" s="261"/>
      <c r="H266" s="262"/>
      <c r="I266" s="261"/>
      <c r="J266" s="261">
        <f t="shared" si="247"/>
        <v>7042.5</v>
      </c>
      <c r="K266" s="261">
        <f t="shared" si="248"/>
        <v>7277.25</v>
      </c>
      <c r="L266" s="261">
        <f t="shared" si="249"/>
        <v>7042.5</v>
      </c>
      <c r="M266" s="261">
        <f t="shared" si="255"/>
        <v>7277.25</v>
      </c>
      <c r="N266" s="261">
        <f t="shared" si="269"/>
        <v>7277.25</v>
      </c>
      <c r="O266" s="261">
        <f t="shared" si="270"/>
        <v>7042.5</v>
      </c>
      <c r="P266" s="261">
        <f t="shared" si="275"/>
        <v>7277.25</v>
      </c>
      <c r="Q266" s="261">
        <f t="shared" si="276"/>
        <v>7042.5</v>
      </c>
      <c r="R266" s="273">
        <f t="shared" si="277"/>
        <v>7277.25</v>
      </c>
      <c r="S266" s="245">
        <f t="shared" si="260"/>
        <v>275</v>
      </c>
      <c r="T266"/>
      <c r="U266"/>
    </row>
    <row r="267" spans="1:23" s="245" customFormat="1" x14ac:dyDescent="0.25">
      <c r="A267" s="354"/>
      <c r="B267" s="329">
        <v>9</v>
      </c>
      <c r="C267" s="276" t="s">
        <v>54</v>
      </c>
      <c r="D267" s="271">
        <v>78.25</v>
      </c>
      <c r="E267" s="272">
        <v>2</v>
      </c>
      <c r="F267" s="261">
        <f t="shared" si="246"/>
        <v>28639.5</v>
      </c>
      <c r="G267" s="261"/>
      <c r="H267" s="262"/>
      <c r="I267" s="261"/>
      <c r="J267" s="261">
        <f t="shared" si="247"/>
        <v>4695</v>
      </c>
      <c r="K267" s="261">
        <f t="shared" si="248"/>
        <v>4851.5</v>
      </c>
      <c r="L267" s="261">
        <f t="shared" si="249"/>
        <v>4695</v>
      </c>
      <c r="M267" s="261">
        <f t="shared" si="255"/>
        <v>4851.5</v>
      </c>
      <c r="N267" s="261">
        <f t="shared" si="269"/>
        <v>4851.5</v>
      </c>
      <c r="O267" s="261">
        <f t="shared" si="270"/>
        <v>4695</v>
      </c>
      <c r="P267" s="261"/>
      <c r="Q267" s="261"/>
      <c r="R267" s="273"/>
      <c r="S267" s="245">
        <f>30+31+30+31+31+30</f>
        <v>183</v>
      </c>
      <c r="T267"/>
      <c r="U267"/>
    </row>
    <row r="268" spans="1:23" s="245" customFormat="1" x14ac:dyDescent="0.25">
      <c r="A268" s="354"/>
      <c r="B268" s="329">
        <v>9</v>
      </c>
      <c r="C268" s="276" t="s">
        <v>54</v>
      </c>
      <c r="D268" s="271">
        <v>78.25</v>
      </c>
      <c r="E268" s="272">
        <v>2</v>
      </c>
      <c r="F268" s="261">
        <f t="shared" ref="F268" si="280">+E268*S268*D268</f>
        <v>14398</v>
      </c>
      <c r="G268" s="261"/>
      <c r="H268" s="262"/>
      <c r="I268" s="261"/>
      <c r="J268" s="261"/>
      <c r="K268" s="261"/>
      <c r="L268" s="261"/>
      <c r="M268" s="261"/>
      <c r="N268" s="261"/>
      <c r="O268" s="261"/>
      <c r="P268" s="261">
        <f t="shared" ref="P268" si="281">E268*D268*31</f>
        <v>4851.5</v>
      </c>
      <c r="Q268" s="261">
        <f t="shared" ref="Q268" si="282">E268*D268*30</f>
        <v>4695</v>
      </c>
      <c r="R268" s="273">
        <f t="shared" ref="R268" si="283">E268*D268*31</f>
        <v>4851.5</v>
      </c>
      <c r="S268" s="245">
        <f>31+30+31</f>
        <v>92</v>
      </c>
      <c r="T268"/>
      <c r="U268"/>
    </row>
    <row r="269" spans="1:23" s="245" customFormat="1" x14ac:dyDescent="0.25">
      <c r="A269" s="354"/>
      <c r="B269" s="329">
        <v>10</v>
      </c>
      <c r="C269" s="276" t="s">
        <v>55</v>
      </c>
      <c r="D269" s="271">
        <v>71.400000000000006</v>
      </c>
      <c r="E269" s="272">
        <v>110</v>
      </c>
      <c r="F269" s="261">
        <f t="shared" si="246"/>
        <v>2159850</v>
      </c>
      <c r="G269" s="261"/>
      <c r="H269" s="262"/>
      <c r="I269" s="261"/>
      <c r="J269" s="261">
        <f t="shared" si="247"/>
        <v>235620</v>
      </c>
      <c r="K269" s="261">
        <f t="shared" si="248"/>
        <v>243474</v>
      </c>
      <c r="L269" s="261">
        <f t="shared" si="249"/>
        <v>235620</v>
      </c>
      <c r="M269" s="261">
        <f>E269*D269*31</f>
        <v>243474</v>
      </c>
      <c r="N269" s="261">
        <f t="shared" si="269"/>
        <v>243474</v>
      </c>
      <c r="O269" s="261">
        <f t="shared" si="270"/>
        <v>235620</v>
      </c>
      <c r="P269" s="261">
        <f t="shared" si="275"/>
        <v>243474</v>
      </c>
      <c r="Q269" s="261">
        <f t="shared" si="276"/>
        <v>235620</v>
      </c>
      <c r="R269" s="273">
        <f t="shared" si="277"/>
        <v>243474</v>
      </c>
      <c r="S269" s="245">
        <f t="shared" si="260"/>
        <v>275</v>
      </c>
      <c r="T269"/>
      <c r="U269"/>
    </row>
    <row r="270" spans="1:23" s="245" customFormat="1" x14ac:dyDescent="0.25">
      <c r="A270" s="354"/>
      <c r="B270" s="329">
        <v>10</v>
      </c>
      <c r="C270" s="276" t="s">
        <v>55</v>
      </c>
      <c r="D270" s="271">
        <v>71.400000000000006</v>
      </c>
      <c r="E270" s="272">
        <v>1</v>
      </c>
      <c r="F270" s="261">
        <f t="shared" si="246"/>
        <v>4355.3999999999996</v>
      </c>
      <c r="G270" s="262"/>
      <c r="H270" s="262"/>
      <c r="I270" s="261"/>
      <c r="J270" s="261">
        <f>E270*D270*30</f>
        <v>2142</v>
      </c>
      <c r="K270" s="261">
        <f>E270*D270*31</f>
        <v>2213.4</v>
      </c>
      <c r="L270" s="261"/>
      <c r="M270" s="261"/>
      <c r="N270" s="261"/>
      <c r="O270" s="261"/>
      <c r="P270" s="261"/>
      <c r="Q270" s="261"/>
      <c r="R270" s="273"/>
      <c r="S270" s="245">
        <f>30+31</f>
        <v>61</v>
      </c>
      <c r="T270"/>
      <c r="U270"/>
    </row>
    <row r="271" spans="1:23" s="245" customFormat="1" x14ac:dyDescent="0.25">
      <c r="A271" s="354"/>
      <c r="B271" s="329">
        <v>10</v>
      </c>
      <c r="C271" s="276" t="s">
        <v>55</v>
      </c>
      <c r="D271" s="271">
        <v>71.400000000000006</v>
      </c>
      <c r="E271" s="272">
        <v>19</v>
      </c>
      <c r="F271" s="261">
        <f t="shared" si="246"/>
        <v>248257.8</v>
      </c>
      <c r="G271" s="261"/>
      <c r="H271" s="262"/>
      <c r="I271" s="261"/>
      <c r="J271" s="261">
        <f t="shared" si="247"/>
        <v>40698</v>
      </c>
      <c r="K271" s="261">
        <f t="shared" si="248"/>
        <v>42054.6</v>
      </c>
      <c r="L271" s="261">
        <f t="shared" si="249"/>
        <v>40698</v>
      </c>
      <c r="M271" s="261">
        <f t="shared" si="255"/>
        <v>42054.6</v>
      </c>
      <c r="N271" s="261">
        <f>E271*D271*31</f>
        <v>42054.6</v>
      </c>
      <c r="O271" s="261">
        <f>E271*D271*30</f>
        <v>40698</v>
      </c>
      <c r="P271" s="261"/>
      <c r="Q271" s="261"/>
      <c r="R271" s="273"/>
      <c r="S271" s="245">
        <f>30+31+30+31+31+30</f>
        <v>183</v>
      </c>
      <c r="T271"/>
      <c r="U271"/>
    </row>
    <row r="272" spans="1:23" s="245" customFormat="1" x14ac:dyDescent="0.25">
      <c r="A272" s="354"/>
      <c r="B272" s="329">
        <v>10</v>
      </c>
      <c r="C272" s="276" t="s">
        <v>55</v>
      </c>
      <c r="D272" s="271">
        <v>71.400000000000006</v>
      </c>
      <c r="E272" s="272">
        <v>19</v>
      </c>
      <c r="F272" s="261">
        <f t="shared" ref="F272" si="284">+E272*S272*D272</f>
        <v>124807.2</v>
      </c>
      <c r="G272" s="261"/>
      <c r="H272" s="262"/>
      <c r="I272" s="261"/>
      <c r="J272" s="261"/>
      <c r="K272" s="261"/>
      <c r="L272" s="261"/>
      <c r="M272" s="261"/>
      <c r="N272" s="261"/>
      <c r="O272" s="261"/>
      <c r="P272" s="261">
        <f>E272*D272*31</f>
        <v>42054.6</v>
      </c>
      <c r="Q272" s="261">
        <f>E272*D272*30</f>
        <v>40698</v>
      </c>
      <c r="R272" s="273">
        <f>E272*D272*31</f>
        <v>42054.6</v>
      </c>
      <c r="S272" s="245">
        <f>31+30+31</f>
        <v>92</v>
      </c>
      <c r="T272"/>
      <c r="U272"/>
    </row>
    <row r="273" spans="1:22" s="245" customFormat="1" x14ac:dyDescent="0.25">
      <c r="A273" s="354"/>
      <c r="B273" s="329">
        <v>10</v>
      </c>
      <c r="C273" s="276" t="s">
        <v>55</v>
      </c>
      <c r="D273" s="271">
        <v>71.400000000000006</v>
      </c>
      <c r="E273" s="272">
        <v>1</v>
      </c>
      <c r="F273" s="261">
        <f t="shared" si="246"/>
        <v>4355.3999999999996</v>
      </c>
      <c r="G273" s="262"/>
      <c r="H273" s="262"/>
      <c r="I273" s="261"/>
      <c r="J273" s="261">
        <f t="shared" ref="J273" si="285">E273*D273*30</f>
        <v>2142</v>
      </c>
      <c r="K273" s="261">
        <f>E273*D273*31</f>
        <v>2213.4</v>
      </c>
      <c r="L273" s="261"/>
      <c r="M273" s="326"/>
      <c r="N273" s="261"/>
      <c r="O273" s="261"/>
      <c r="P273" s="261"/>
      <c r="Q273" s="261"/>
      <c r="R273" s="273"/>
      <c r="S273" s="245">
        <f>30+31</f>
        <v>61</v>
      </c>
      <c r="T273"/>
      <c r="U273"/>
    </row>
    <row r="274" spans="1:22" s="245" customFormat="1" x14ac:dyDescent="0.25">
      <c r="A274" s="354"/>
      <c r="B274" s="329">
        <v>10</v>
      </c>
      <c r="C274" s="276" t="s">
        <v>55</v>
      </c>
      <c r="D274" s="271">
        <v>71.400000000000006</v>
      </c>
      <c r="E274" s="272">
        <v>68</v>
      </c>
      <c r="F274" s="261">
        <f t="shared" si="246"/>
        <v>291312</v>
      </c>
      <c r="G274" s="262"/>
      <c r="H274" s="262"/>
      <c r="I274" s="261"/>
      <c r="J274" s="261"/>
      <c r="K274" s="261">
        <f>E274*D274*57</f>
        <v>276746.40000000002</v>
      </c>
      <c r="L274" s="261">
        <f>E274*D274*3</f>
        <v>14565.6</v>
      </c>
      <c r="M274" s="261">
        <v>-8139.6</v>
      </c>
      <c r="N274" s="261"/>
      <c r="O274" s="261"/>
      <c r="P274" s="261">
        <v>8139.6</v>
      </c>
      <c r="Q274" s="261"/>
      <c r="R274" s="273"/>
      <c r="S274" s="245">
        <f>57+3</f>
        <v>60</v>
      </c>
      <c r="T274"/>
      <c r="U274"/>
    </row>
    <row r="275" spans="1:22" s="245" customFormat="1" x14ac:dyDescent="0.25">
      <c r="A275" s="354"/>
      <c r="B275" s="329">
        <v>10</v>
      </c>
      <c r="C275" s="276" t="s">
        <v>55</v>
      </c>
      <c r="D275" s="271">
        <v>71.400000000000006</v>
      </c>
      <c r="E275" s="272">
        <v>1</v>
      </c>
      <c r="F275" s="261">
        <f t="shared" si="246"/>
        <v>4284</v>
      </c>
      <c r="G275" s="261"/>
      <c r="H275" s="262"/>
      <c r="I275" s="261"/>
      <c r="J275" s="261"/>
      <c r="K275" s="261"/>
      <c r="L275" s="261">
        <f>E275*D275*59</f>
        <v>4212.6000000000004</v>
      </c>
      <c r="M275" s="261">
        <f>E275*D275*1</f>
        <v>71.400000000000006</v>
      </c>
      <c r="N275" s="261"/>
      <c r="O275" s="261"/>
      <c r="P275" s="261"/>
      <c r="Q275" s="261"/>
      <c r="R275" s="273"/>
      <c r="S275" s="245">
        <f>29+30+1</f>
        <v>60</v>
      </c>
      <c r="T275"/>
      <c r="U275"/>
    </row>
    <row r="276" spans="1:22" s="419" customFormat="1" x14ac:dyDescent="0.25">
      <c r="A276" s="414"/>
      <c r="B276" s="415">
        <v>11</v>
      </c>
      <c r="C276" s="416" t="s">
        <v>62</v>
      </c>
      <c r="D276" s="417">
        <v>71.400000000000006</v>
      </c>
      <c r="E276" s="317">
        <v>1</v>
      </c>
      <c r="F276" s="321">
        <f t="shared" si="246"/>
        <v>8710.7999999999993</v>
      </c>
      <c r="G276" s="321"/>
      <c r="H276" s="418"/>
      <c r="I276" s="321"/>
      <c r="J276" s="321"/>
      <c r="K276" s="321"/>
      <c r="L276" s="321"/>
      <c r="M276" s="321"/>
      <c r="N276" s="321"/>
      <c r="O276" s="321"/>
      <c r="P276" s="321">
        <f>E276*D276*61</f>
        <v>4355.3999999999996</v>
      </c>
      <c r="Q276" s="321">
        <f>E276*D276*30</f>
        <v>2142</v>
      </c>
      <c r="R276" s="322">
        <f>E276*D276*31</f>
        <v>2213.4</v>
      </c>
      <c r="S276" s="419">
        <f>30+31+30+31</f>
        <v>122</v>
      </c>
      <c r="T276"/>
      <c r="U276"/>
    </row>
    <row r="277" spans="1:22" s="245" customFormat="1" x14ac:dyDescent="0.25">
      <c r="A277" s="354"/>
      <c r="B277" s="329">
        <v>11</v>
      </c>
      <c r="C277" s="276" t="s">
        <v>62</v>
      </c>
      <c r="D277" s="271">
        <v>71.400000000000006</v>
      </c>
      <c r="E277" s="272">
        <v>14</v>
      </c>
      <c r="F277" s="261">
        <f t="shared" si="246"/>
        <v>274890</v>
      </c>
      <c r="G277" s="261"/>
      <c r="H277" s="262"/>
      <c r="I277" s="261"/>
      <c r="J277" s="261">
        <f t="shared" si="247"/>
        <v>29988</v>
      </c>
      <c r="K277" s="261">
        <f t="shared" si="248"/>
        <v>30987.599999999999</v>
      </c>
      <c r="L277" s="261">
        <f t="shared" si="249"/>
        <v>29988</v>
      </c>
      <c r="M277" s="261">
        <f t="shared" si="255"/>
        <v>30987.599999999999</v>
      </c>
      <c r="N277" s="261">
        <f>E277*D277*31</f>
        <v>30987.599999999999</v>
      </c>
      <c r="O277" s="261">
        <f>E277*D277*30</f>
        <v>29988</v>
      </c>
      <c r="P277" s="261">
        <f>E277*D277*31</f>
        <v>30987.599999999999</v>
      </c>
      <c r="Q277" s="261">
        <f>E277*D277*30</f>
        <v>29988</v>
      </c>
      <c r="R277" s="273">
        <f>E277*D277*31</f>
        <v>30987.599999999999</v>
      </c>
      <c r="S277" s="245">
        <f>365-31-28-31</f>
        <v>275</v>
      </c>
      <c r="T277"/>
      <c r="U277"/>
    </row>
    <row r="278" spans="1:22" s="245" customFormat="1" x14ac:dyDescent="0.25">
      <c r="A278" s="354"/>
      <c r="B278" s="329">
        <v>11</v>
      </c>
      <c r="C278" s="276" t="s">
        <v>62</v>
      </c>
      <c r="D278" s="271">
        <v>71.400000000000006</v>
      </c>
      <c r="E278" s="272">
        <v>1</v>
      </c>
      <c r="F278" s="261">
        <f t="shared" si="246"/>
        <v>21705.599999999999</v>
      </c>
      <c r="G278" s="261"/>
      <c r="H278" s="262"/>
      <c r="I278" s="261"/>
      <c r="J278" s="261">
        <f t="shared" ref="J278" si="286">E278*D278*30</f>
        <v>2142</v>
      </c>
      <c r="K278" s="261">
        <f t="shared" ref="K278" si="287">E278*D278*31</f>
        <v>2213.4</v>
      </c>
      <c r="L278" s="261">
        <f t="shared" ref="L278" si="288">E278*D278*30</f>
        <v>2142</v>
      </c>
      <c r="M278" s="261">
        <f t="shared" ref="M278" si="289">E278*D278*31</f>
        <v>2213.4</v>
      </c>
      <c r="N278" s="261">
        <f>E278*D278*31+(D278*28)</f>
        <v>4212.6000000000004</v>
      </c>
      <c r="O278" s="261">
        <f>E278*D278*30</f>
        <v>2142</v>
      </c>
      <c r="P278" s="261">
        <f>E278*D278*31</f>
        <v>2213.4</v>
      </c>
      <c r="Q278" s="261">
        <f>E278*D278*30</f>
        <v>2142</v>
      </c>
      <c r="R278" s="273">
        <f>E278*D278*31</f>
        <v>2213.4</v>
      </c>
      <c r="S278" s="245">
        <f>30+31+30+31+31+30+31+30+31+29</f>
        <v>304</v>
      </c>
    </row>
    <row r="279" spans="1:22" s="245" customFormat="1" x14ac:dyDescent="0.25">
      <c r="A279" s="354"/>
      <c r="B279" s="329">
        <v>11</v>
      </c>
      <c r="C279" s="276" t="s">
        <v>62</v>
      </c>
      <c r="D279" s="271">
        <v>71.400000000000006</v>
      </c>
      <c r="E279" s="272">
        <v>1</v>
      </c>
      <c r="F279" s="261">
        <f t="shared" ref="F279" si="290">+E279*S279*D279</f>
        <v>9853.2000000000007</v>
      </c>
      <c r="G279" s="261"/>
      <c r="H279" s="262"/>
      <c r="I279" s="261"/>
      <c r="J279" s="261">
        <f t="shared" ref="J279" si="291">E279*D279*30</f>
        <v>2142</v>
      </c>
      <c r="K279" s="261">
        <f t="shared" ref="K279" si="292">E279*D279*31</f>
        <v>2213.4</v>
      </c>
      <c r="L279" s="261">
        <f t="shared" ref="L279" si="293">E279*D279*30</f>
        <v>2142</v>
      </c>
      <c r="M279" s="261">
        <f t="shared" ref="M279" si="294">E279*D279*31</f>
        <v>2213.4</v>
      </c>
      <c r="N279" s="261">
        <f>E279*D279*16</f>
        <v>1142.4000000000001</v>
      </c>
      <c r="O279" s="261"/>
      <c r="P279" s="261"/>
      <c r="Q279" s="261"/>
      <c r="R279" s="273"/>
      <c r="S279" s="245">
        <f>30+31+30+31+16</f>
        <v>138</v>
      </c>
      <c r="T279"/>
      <c r="U279"/>
    </row>
    <row r="280" spans="1:22" s="245" customFormat="1" x14ac:dyDescent="0.25">
      <c r="A280" s="354"/>
      <c r="B280" s="329">
        <v>11</v>
      </c>
      <c r="C280" s="276" t="s">
        <v>62</v>
      </c>
      <c r="D280" s="271">
        <v>71.400000000000006</v>
      </c>
      <c r="E280" s="272">
        <v>6</v>
      </c>
      <c r="F280" s="261">
        <f t="shared" si="246"/>
        <v>78397.2</v>
      </c>
      <c r="G280" s="261"/>
      <c r="H280" s="262"/>
      <c r="I280" s="261"/>
      <c r="J280" s="261">
        <f t="shared" si="247"/>
        <v>12852</v>
      </c>
      <c r="K280" s="261">
        <f t="shared" si="248"/>
        <v>13280.4</v>
      </c>
      <c r="L280" s="261">
        <f t="shared" si="249"/>
        <v>12852</v>
      </c>
      <c r="M280" s="261">
        <f t="shared" si="255"/>
        <v>13280.4</v>
      </c>
      <c r="N280" s="261">
        <f>E280*D280*31</f>
        <v>13280.4</v>
      </c>
      <c r="O280" s="261">
        <f>E280*D280*30</f>
        <v>12852</v>
      </c>
      <c r="P280" s="261"/>
      <c r="Q280" s="261"/>
      <c r="R280" s="273"/>
      <c r="S280" s="245">
        <f>30+31+30+31+31+30</f>
        <v>183</v>
      </c>
      <c r="T280"/>
      <c r="U280"/>
    </row>
    <row r="281" spans="1:22" s="245" customFormat="1" x14ac:dyDescent="0.25">
      <c r="A281" s="354"/>
      <c r="B281" s="329">
        <v>11</v>
      </c>
      <c r="C281" s="276" t="s">
        <v>62</v>
      </c>
      <c r="D281" s="271">
        <v>71.400000000000006</v>
      </c>
      <c r="E281" s="272">
        <v>6</v>
      </c>
      <c r="F281" s="261">
        <f t="shared" ref="F281" si="295">+E281*S281*D281</f>
        <v>39412.800000000003</v>
      </c>
      <c r="G281" s="261"/>
      <c r="H281" s="262"/>
      <c r="I281" s="261"/>
      <c r="J281" s="261"/>
      <c r="K281" s="261"/>
      <c r="L281" s="261"/>
      <c r="M281" s="261"/>
      <c r="N281" s="261"/>
      <c r="O281" s="261"/>
      <c r="P281" s="261">
        <f>E281*D281*31</f>
        <v>13280.4</v>
      </c>
      <c r="Q281" s="261">
        <f>E281*D281*30</f>
        <v>12852</v>
      </c>
      <c r="R281" s="273">
        <f>E281*D281*31</f>
        <v>13280.4</v>
      </c>
      <c r="S281" s="245">
        <f>31+30+31</f>
        <v>92</v>
      </c>
      <c r="T281"/>
      <c r="U281"/>
    </row>
    <row r="282" spans="1:22" ht="15" customHeight="1" x14ac:dyDescent="0.25">
      <c r="A282" s="348"/>
      <c r="B282" s="329">
        <v>12</v>
      </c>
      <c r="C282" s="276" t="s">
        <v>93</v>
      </c>
      <c r="D282" s="271">
        <v>78.25</v>
      </c>
      <c r="E282" s="272">
        <v>1</v>
      </c>
      <c r="F282" s="261">
        <f t="shared" si="246"/>
        <v>21518.75</v>
      </c>
      <c r="G282" s="261"/>
      <c r="H282" s="262"/>
      <c r="I282" s="261"/>
      <c r="J282" s="261">
        <f t="shared" si="247"/>
        <v>2347.5</v>
      </c>
      <c r="K282" s="261">
        <f t="shared" si="248"/>
        <v>2425.75</v>
      </c>
      <c r="L282" s="261">
        <f t="shared" si="249"/>
        <v>2347.5</v>
      </c>
      <c r="M282" s="261">
        <f t="shared" si="255"/>
        <v>2425.75</v>
      </c>
      <c r="N282" s="261">
        <f>E282*D282*31</f>
        <v>2425.75</v>
      </c>
      <c r="O282" s="261">
        <f>E282*D282*30</f>
        <v>2347.5</v>
      </c>
      <c r="P282" s="261">
        <f>E282*D282*31</f>
        <v>2425.75</v>
      </c>
      <c r="Q282" s="261">
        <f>E282*D282*30</f>
        <v>2347.5</v>
      </c>
      <c r="R282" s="273">
        <f>E282*D282*31</f>
        <v>2425.75</v>
      </c>
      <c r="S282">
        <f>365-31-28-31</f>
        <v>275</v>
      </c>
    </row>
    <row r="283" spans="1:22" ht="15.75" thickBot="1" x14ac:dyDescent="0.3">
      <c r="A283" s="348"/>
      <c r="B283" s="351"/>
      <c r="C283" s="343" t="s">
        <v>40</v>
      </c>
      <c r="D283" s="83"/>
      <c r="E283" s="84"/>
      <c r="F283" s="86">
        <f>4438926-SUM(F248:F282)+143000-88000</f>
        <v>8674.25</v>
      </c>
      <c r="G283" s="103"/>
      <c r="H283" s="87"/>
      <c r="I283" s="86"/>
      <c r="J283" s="86"/>
      <c r="K283" s="86"/>
      <c r="L283" s="86"/>
      <c r="M283" s="86"/>
      <c r="N283" s="86"/>
      <c r="O283" s="86"/>
      <c r="P283" s="86"/>
      <c r="Q283" s="86"/>
      <c r="R283" s="273"/>
      <c r="S283" s="357">
        <f>+T283-F283</f>
        <v>0</v>
      </c>
      <c r="T283" s="1">
        <v>8674.25</v>
      </c>
    </row>
    <row r="284" spans="1:22" ht="39" customHeight="1" x14ac:dyDescent="0.25">
      <c r="A284" s="348"/>
      <c r="B284" s="380"/>
      <c r="C284" s="480" t="s">
        <v>94</v>
      </c>
      <c r="D284" s="466"/>
      <c r="E284" s="113"/>
      <c r="F284" s="114"/>
      <c r="G284" s="114"/>
      <c r="H284" s="115"/>
      <c r="I284" s="114"/>
      <c r="J284" s="114"/>
      <c r="K284" s="114"/>
      <c r="L284" s="114"/>
      <c r="M284" s="114"/>
      <c r="N284" s="114"/>
      <c r="O284" s="114"/>
      <c r="P284" s="114"/>
      <c r="Q284" s="114"/>
      <c r="R284" s="116"/>
      <c r="S284" s="1"/>
    </row>
    <row r="285" spans="1:22" ht="33" customHeight="1" thickBot="1" x14ac:dyDescent="0.3">
      <c r="A285" s="348"/>
      <c r="B285" s="383"/>
      <c r="C285" s="449" t="s">
        <v>95</v>
      </c>
      <c r="D285" s="449"/>
      <c r="E285" s="135">
        <f>SUM(E287:E313)</f>
        <v>118</v>
      </c>
      <c r="F285" s="136">
        <f>SUM(F287:F313)</f>
        <v>2944637</v>
      </c>
      <c r="G285" s="136">
        <f t="shared" ref="G285:Q285" si="296">SUM(G287:G312)</f>
        <v>240746.31</v>
      </c>
      <c r="H285" s="136">
        <f t="shared" si="296"/>
        <v>221437.98</v>
      </c>
      <c r="I285" s="136">
        <f t="shared" si="296"/>
        <v>242995.05</v>
      </c>
      <c r="J285" s="136">
        <f t="shared" si="296"/>
        <v>230686.8</v>
      </c>
      <c r="K285" s="136">
        <f t="shared" si="296"/>
        <v>236162.96</v>
      </c>
      <c r="L285" s="136">
        <f t="shared" si="296"/>
        <v>236192.81</v>
      </c>
      <c r="M285" s="136">
        <f t="shared" si="296"/>
        <v>255659.89</v>
      </c>
      <c r="N285" s="136">
        <f t="shared" si="296"/>
        <v>260834.93</v>
      </c>
      <c r="O285" s="136">
        <f t="shared" si="296"/>
        <v>250782.3</v>
      </c>
      <c r="P285" s="136">
        <f t="shared" si="296"/>
        <v>261319.41</v>
      </c>
      <c r="Q285" s="136">
        <f t="shared" si="296"/>
        <v>249711.3</v>
      </c>
      <c r="R285" s="137">
        <f>SUM(R287:R313)</f>
        <v>255821.61</v>
      </c>
      <c r="S285" s="356"/>
    </row>
    <row r="286" spans="1:22" x14ac:dyDescent="0.25">
      <c r="A286" s="348"/>
      <c r="B286" s="351"/>
      <c r="C286" s="345"/>
      <c r="D286" s="345"/>
      <c r="E286" s="441" t="s">
        <v>151</v>
      </c>
      <c r="F286" s="294">
        <v>0</v>
      </c>
      <c r="G286" s="253"/>
      <c r="H286" s="253"/>
      <c r="I286" s="253"/>
      <c r="J286" s="253"/>
      <c r="K286" s="253"/>
      <c r="L286" s="253"/>
      <c r="M286" s="253"/>
      <c r="N286" s="253"/>
      <c r="O286" s="253"/>
      <c r="P286" s="253"/>
      <c r="Q286" s="253"/>
      <c r="R286" s="254"/>
      <c r="V286" s="249"/>
    </row>
    <row r="287" spans="1:22" x14ac:dyDescent="0.25">
      <c r="A287" s="348"/>
      <c r="B287" s="257">
        <v>1</v>
      </c>
      <c r="C287" s="302" t="s">
        <v>44</v>
      </c>
      <c r="D287" s="107">
        <v>72.540000000000006</v>
      </c>
      <c r="E287" s="307">
        <v>34</v>
      </c>
      <c r="F287" s="288">
        <f t="shared" ref="F287:F311" si="297">+E287*S287*D287</f>
        <v>900221.4</v>
      </c>
      <c r="G287" s="261">
        <f>E287*D287*31-(D287*31)</f>
        <v>74208.42</v>
      </c>
      <c r="H287" s="262">
        <f>E287*D287*28+(D287*27*1)</f>
        <v>71016.66</v>
      </c>
      <c r="I287" s="261">
        <f t="shared" ref="I287:I312" si="298">E287*D287*31</f>
        <v>76457.16</v>
      </c>
      <c r="J287" s="261">
        <f t="shared" ref="J287:J312" si="299">E287*D287*30</f>
        <v>73990.8</v>
      </c>
      <c r="K287" s="261">
        <f t="shared" ref="K287:K312" si="300">E287*D287*31</f>
        <v>76457.16</v>
      </c>
      <c r="L287" s="261">
        <f t="shared" ref="L287:L312" si="301">E287*D287*30</f>
        <v>73990.8</v>
      </c>
      <c r="M287" s="261">
        <f t="shared" ref="M287:M312" si="302">E287*D287*31</f>
        <v>76457.16</v>
      </c>
      <c r="N287" s="86">
        <f>E287*D287*31</f>
        <v>76457.16</v>
      </c>
      <c r="O287" s="86">
        <f>E287*D287*30</f>
        <v>73990.8</v>
      </c>
      <c r="P287" s="86">
        <f>E287*D287*31</f>
        <v>76457.16</v>
      </c>
      <c r="Q287" s="86">
        <f>E287*D287*30</f>
        <v>73990.8</v>
      </c>
      <c r="R287" s="102">
        <f>E287*D287*31</f>
        <v>76457.16</v>
      </c>
      <c r="S287">
        <v>365</v>
      </c>
    </row>
    <row r="288" spans="1:22" x14ac:dyDescent="0.25">
      <c r="A288" s="348"/>
      <c r="B288" s="351">
        <v>2</v>
      </c>
      <c r="C288" s="303" t="s">
        <v>96</v>
      </c>
      <c r="D288" s="83">
        <v>73.59</v>
      </c>
      <c r="E288" s="272">
        <v>2</v>
      </c>
      <c r="F288" s="261">
        <f t="shared" si="297"/>
        <v>53720.7</v>
      </c>
      <c r="G288" s="261">
        <f t="shared" ref="G288:G312" si="303">E288*D288*31</f>
        <v>4562.58</v>
      </c>
      <c r="H288" s="262">
        <f t="shared" ref="H288:H312" si="304">E288*D288*28</f>
        <v>4121.04</v>
      </c>
      <c r="I288" s="261">
        <f t="shared" si="298"/>
        <v>4562.58</v>
      </c>
      <c r="J288" s="261">
        <f t="shared" si="299"/>
        <v>4415.3999999999996</v>
      </c>
      <c r="K288" s="261">
        <f t="shared" si="300"/>
        <v>4562.58</v>
      </c>
      <c r="L288" s="261">
        <f t="shared" si="301"/>
        <v>4415.3999999999996</v>
      </c>
      <c r="M288" s="261">
        <f t="shared" si="302"/>
        <v>4562.58</v>
      </c>
      <c r="N288" s="86">
        <f>E288*D288*31</f>
        <v>4562.58</v>
      </c>
      <c r="O288" s="86">
        <f>E288*D288*30</f>
        <v>4415.3999999999996</v>
      </c>
      <c r="P288" s="86">
        <f>E288*D288*31</f>
        <v>4562.58</v>
      </c>
      <c r="Q288" s="86">
        <f>E288*D288*30</f>
        <v>4415.3999999999996</v>
      </c>
      <c r="R288" s="102">
        <f>E288*D288*31</f>
        <v>4562.58</v>
      </c>
      <c r="S288">
        <v>365</v>
      </c>
    </row>
    <row r="289" spans="1:22" x14ac:dyDescent="0.25">
      <c r="A289" s="348"/>
      <c r="B289" s="351">
        <v>3</v>
      </c>
      <c r="C289" s="303" t="s">
        <v>89</v>
      </c>
      <c r="D289" s="83">
        <v>71.400000000000006</v>
      </c>
      <c r="E289" s="272">
        <v>29</v>
      </c>
      <c r="F289" s="261">
        <f t="shared" si="297"/>
        <v>755769</v>
      </c>
      <c r="G289" s="261">
        <f t="shared" si="303"/>
        <v>64188.6</v>
      </c>
      <c r="H289" s="262">
        <f t="shared" si="304"/>
        <v>57976.800000000003</v>
      </c>
      <c r="I289" s="261">
        <f t="shared" si="298"/>
        <v>64188.6</v>
      </c>
      <c r="J289" s="261">
        <f t="shared" si="299"/>
        <v>62118</v>
      </c>
      <c r="K289" s="261">
        <f t="shared" si="300"/>
        <v>64188.6</v>
      </c>
      <c r="L289" s="261">
        <f t="shared" si="301"/>
        <v>62118</v>
      </c>
      <c r="M289" s="261">
        <f t="shared" si="302"/>
        <v>64188.6</v>
      </c>
      <c r="N289" s="86">
        <f>E289*D289*31</f>
        <v>64188.6</v>
      </c>
      <c r="O289" s="86">
        <f>E289*D289*30</f>
        <v>62118</v>
      </c>
      <c r="P289" s="86">
        <f>E289*D289*31</f>
        <v>64188.6</v>
      </c>
      <c r="Q289" s="86">
        <f>E289*D289*30</f>
        <v>62118</v>
      </c>
      <c r="R289" s="102">
        <f>E289*D289*31</f>
        <v>64188.6</v>
      </c>
      <c r="S289">
        <v>365</v>
      </c>
    </row>
    <row r="290" spans="1:22" s="245" customFormat="1" x14ac:dyDescent="0.25">
      <c r="A290" s="354"/>
      <c r="B290" s="329">
        <v>3</v>
      </c>
      <c r="C290" s="304" t="s">
        <v>89</v>
      </c>
      <c r="D290" s="271">
        <v>71.400000000000006</v>
      </c>
      <c r="E290" s="272">
        <v>1</v>
      </c>
      <c r="F290" s="261">
        <f t="shared" si="297"/>
        <v>21705.599999999999</v>
      </c>
      <c r="G290" s="261">
        <f t="shared" ref="G290" si="305">E290*D290*31</f>
        <v>2213.4</v>
      </c>
      <c r="H290" s="262">
        <f t="shared" ref="H290" si="306">E290*D290*28</f>
        <v>1999.2</v>
      </c>
      <c r="I290" s="261">
        <f t="shared" ref="I290" si="307">E290*D290*31</f>
        <v>2213.4</v>
      </c>
      <c r="J290" s="261">
        <f t="shared" ref="J290" si="308">E290*D290*30</f>
        <v>2142</v>
      </c>
      <c r="K290" s="261">
        <f t="shared" ref="K290" si="309">E290*D290*31</f>
        <v>2213.4</v>
      </c>
      <c r="L290" s="261">
        <f t="shared" ref="L290" si="310">E290*D290*30</f>
        <v>2142</v>
      </c>
      <c r="M290" s="261">
        <f t="shared" ref="M290" si="311">E290*D290*31</f>
        <v>2213.4</v>
      </c>
      <c r="N290" s="261">
        <f>E290*D290*31</f>
        <v>2213.4</v>
      </c>
      <c r="O290" s="261">
        <f>E290*D290*30</f>
        <v>2142</v>
      </c>
      <c r="P290" s="261">
        <f>E290*D290*31</f>
        <v>2213.4</v>
      </c>
      <c r="Q290" s="261"/>
      <c r="R290" s="273"/>
      <c r="S290" s="245">
        <f>31+28+31+30+31+30+31+31+30+31</f>
        <v>304</v>
      </c>
      <c r="T290"/>
      <c r="U290"/>
    </row>
    <row r="291" spans="1:22" s="245" customFormat="1" x14ac:dyDescent="0.25">
      <c r="A291" s="354"/>
      <c r="B291" s="329">
        <v>3</v>
      </c>
      <c r="C291" s="304" t="s">
        <v>89</v>
      </c>
      <c r="D291" s="271">
        <v>71.400000000000006</v>
      </c>
      <c r="E291" s="272">
        <v>1</v>
      </c>
      <c r="F291" s="261">
        <f t="shared" si="297"/>
        <v>6426</v>
      </c>
      <c r="G291" s="261">
        <f>E291*D291*31</f>
        <v>2213.4</v>
      </c>
      <c r="H291" s="262">
        <f>E291*D291*28</f>
        <v>1999.2</v>
      </c>
      <c r="I291" s="261">
        <f>E291*D291*31</f>
        <v>2213.4</v>
      </c>
      <c r="J291" s="261"/>
      <c r="K291" s="261"/>
      <c r="L291" s="261"/>
      <c r="M291" s="261"/>
      <c r="N291" s="261"/>
      <c r="O291" s="261"/>
      <c r="P291" s="261"/>
      <c r="Q291" s="261"/>
      <c r="R291" s="273"/>
      <c r="S291" s="245">
        <v>90</v>
      </c>
      <c r="T291"/>
      <c r="U291"/>
    </row>
    <row r="292" spans="1:22" s="245" customFormat="1" x14ac:dyDescent="0.25">
      <c r="A292" s="354"/>
      <c r="B292" s="329">
        <v>4</v>
      </c>
      <c r="C292" s="304" t="s">
        <v>97</v>
      </c>
      <c r="D292" s="271">
        <v>71.400000000000006</v>
      </c>
      <c r="E292" s="272">
        <v>1</v>
      </c>
      <c r="F292" s="261">
        <f t="shared" si="297"/>
        <v>26061</v>
      </c>
      <c r="G292" s="261">
        <f t="shared" si="303"/>
        <v>2213.4</v>
      </c>
      <c r="H292" s="262">
        <f t="shared" si="304"/>
        <v>1999.2</v>
      </c>
      <c r="I292" s="261">
        <f t="shared" si="298"/>
        <v>2213.4</v>
      </c>
      <c r="J292" s="261">
        <f t="shared" si="299"/>
        <v>2142</v>
      </c>
      <c r="K292" s="261">
        <f t="shared" si="300"/>
        <v>2213.4</v>
      </c>
      <c r="L292" s="261">
        <f t="shared" si="301"/>
        <v>2142</v>
      </c>
      <c r="M292" s="261">
        <f t="shared" si="302"/>
        <v>2213.4</v>
      </c>
      <c r="N292" s="261">
        <f>E292*D292*31</f>
        <v>2213.4</v>
      </c>
      <c r="O292" s="261">
        <f>E292*D292*30</f>
        <v>2142</v>
      </c>
      <c r="P292" s="261">
        <f>E292*D292*31</f>
        <v>2213.4</v>
      </c>
      <c r="Q292" s="261">
        <f>E292*D292*30</f>
        <v>2142</v>
      </c>
      <c r="R292" s="273">
        <f>E292*D292*31</f>
        <v>2213.4</v>
      </c>
      <c r="S292" s="245">
        <v>365</v>
      </c>
      <c r="T292"/>
      <c r="U292"/>
    </row>
    <row r="293" spans="1:22" s="245" customFormat="1" x14ac:dyDescent="0.25">
      <c r="A293" s="354"/>
      <c r="B293" s="329">
        <v>5</v>
      </c>
      <c r="C293" s="304" t="s">
        <v>98</v>
      </c>
      <c r="D293" s="271">
        <v>71.400000000000006</v>
      </c>
      <c r="E293" s="272">
        <v>1</v>
      </c>
      <c r="F293" s="261">
        <f t="shared" si="297"/>
        <v>26061</v>
      </c>
      <c r="G293" s="261">
        <f t="shared" si="303"/>
        <v>2213.4</v>
      </c>
      <c r="H293" s="262">
        <f t="shared" si="304"/>
        <v>1999.2</v>
      </c>
      <c r="I293" s="261">
        <f t="shared" si="298"/>
        <v>2213.4</v>
      </c>
      <c r="J293" s="261">
        <f t="shared" si="299"/>
        <v>2142</v>
      </c>
      <c r="K293" s="261">
        <f t="shared" si="300"/>
        <v>2213.4</v>
      </c>
      <c r="L293" s="261">
        <f t="shared" si="301"/>
        <v>2142</v>
      </c>
      <c r="M293" s="261">
        <f t="shared" si="302"/>
        <v>2213.4</v>
      </c>
      <c r="N293" s="261">
        <f>E293*D293*31</f>
        <v>2213.4</v>
      </c>
      <c r="O293" s="261">
        <f>E293*D293*30</f>
        <v>2142</v>
      </c>
      <c r="P293" s="261">
        <f>E293*D293*31</f>
        <v>2213.4</v>
      </c>
      <c r="Q293" s="261">
        <f>E293*D293*30</f>
        <v>2142</v>
      </c>
      <c r="R293" s="273">
        <f>E293*D293*31</f>
        <v>2213.4</v>
      </c>
      <c r="S293" s="245">
        <v>365</v>
      </c>
      <c r="T293"/>
      <c r="U293"/>
    </row>
    <row r="294" spans="1:22" s="245" customFormat="1" x14ac:dyDescent="0.25">
      <c r="A294" s="354"/>
      <c r="B294" s="329">
        <v>6</v>
      </c>
      <c r="C294" s="304" t="s">
        <v>36</v>
      </c>
      <c r="D294" s="271">
        <v>71.400000000000006</v>
      </c>
      <c r="E294" s="272">
        <v>9</v>
      </c>
      <c r="F294" s="261">
        <f t="shared" si="297"/>
        <v>234549</v>
      </c>
      <c r="G294" s="261">
        <f t="shared" si="303"/>
        <v>19920.599999999999</v>
      </c>
      <c r="H294" s="262">
        <f t="shared" si="304"/>
        <v>17992.8</v>
      </c>
      <c r="I294" s="261">
        <f t="shared" si="298"/>
        <v>19920.599999999999</v>
      </c>
      <c r="J294" s="261">
        <f t="shared" si="299"/>
        <v>19278</v>
      </c>
      <c r="K294" s="261">
        <f t="shared" si="300"/>
        <v>19920.599999999999</v>
      </c>
      <c r="L294" s="261">
        <f t="shared" si="301"/>
        <v>19278</v>
      </c>
      <c r="M294" s="261">
        <f t="shared" si="302"/>
        <v>19920.599999999999</v>
      </c>
      <c r="N294" s="261">
        <f>E294*D294*31</f>
        <v>19920.599999999999</v>
      </c>
      <c r="O294" s="261">
        <f>E294*D294*30</f>
        <v>19278</v>
      </c>
      <c r="P294" s="261">
        <f>E294*D294*31</f>
        <v>19920.599999999999</v>
      </c>
      <c r="Q294" s="261">
        <f>E294*D294*30</f>
        <v>19278</v>
      </c>
      <c r="R294" s="273">
        <f>E294*D294*31</f>
        <v>19920.599999999999</v>
      </c>
      <c r="S294" s="245">
        <v>365</v>
      </c>
      <c r="T294"/>
      <c r="U294"/>
    </row>
    <row r="295" spans="1:22" s="245" customFormat="1" x14ac:dyDescent="0.25">
      <c r="A295" s="354"/>
      <c r="B295" s="329"/>
      <c r="C295" s="304" t="s">
        <v>36</v>
      </c>
      <c r="D295" s="271">
        <v>71.400000000000006</v>
      </c>
      <c r="E295" s="272">
        <v>1</v>
      </c>
      <c r="F295" s="261">
        <f t="shared" si="297"/>
        <v>23847.599999999999</v>
      </c>
      <c r="G295" s="261">
        <f t="shared" ref="G295" si="312">E295*D295*31</f>
        <v>2213.4</v>
      </c>
      <c r="H295" s="262">
        <f t="shared" ref="H295" si="313">E295*D295*28</f>
        <v>1999.2</v>
      </c>
      <c r="I295" s="261">
        <f t="shared" ref="I295" si="314">E295*D295*31</f>
        <v>2213.4</v>
      </c>
      <c r="J295" s="261">
        <f t="shared" ref="J295" si="315">E295*D295*30</f>
        <v>2142</v>
      </c>
      <c r="K295" s="261">
        <f t="shared" ref="K295" si="316">E295*D295*31</f>
        <v>2213.4</v>
      </c>
      <c r="L295" s="261">
        <f t="shared" ref="L295" si="317">E295*D295*30</f>
        <v>2142</v>
      </c>
      <c r="M295" s="261">
        <f t="shared" ref="M295" si="318">E295*D295*31</f>
        <v>2213.4</v>
      </c>
      <c r="N295" s="261">
        <f>E295*D295*31</f>
        <v>2213.4</v>
      </c>
      <c r="O295" s="261">
        <f>E295*D295*30</f>
        <v>2142</v>
      </c>
      <c r="P295" s="261">
        <f>E295*D295*31</f>
        <v>2213.4</v>
      </c>
      <c r="Q295" s="261">
        <f>E295*D295*30</f>
        <v>2142</v>
      </c>
      <c r="R295" s="273"/>
      <c r="S295" s="245">
        <f>365-31</f>
        <v>334</v>
      </c>
      <c r="T295"/>
      <c r="U295"/>
    </row>
    <row r="296" spans="1:22" s="245" customFormat="1" x14ac:dyDescent="0.25">
      <c r="A296" s="354"/>
      <c r="B296" s="329">
        <v>6</v>
      </c>
      <c r="C296" s="304" t="s">
        <v>36</v>
      </c>
      <c r="D296" s="271">
        <v>71.400000000000006</v>
      </c>
      <c r="E296" s="272">
        <v>1</v>
      </c>
      <c r="F296" s="261">
        <f t="shared" si="297"/>
        <v>8496.6</v>
      </c>
      <c r="G296" s="261">
        <f>E296*D296*31</f>
        <v>2213.4</v>
      </c>
      <c r="H296" s="262">
        <f>E296*D296*28</f>
        <v>1999.2</v>
      </c>
      <c r="I296" s="261">
        <f>E296*D296*31</f>
        <v>2213.4</v>
      </c>
      <c r="J296" s="261">
        <f>E296*D296*30</f>
        <v>2142</v>
      </c>
      <c r="K296" s="261"/>
      <c r="L296" s="261">
        <f>-(142.8)</f>
        <v>-142.80000000000001</v>
      </c>
      <c r="M296" s="261"/>
      <c r="N296" s="261"/>
      <c r="O296" s="261"/>
      <c r="P296" s="261"/>
      <c r="Q296" s="261"/>
      <c r="R296" s="273"/>
      <c r="S296" s="245">
        <f>31+28+31+30-1</f>
        <v>119</v>
      </c>
      <c r="T296"/>
      <c r="U296"/>
      <c r="V296" s="291"/>
    </row>
    <row r="297" spans="1:22" s="245" customFormat="1" x14ac:dyDescent="0.25">
      <c r="A297" s="354"/>
      <c r="B297" s="329">
        <v>7</v>
      </c>
      <c r="C297" s="304" t="s">
        <v>63</v>
      </c>
      <c r="D297" s="271">
        <v>72.540000000000006</v>
      </c>
      <c r="E297" s="272">
        <v>4</v>
      </c>
      <c r="F297" s="261">
        <f>+E297*S297*D297-361.56</f>
        <v>105546.84</v>
      </c>
      <c r="G297" s="261">
        <f t="shared" si="303"/>
        <v>8994.9599999999991</v>
      </c>
      <c r="H297" s="262">
        <f t="shared" si="304"/>
        <v>8124.48</v>
      </c>
      <c r="I297" s="261">
        <f t="shared" si="298"/>
        <v>8994.9599999999991</v>
      </c>
      <c r="J297" s="261">
        <f t="shared" si="299"/>
        <v>8704.7999999999993</v>
      </c>
      <c r="K297" s="261">
        <f t="shared" si="300"/>
        <v>8994.9599999999991</v>
      </c>
      <c r="L297" s="261">
        <f t="shared" si="301"/>
        <v>8704.7999999999993</v>
      </c>
      <c r="M297" s="261">
        <f t="shared" si="302"/>
        <v>8994.9599999999991</v>
      </c>
      <c r="N297" s="261">
        <f>E297*D297*31</f>
        <v>8994.9599999999991</v>
      </c>
      <c r="O297" s="261">
        <f>E297*D297*30</f>
        <v>8704.7999999999993</v>
      </c>
      <c r="P297" s="261">
        <f>E297*D297*31</f>
        <v>8994.9599999999991</v>
      </c>
      <c r="Q297" s="261">
        <f>E297*D297*30</f>
        <v>8704.7999999999993</v>
      </c>
      <c r="R297" s="273">
        <f>E297*D297*31</f>
        <v>8994.9599999999991</v>
      </c>
      <c r="S297" s="245">
        <v>365</v>
      </c>
      <c r="T297"/>
      <c r="U297"/>
    </row>
    <row r="298" spans="1:22" s="245" customFormat="1" x14ac:dyDescent="0.25">
      <c r="A298" s="354"/>
      <c r="B298" s="329">
        <v>8</v>
      </c>
      <c r="C298" s="304" t="s">
        <v>71</v>
      </c>
      <c r="D298" s="271">
        <v>77.59</v>
      </c>
      <c r="E298" s="272">
        <v>1</v>
      </c>
      <c r="F298" s="261">
        <f t="shared" si="297"/>
        <v>6983.1</v>
      </c>
      <c r="G298" s="261">
        <f t="shared" si="303"/>
        <v>2405.29</v>
      </c>
      <c r="H298" s="262">
        <f t="shared" si="304"/>
        <v>2172.52</v>
      </c>
      <c r="I298" s="261">
        <f t="shared" si="298"/>
        <v>2405.29</v>
      </c>
      <c r="J298" s="261"/>
      <c r="K298" s="261"/>
      <c r="L298" s="261"/>
      <c r="M298" s="261"/>
      <c r="N298" s="261"/>
      <c r="O298" s="261"/>
      <c r="P298" s="261"/>
      <c r="Q298" s="261"/>
      <c r="R298" s="273"/>
      <c r="S298" s="245">
        <f>31+28+31</f>
        <v>90</v>
      </c>
      <c r="T298"/>
      <c r="U298"/>
    </row>
    <row r="299" spans="1:22" s="245" customFormat="1" x14ac:dyDescent="0.25">
      <c r="A299" s="354"/>
      <c r="B299" s="329">
        <v>8</v>
      </c>
      <c r="C299" s="304" t="s">
        <v>71</v>
      </c>
      <c r="D299" s="271">
        <v>77.59</v>
      </c>
      <c r="E299" s="272">
        <v>1</v>
      </c>
      <c r="F299" s="261">
        <f t="shared" si="297"/>
        <v>18854.37</v>
      </c>
      <c r="G299" s="261"/>
      <c r="H299" s="262"/>
      <c r="I299" s="261"/>
      <c r="J299" s="261"/>
      <c r="K299" s="261"/>
      <c r="L299" s="261">
        <f>E299*D299*29+D299*30</f>
        <v>4577.8100000000004</v>
      </c>
      <c r="M299" s="261">
        <f>E299*D299*31</f>
        <v>2405.29</v>
      </c>
      <c r="N299" s="261">
        <f>E299*D299*31</f>
        <v>2405.29</v>
      </c>
      <c r="O299" s="261">
        <f>E299*D299*30</f>
        <v>2327.6999999999998</v>
      </c>
      <c r="P299" s="261">
        <f t="shared" ref="P299:P312" si="319">E299*D299*31</f>
        <v>2405.29</v>
      </c>
      <c r="Q299" s="261">
        <f t="shared" ref="Q299:Q312" si="320">E299*D299*30</f>
        <v>2327.6999999999998</v>
      </c>
      <c r="R299" s="273">
        <f t="shared" ref="R299:R312" si="321">E299*D299*31</f>
        <v>2405.29</v>
      </c>
      <c r="S299" s="245">
        <f>29+30+31+31+30+31+30+31</f>
        <v>243</v>
      </c>
      <c r="T299"/>
      <c r="U299"/>
    </row>
    <row r="300" spans="1:22" s="245" customFormat="1" x14ac:dyDescent="0.25">
      <c r="A300" s="354"/>
      <c r="B300" s="329">
        <v>9</v>
      </c>
      <c r="C300" s="309" t="s">
        <v>49</v>
      </c>
      <c r="D300" s="271">
        <v>71.400000000000006</v>
      </c>
      <c r="E300" s="272">
        <v>1</v>
      </c>
      <c r="F300" s="261">
        <f t="shared" si="297"/>
        <v>9781.7999999999993</v>
      </c>
      <c r="G300" s="261"/>
      <c r="H300" s="262"/>
      <c r="I300" s="261"/>
      <c r="J300" s="261"/>
      <c r="K300" s="261"/>
      <c r="L300" s="261"/>
      <c r="M300" s="261"/>
      <c r="N300" s="261"/>
      <c r="O300" s="261">
        <f>E300*D300*30+D300*15</f>
        <v>3213</v>
      </c>
      <c r="P300" s="261">
        <f t="shared" si="319"/>
        <v>2213.4</v>
      </c>
      <c r="Q300" s="261">
        <f t="shared" si="320"/>
        <v>2142</v>
      </c>
      <c r="R300" s="273">
        <f t="shared" si="321"/>
        <v>2213.4</v>
      </c>
      <c r="S300" s="245">
        <f>15+30+31+30+31</f>
        <v>137</v>
      </c>
      <c r="T300"/>
      <c r="U300"/>
    </row>
    <row r="301" spans="1:22" s="245" customFormat="1" x14ac:dyDescent="0.25">
      <c r="A301" s="354"/>
      <c r="B301" s="329">
        <v>9</v>
      </c>
      <c r="C301" s="304" t="s">
        <v>15</v>
      </c>
      <c r="D301" s="271">
        <v>71.400000000000006</v>
      </c>
      <c r="E301" s="272">
        <v>1</v>
      </c>
      <c r="F301" s="261">
        <f t="shared" si="297"/>
        <v>16350.6</v>
      </c>
      <c r="G301" s="261"/>
      <c r="H301" s="262"/>
      <c r="I301" s="261"/>
      <c r="J301" s="261"/>
      <c r="K301" s="261"/>
      <c r="L301" s="261">
        <f xml:space="preserve"> E301*D301*15+E301*D301*30</f>
        <v>3213</v>
      </c>
      <c r="M301" s="261">
        <f>E301*D301*31</f>
        <v>2213.4</v>
      </c>
      <c r="N301" s="261">
        <f>E301*D301*31</f>
        <v>2213.4</v>
      </c>
      <c r="O301" s="261">
        <f t="shared" ref="O301:O312" si="322">E301*D301*30</f>
        <v>2142</v>
      </c>
      <c r="P301" s="261">
        <f t="shared" si="319"/>
        <v>2213.4</v>
      </c>
      <c r="Q301" s="261">
        <f t="shared" si="320"/>
        <v>2142</v>
      </c>
      <c r="R301" s="273">
        <f t="shared" si="321"/>
        <v>2213.4</v>
      </c>
      <c r="S301" s="245">
        <f>15+30+31+31+30+31+30+31</f>
        <v>229</v>
      </c>
      <c r="T301"/>
      <c r="U301"/>
    </row>
    <row r="302" spans="1:22" s="245" customFormat="1" x14ac:dyDescent="0.25">
      <c r="A302" s="354"/>
      <c r="B302" s="329">
        <v>17</v>
      </c>
      <c r="C302" s="304" t="s">
        <v>39</v>
      </c>
      <c r="D302" s="271">
        <v>80.86</v>
      </c>
      <c r="E302" s="272">
        <v>4</v>
      </c>
      <c r="F302" s="261">
        <f t="shared" si="297"/>
        <v>64364.56</v>
      </c>
      <c r="G302" s="261"/>
      <c r="H302" s="262"/>
      <c r="I302" s="261"/>
      <c r="J302" s="261"/>
      <c r="K302" s="261"/>
      <c r="L302" s="261"/>
      <c r="M302" s="261">
        <f>E302*D302*15+(D302*E302*31)</f>
        <v>14878.24</v>
      </c>
      <c r="N302" s="261">
        <f>E302*D302*31</f>
        <v>10026.64</v>
      </c>
      <c r="O302" s="261">
        <f t="shared" si="322"/>
        <v>9703.2000000000007</v>
      </c>
      <c r="P302" s="261">
        <f t="shared" si="319"/>
        <v>10026.64</v>
      </c>
      <c r="Q302" s="261">
        <f t="shared" si="320"/>
        <v>9703.2000000000007</v>
      </c>
      <c r="R302" s="273">
        <f t="shared" si="321"/>
        <v>10026.64</v>
      </c>
      <c r="S302" s="245">
        <v>199</v>
      </c>
      <c r="T302"/>
      <c r="U302"/>
    </row>
    <row r="303" spans="1:22" s="245" customFormat="1" x14ac:dyDescent="0.25">
      <c r="A303" s="354"/>
      <c r="B303" s="329">
        <v>15</v>
      </c>
      <c r="C303" s="304" t="s">
        <v>62</v>
      </c>
      <c r="D303" s="271">
        <v>71.400000000000006</v>
      </c>
      <c r="E303" s="272">
        <v>1</v>
      </c>
      <c r="F303" s="261">
        <f t="shared" ref="F303" si="323">+E303*S303*D303</f>
        <v>7639.8</v>
      </c>
      <c r="G303" s="261"/>
      <c r="H303" s="262"/>
      <c r="I303" s="261"/>
      <c r="J303" s="261"/>
      <c r="K303" s="261"/>
      <c r="L303" s="261"/>
      <c r="M303" s="261"/>
      <c r="N303" s="261"/>
      <c r="O303" s="261"/>
      <c r="P303" s="261">
        <f>E303*D303*31+D303*15</f>
        <v>3284.4</v>
      </c>
      <c r="Q303" s="261">
        <f t="shared" ref="Q303" si="324">E303*D303*30</f>
        <v>2142</v>
      </c>
      <c r="R303" s="273">
        <f t="shared" ref="R303" si="325">E303*D303*31</f>
        <v>2213.4</v>
      </c>
      <c r="S303" s="245">
        <f>15+31+30+31</f>
        <v>107</v>
      </c>
      <c r="T303"/>
      <c r="U303"/>
    </row>
    <row r="304" spans="1:22" s="245" customFormat="1" x14ac:dyDescent="0.25">
      <c r="A304" s="354"/>
      <c r="B304" s="329">
        <v>17</v>
      </c>
      <c r="C304" s="304" t="s">
        <v>39</v>
      </c>
      <c r="D304" s="271">
        <v>80.86</v>
      </c>
      <c r="E304" s="272">
        <v>2</v>
      </c>
      <c r="F304" s="261">
        <f t="shared" si="297"/>
        <v>29756.48</v>
      </c>
      <c r="G304" s="261"/>
      <c r="H304" s="262"/>
      <c r="I304" s="261"/>
      <c r="J304" s="261"/>
      <c r="K304" s="261"/>
      <c r="L304" s="261"/>
      <c r="M304" s="261"/>
      <c r="N304" s="261">
        <f>E304*D304*31+5013.32</f>
        <v>10026.64</v>
      </c>
      <c r="O304" s="261">
        <f t="shared" si="322"/>
        <v>4851.6000000000004</v>
      </c>
      <c r="P304" s="261">
        <f t="shared" si="319"/>
        <v>5013.32</v>
      </c>
      <c r="Q304" s="261">
        <f t="shared" si="320"/>
        <v>4851.6000000000004</v>
      </c>
      <c r="R304" s="273">
        <f t="shared" si="321"/>
        <v>5013.32</v>
      </c>
      <c r="S304" s="245">
        <v>184</v>
      </c>
      <c r="T304"/>
      <c r="U304"/>
    </row>
    <row r="305" spans="1:22" x14ac:dyDescent="0.25">
      <c r="A305" s="348"/>
      <c r="B305" s="351">
        <v>9</v>
      </c>
      <c r="C305" s="303" t="s">
        <v>15</v>
      </c>
      <c r="D305" s="83">
        <v>71.400000000000006</v>
      </c>
      <c r="E305" s="272">
        <v>7</v>
      </c>
      <c r="F305" s="261">
        <f t="shared" si="297"/>
        <v>182427</v>
      </c>
      <c r="G305" s="261">
        <f t="shared" si="303"/>
        <v>15493.8</v>
      </c>
      <c r="H305" s="262">
        <f t="shared" si="304"/>
        <v>13994.4</v>
      </c>
      <c r="I305" s="261">
        <f t="shared" si="298"/>
        <v>15493.8</v>
      </c>
      <c r="J305" s="261">
        <f t="shared" si="299"/>
        <v>14994</v>
      </c>
      <c r="K305" s="261">
        <f t="shared" si="300"/>
        <v>15493.8</v>
      </c>
      <c r="L305" s="261">
        <f t="shared" si="301"/>
        <v>14994</v>
      </c>
      <c r="M305" s="261">
        <f t="shared" si="302"/>
        <v>15493.8</v>
      </c>
      <c r="N305" s="86">
        <f t="shared" ref="N305:N312" si="326">E305*D305*31</f>
        <v>15493.8</v>
      </c>
      <c r="O305" s="86">
        <f t="shared" si="322"/>
        <v>14994</v>
      </c>
      <c r="P305" s="86">
        <f t="shared" si="319"/>
        <v>15493.8</v>
      </c>
      <c r="Q305" s="86">
        <f t="shared" si="320"/>
        <v>14994</v>
      </c>
      <c r="R305" s="102">
        <f t="shared" si="321"/>
        <v>15493.8</v>
      </c>
      <c r="S305">
        <v>365</v>
      </c>
    </row>
    <row r="306" spans="1:22" x14ac:dyDescent="0.25">
      <c r="A306" s="348"/>
      <c r="B306" s="351">
        <v>10</v>
      </c>
      <c r="C306" s="303" t="s">
        <v>99</v>
      </c>
      <c r="D306" s="83">
        <v>73.59</v>
      </c>
      <c r="E306" s="272">
        <v>1</v>
      </c>
      <c r="F306" s="261">
        <f t="shared" si="297"/>
        <v>26860.35</v>
      </c>
      <c r="G306" s="261">
        <f t="shared" si="303"/>
        <v>2281.29</v>
      </c>
      <c r="H306" s="262">
        <f t="shared" si="304"/>
        <v>2060.52</v>
      </c>
      <c r="I306" s="261">
        <f t="shared" si="298"/>
        <v>2281.29</v>
      </c>
      <c r="J306" s="261">
        <f t="shared" si="299"/>
        <v>2207.6999999999998</v>
      </c>
      <c r="K306" s="261">
        <f t="shared" si="300"/>
        <v>2281.29</v>
      </c>
      <c r="L306" s="261">
        <f t="shared" si="301"/>
        <v>2207.6999999999998</v>
      </c>
      <c r="M306" s="261">
        <f t="shared" si="302"/>
        <v>2281.29</v>
      </c>
      <c r="N306" s="86">
        <f t="shared" si="326"/>
        <v>2281.29</v>
      </c>
      <c r="O306" s="86">
        <f t="shared" si="322"/>
        <v>2207.6999999999998</v>
      </c>
      <c r="P306" s="86">
        <f t="shared" si="319"/>
        <v>2281.29</v>
      </c>
      <c r="Q306" s="86">
        <f t="shared" si="320"/>
        <v>2207.6999999999998</v>
      </c>
      <c r="R306" s="102">
        <f t="shared" si="321"/>
        <v>2281.29</v>
      </c>
      <c r="S306">
        <v>365</v>
      </c>
    </row>
    <row r="307" spans="1:22" ht="15.75" customHeight="1" x14ac:dyDescent="0.25">
      <c r="A307" s="348"/>
      <c r="B307" s="351">
        <v>11</v>
      </c>
      <c r="C307" s="303" t="s">
        <v>17</v>
      </c>
      <c r="D307" s="83">
        <v>75.64</v>
      </c>
      <c r="E307" s="277">
        <v>1</v>
      </c>
      <c r="F307" s="261">
        <f t="shared" si="297"/>
        <v>27608.6</v>
      </c>
      <c r="G307" s="261">
        <f t="shared" si="303"/>
        <v>2344.84</v>
      </c>
      <c r="H307" s="262">
        <f t="shared" si="304"/>
        <v>2117.92</v>
      </c>
      <c r="I307" s="261">
        <f t="shared" si="298"/>
        <v>2344.84</v>
      </c>
      <c r="J307" s="261">
        <f t="shared" si="299"/>
        <v>2269.1999999999998</v>
      </c>
      <c r="K307" s="261">
        <f t="shared" si="300"/>
        <v>2344.84</v>
      </c>
      <c r="L307" s="261">
        <f t="shared" si="301"/>
        <v>2269.1999999999998</v>
      </c>
      <c r="M307" s="261">
        <f t="shared" si="302"/>
        <v>2344.84</v>
      </c>
      <c r="N307" s="86">
        <f t="shared" si="326"/>
        <v>2344.84</v>
      </c>
      <c r="O307" s="86">
        <f t="shared" si="322"/>
        <v>2269.1999999999998</v>
      </c>
      <c r="P307" s="86">
        <f t="shared" si="319"/>
        <v>2344.84</v>
      </c>
      <c r="Q307" s="86">
        <f t="shared" si="320"/>
        <v>2269.1999999999998</v>
      </c>
      <c r="R307" s="102">
        <f t="shared" si="321"/>
        <v>2344.84</v>
      </c>
      <c r="S307">
        <v>365</v>
      </c>
    </row>
    <row r="308" spans="1:22" x14ac:dyDescent="0.25">
      <c r="A308" s="348"/>
      <c r="B308" s="351">
        <v>12</v>
      </c>
      <c r="C308" s="303" t="s">
        <v>16</v>
      </c>
      <c r="D308" s="83">
        <v>71.400000000000006</v>
      </c>
      <c r="E308" s="272">
        <v>1</v>
      </c>
      <c r="F308" s="261">
        <f t="shared" si="297"/>
        <v>26061</v>
      </c>
      <c r="G308" s="261">
        <f t="shared" si="303"/>
        <v>2213.4</v>
      </c>
      <c r="H308" s="262">
        <f t="shared" si="304"/>
        <v>1999.2</v>
      </c>
      <c r="I308" s="261">
        <f t="shared" si="298"/>
        <v>2213.4</v>
      </c>
      <c r="J308" s="261">
        <f t="shared" si="299"/>
        <v>2142</v>
      </c>
      <c r="K308" s="261">
        <f t="shared" si="300"/>
        <v>2213.4</v>
      </c>
      <c r="L308" s="261">
        <f t="shared" si="301"/>
        <v>2142</v>
      </c>
      <c r="M308" s="261">
        <f t="shared" si="302"/>
        <v>2213.4</v>
      </c>
      <c r="N308" s="86">
        <f t="shared" si="326"/>
        <v>2213.4</v>
      </c>
      <c r="O308" s="86">
        <f t="shared" si="322"/>
        <v>2142</v>
      </c>
      <c r="P308" s="86">
        <f t="shared" si="319"/>
        <v>2213.4</v>
      </c>
      <c r="Q308" s="86">
        <f t="shared" si="320"/>
        <v>2142</v>
      </c>
      <c r="R308" s="102">
        <f t="shared" si="321"/>
        <v>2213.4</v>
      </c>
      <c r="S308">
        <v>365</v>
      </c>
    </row>
    <row r="309" spans="1:22" x14ac:dyDescent="0.25">
      <c r="A309" s="348"/>
      <c r="B309" s="351">
        <v>13</v>
      </c>
      <c r="C309" s="303" t="s">
        <v>54</v>
      </c>
      <c r="D309" s="83">
        <v>78.25</v>
      </c>
      <c r="E309" s="272">
        <v>9</v>
      </c>
      <c r="F309" s="261">
        <f t="shared" si="297"/>
        <v>257051.25</v>
      </c>
      <c r="G309" s="261">
        <f t="shared" si="303"/>
        <v>21831.75</v>
      </c>
      <c r="H309" s="262">
        <f t="shared" si="304"/>
        <v>19719</v>
      </c>
      <c r="I309" s="261">
        <f t="shared" si="298"/>
        <v>21831.75</v>
      </c>
      <c r="J309" s="261">
        <f t="shared" si="299"/>
        <v>21127.5</v>
      </c>
      <c r="K309" s="261">
        <f t="shared" si="300"/>
        <v>21831.75</v>
      </c>
      <c r="L309" s="261">
        <f t="shared" si="301"/>
        <v>21127.5</v>
      </c>
      <c r="M309" s="261">
        <f t="shared" si="302"/>
        <v>21831.75</v>
      </c>
      <c r="N309" s="86">
        <f t="shared" si="326"/>
        <v>21831.75</v>
      </c>
      <c r="O309" s="86">
        <f t="shared" si="322"/>
        <v>21127.5</v>
      </c>
      <c r="P309" s="86">
        <f t="shared" si="319"/>
        <v>21831.75</v>
      </c>
      <c r="Q309" s="86">
        <f t="shared" si="320"/>
        <v>21127.5</v>
      </c>
      <c r="R309" s="102">
        <f t="shared" si="321"/>
        <v>21831.75</v>
      </c>
      <c r="S309">
        <v>365</v>
      </c>
    </row>
    <row r="310" spans="1:22" x14ac:dyDescent="0.25">
      <c r="A310" s="348"/>
      <c r="B310" s="351">
        <v>14</v>
      </c>
      <c r="C310" s="303" t="s">
        <v>85</v>
      </c>
      <c r="D310" s="83">
        <v>72.540000000000006</v>
      </c>
      <c r="E310" s="272">
        <v>1</v>
      </c>
      <c r="F310" s="261">
        <f t="shared" si="297"/>
        <v>26477.1</v>
      </c>
      <c r="G310" s="261">
        <f t="shared" si="303"/>
        <v>2248.7399999999998</v>
      </c>
      <c r="H310" s="262">
        <f t="shared" si="304"/>
        <v>2031.12</v>
      </c>
      <c r="I310" s="261">
        <f t="shared" si="298"/>
        <v>2248.7399999999998</v>
      </c>
      <c r="J310" s="261">
        <f t="shared" si="299"/>
        <v>2176.1999999999998</v>
      </c>
      <c r="K310" s="261">
        <f t="shared" si="300"/>
        <v>2248.7399999999998</v>
      </c>
      <c r="L310" s="261">
        <f t="shared" si="301"/>
        <v>2176.1999999999998</v>
      </c>
      <c r="M310" s="261">
        <f t="shared" si="302"/>
        <v>2248.7399999999998</v>
      </c>
      <c r="N310" s="86">
        <f t="shared" si="326"/>
        <v>2248.7399999999998</v>
      </c>
      <c r="O310" s="86">
        <f t="shared" si="322"/>
        <v>2176.1999999999998</v>
      </c>
      <c r="P310" s="86">
        <f t="shared" si="319"/>
        <v>2248.7399999999998</v>
      </c>
      <c r="Q310" s="86">
        <f t="shared" si="320"/>
        <v>2176.1999999999998</v>
      </c>
      <c r="R310" s="102">
        <f t="shared" si="321"/>
        <v>2248.7399999999998</v>
      </c>
      <c r="S310">
        <v>365</v>
      </c>
    </row>
    <row r="311" spans="1:22" x14ac:dyDescent="0.25">
      <c r="A311" s="348"/>
      <c r="B311" s="351">
        <v>15</v>
      </c>
      <c r="C311" s="303" t="s">
        <v>62</v>
      </c>
      <c r="D311" s="83">
        <v>71.400000000000006</v>
      </c>
      <c r="E311" s="272">
        <v>2</v>
      </c>
      <c r="F311" s="261">
        <f t="shared" si="297"/>
        <v>52122</v>
      </c>
      <c r="G311" s="261">
        <f t="shared" si="303"/>
        <v>4426.8</v>
      </c>
      <c r="H311" s="262">
        <f t="shared" si="304"/>
        <v>3998.4</v>
      </c>
      <c r="I311" s="261">
        <f t="shared" si="298"/>
        <v>4426.8</v>
      </c>
      <c r="J311" s="261">
        <f t="shared" si="299"/>
        <v>4284</v>
      </c>
      <c r="K311" s="261">
        <f t="shared" si="300"/>
        <v>4426.8</v>
      </c>
      <c r="L311" s="261">
        <f t="shared" si="301"/>
        <v>4284</v>
      </c>
      <c r="M311" s="261">
        <f t="shared" si="302"/>
        <v>4426.8</v>
      </c>
      <c r="N311" s="86">
        <f t="shared" si="326"/>
        <v>4426.8</v>
      </c>
      <c r="O311" s="86">
        <f t="shared" si="322"/>
        <v>4284</v>
      </c>
      <c r="P311" s="86">
        <f t="shared" si="319"/>
        <v>4426.8</v>
      </c>
      <c r="Q311" s="86">
        <f t="shared" si="320"/>
        <v>4284</v>
      </c>
      <c r="R311" s="102">
        <f t="shared" si="321"/>
        <v>4426.8</v>
      </c>
      <c r="S311">
        <v>365</v>
      </c>
    </row>
    <row r="312" spans="1:22" ht="25.5" x14ac:dyDescent="0.25">
      <c r="A312" s="348"/>
      <c r="B312" s="351">
        <v>16</v>
      </c>
      <c r="C312" s="303" t="s">
        <v>38</v>
      </c>
      <c r="D312" s="83">
        <v>75.64</v>
      </c>
      <c r="E312" s="272">
        <v>1</v>
      </c>
      <c r="F312" s="261">
        <f>+E312*S312*D312</f>
        <v>27608.6</v>
      </c>
      <c r="G312" s="261">
        <f t="shared" si="303"/>
        <v>2344.84</v>
      </c>
      <c r="H312" s="262">
        <f t="shared" si="304"/>
        <v>2117.92</v>
      </c>
      <c r="I312" s="261">
        <f t="shared" si="298"/>
        <v>2344.84</v>
      </c>
      <c r="J312" s="261">
        <f t="shared" si="299"/>
        <v>2269.1999999999998</v>
      </c>
      <c r="K312" s="261">
        <f t="shared" si="300"/>
        <v>2344.84</v>
      </c>
      <c r="L312" s="261">
        <f t="shared" si="301"/>
        <v>2269.1999999999998</v>
      </c>
      <c r="M312" s="261">
        <f t="shared" si="302"/>
        <v>2344.84</v>
      </c>
      <c r="N312" s="86">
        <f t="shared" si="326"/>
        <v>2344.84</v>
      </c>
      <c r="O312" s="86">
        <f t="shared" si="322"/>
        <v>2269.1999999999998</v>
      </c>
      <c r="P312" s="86">
        <f t="shared" si="319"/>
        <v>2344.84</v>
      </c>
      <c r="Q312" s="86">
        <f t="shared" si="320"/>
        <v>2269.1999999999998</v>
      </c>
      <c r="R312" s="102">
        <f t="shared" si="321"/>
        <v>2344.84</v>
      </c>
      <c r="S312">
        <v>365</v>
      </c>
    </row>
    <row r="313" spans="1:22" ht="15.75" thickBot="1" x14ac:dyDescent="0.3">
      <c r="A313" s="348"/>
      <c r="B313" s="352"/>
      <c r="C313" s="89" t="s">
        <v>40</v>
      </c>
      <c r="D313" s="90"/>
      <c r="E313" s="66"/>
      <c r="F313" s="435">
        <f>3019974-SUM(F287:F312)-55000-20337</f>
        <v>2285.65</v>
      </c>
      <c r="G313" s="92"/>
      <c r="H313" s="120"/>
      <c r="I313" s="94"/>
      <c r="J313" s="91"/>
      <c r="K313" s="91"/>
      <c r="L313" s="94"/>
      <c r="M313" s="91"/>
      <c r="N313" s="94"/>
      <c r="O313" s="94"/>
      <c r="P313" s="94"/>
      <c r="Q313" s="94"/>
      <c r="R313" s="285"/>
      <c r="S313" s="1">
        <f>+F313-2285.65</f>
        <v>0</v>
      </c>
    </row>
    <row r="314" spans="1:22" ht="51.75" x14ac:dyDescent="0.25">
      <c r="A314" s="348"/>
      <c r="B314" s="353"/>
      <c r="C314" s="340" t="s">
        <v>155</v>
      </c>
      <c r="D314" s="138"/>
      <c r="E314" s="139"/>
      <c r="F314" s="140"/>
      <c r="G314" s="140"/>
      <c r="H314" s="140"/>
      <c r="I314" s="140"/>
      <c r="J314" s="140"/>
      <c r="K314" s="140"/>
      <c r="L314" s="140"/>
      <c r="M314" s="140"/>
      <c r="N314" s="97"/>
      <c r="O314" s="97"/>
      <c r="P314" s="97"/>
      <c r="Q314" s="97"/>
      <c r="R314" s="116"/>
      <c r="S314" s="1"/>
    </row>
    <row r="315" spans="1:22" ht="34.5" customHeight="1" thickBot="1" x14ac:dyDescent="0.3">
      <c r="A315" s="348"/>
      <c r="B315" s="383"/>
      <c r="C315" s="449" t="s">
        <v>100</v>
      </c>
      <c r="D315" s="449"/>
      <c r="E315" s="305">
        <f t="shared" ref="E315:R315" si="327">SUM(E317:E348)</f>
        <v>159</v>
      </c>
      <c r="F315" s="181">
        <f t="shared" si="327"/>
        <v>5188822</v>
      </c>
      <c r="G315" s="181">
        <f t="shared" si="327"/>
        <v>693297.64</v>
      </c>
      <c r="H315" s="181">
        <f t="shared" si="327"/>
        <v>624205.12</v>
      </c>
      <c r="I315" s="181">
        <f t="shared" si="327"/>
        <v>688870.84</v>
      </c>
      <c r="J315" s="181">
        <f t="shared" si="327"/>
        <v>344469</v>
      </c>
      <c r="K315" s="181">
        <f t="shared" si="327"/>
        <v>355951.3</v>
      </c>
      <c r="L315" s="181">
        <f t="shared" si="327"/>
        <v>344469</v>
      </c>
      <c r="M315" s="181">
        <f t="shared" si="327"/>
        <v>353890.78</v>
      </c>
      <c r="N315" s="181">
        <f t="shared" si="327"/>
        <v>361296.22</v>
      </c>
      <c r="O315" s="181">
        <f t="shared" si="327"/>
        <v>344469</v>
      </c>
      <c r="P315" s="181">
        <f t="shared" si="327"/>
        <v>358164.7</v>
      </c>
      <c r="Q315" s="181">
        <f t="shared" si="327"/>
        <v>344800.5</v>
      </c>
      <c r="R315" s="316">
        <f t="shared" si="327"/>
        <v>355851.17</v>
      </c>
      <c r="S315" s="314"/>
    </row>
    <row r="316" spans="1:22" x14ac:dyDescent="0.25">
      <c r="A316" s="348"/>
      <c r="B316" s="351"/>
      <c r="C316" s="345"/>
      <c r="D316" s="345"/>
      <c r="E316" s="441" t="s">
        <v>151</v>
      </c>
      <c r="F316" s="294">
        <v>0</v>
      </c>
      <c r="G316" s="253"/>
      <c r="H316" s="253"/>
      <c r="I316" s="253"/>
      <c r="J316" s="253"/>
      <c r="K316" s="253"/>
      <c r="L316" s="253"/>
      <c r="M316" s="253"/>
      <c r="N316" s="253"/>
      <c r="O316" s="253"/>
      <c r="P316" s="253"/>
      <c r="Q316" s="253"/>
      <c r="R316" s="315"/>
      <c r="S316" s="248"/>
      <c r="V316" s="249"/>
    </row>
    <row r="317" spans="1:22" x14ac:dyDescent="0.25">
      <c r="A317" s="348"/>
      <c r="B317" s="257">
        <v>1</v>
      </c>
      <c r="C317" s="341" t="s">
        <v>44</v>
      </c>
      <c r="D317" s="83">
        <v>72.540000000000006</v>
      </c>
      <c r="E317" s="272">
        <v>20</v>
      </c>
      <c r="F317" s="261">
        <f t="shared" ref="F317:F337" si="328">+E317*S317*D317</f>
        <v>529542</v>
      </c>
      <c r="G317" s="261">
        <f t="shared" ref="G317:G337" si="329">E317*D317*31</f>
        <v>44974.8</v>
      </c>
      <c r="H317" s="262">
        <f t="shared" ref="H317:H337" si="330">E317*D317*28</f>
        <v>40622.400000000001</v>
      </c>
      <c r="I317" s="261">
        <f t="shared" ref="I317:I337" si="331">E317*D317*31</f>
        <v>44974.8</v>
      </c>
      <c r="J317" s="261">
        <f t="shared" ref="J317:J337" si="332">E317*D317*30</f>
        <v>43524</v>
      </c>
      <c r="K317" s="261">
        <f t="shared" ref="K317:K337" si="333">E317*D317*31</f>
        <v>44974.8</v>
      </c>
      <c r="L317" s="261">
        <f t="shared" ref="L317:L337" si="334">E317*D317*30</f>
        <v>43524</v>
      </c>
      <c r="M317" s="261">
        <f t="shared" ref="M317:M337" si="335">E317*D317*31</f>
        <v>44974.8</v>
      </c>
      <c r="N317" s="261">
        <f>E317*D317*31</f>
        <v>44974.8</v>
      </c>
      <c r="O317" s="261">
        <f t="shared" ref="O317:O337" si="336">E317*D317*30</f>
        <v>43524</v>
      </c>
      <c r="P317" s="261">
        <f t="shared" ref="P317:P337" si="337">E317*D317*31</f>
        <v>44974.8</v>
      </c>
      <c r="Q317" s="261">
        <f t="shared" ref="Q317:Q337" si="338">E317*D317*30</f>
        <v>43524</v>
      </c>
      <c r="R317" s="273">
        <f t="shared" ref="R317:R337" si="339">E317*D317*31</f>
        <v>44974.8</v>
      </c>
      <c r="S317" s="248">
        <v>365</v>
      </c>
      <c r="V317" s="249"/>
    </row>
    <row r="318" spans="1:22" x14ac:dyDescent="0.25">
      <c r="A318" s="348"/>
      <c r="B318" s="351">
        <v>2</v>
      </c>
      <c r="C318" s="343" t="s">
        <v>60</v>
      </c>
      <c r="D318" s="83">
        <v>73.59</v>
      </c>
      <c r="E318" s="272">
        <v>16</v>
      </c>
      <c r="F318" s="261">
        <f t="shared" si="328"/>
        <v>429765.6</v>
      </c>
      <c r="G318" s="261">
        <f t="shared" si="329"/>
        <v>36500.639999999999</v>
      </c>
      <c r="H318" s="262">
        <f t="shared" si="330"/>
        <v>32968.32</v>
      </c>
      <c r="I318" s="261">
        <f t="shared" si="331"/>
        <v>36500.639999999999</v>
      </c>
      <c r="J318" s="261">
        <f t="shared" si="332"/>
        <v>35323.199999999997</v>
      </c>
      <c r="K318" s="261">
        <f t="shared" si="333"/>
        <v>36500.639999999999</v>
      </c>
      <c r="L318" s="261">
        <f t="shared" si="334"/>
        <v>35323.199999999997</v>
      </c>
      <c r="M318" s="261">
        <f t="shared" si="335"/>
        <v>36500.639999999999</v>
      </c>
      <c r="N318" s="261">
        <f>E318*D318*31</f>
        <v>36500.639999999999</v>
      </c>
      <c r="O318" s="261">
        <f t="shared" si="336"/>
        <v>35323.199999999997</v>
      </c>
      <c r="P318" s="261">
        <f t="shared" si="337"/>
        <v>36500.639999999999</v>
      </c>
      <c r="Q318" s="261">
        <f t="shared" si="338"/>
        <v>35323.199999999997</v>
      </c>
      <c r="R318" s="273">
        <f t="shared" si="339"/>
        <v>36500.639999999999</v>
      </c>
      <c r="S318" s="248">
        <v>365</v>
      </c>
      <c r="V318" s="249"/>
    </row>
    <row r="319" spans="1:22" s="245" customFormat="1" x14ac:dyDescent="0.25">
      <c r="A319" s="354"/>
      <c r="B319" s="329">
        <v>2</v>
      </c>
      <c r="C319" s="276" t="s">
        <v>60</v>
      </c>
      <c r="D319" s="271">
        <v>73.59</v>
      </c>
      <c r="E319" s="272">
        <v>1</v>
      </c>
      <c r="F319" s="261">
        <f t="shared" si="328"/>
        <v>26860.35</v>
      </c>
      <c r="G319" s="261">
        <f t="shared" ref="G319" si="340">E319*D319*31</f>
        <v>2281.29</v>
      </c>
      <c r="H319" s="262">
        <f t="shared" ref="H319" si="341">E319*D319*28</f>
        <v>2060.52</v>
      </c>
      <c r="I319" s="261">
        <f t="shared" ref="I319" si="342">E319*D319*31</f>
        <v>2281.29</v>
      </c>
      <c r="J319" s="261">
        <f t="shared" ref="J319" si="343">E319*D319*30</f>
        <v>2207.6999999999998</v>
      </c>
      <c r="K319" s="261">
        <f t="shared" ref="K319" si="344">E319*D319*31</f>
        <v>2281.29</v>
      </c>
      <c r="L319" s="261">
        <f t="shared" ref="L319" si="345">E319*D319*30</f>
        <v>2207.6999999999998</v>
      </c>
      <c r="M319" s="261">
        <f>E319*D319*3</f>
        <v>220.77</v>
      </c>
      <c r="N319" s="261">
        <f>E319*D319*31+D319*28</f>
        <v>4341.8100000000004</v>
      </c>
      <c r="O319" s="261">
        <f t="shared" si="336"/>
        <v>2207.6999999999998</v>
      </c>
      <c r="P319" s="261">
        <f t="shared" si="337"/>
        <v>2281.29</v>
      </c>
      <c r="Q319" s="261">
        <f t="shared" si="338"/>
        <v>2207.6999999999998</v>
      </c>
      <c r="R319" s="273">
        <f t="shared" si="339"/>
        <v>2281.29</v>
      </c>
      <c r="S319" s="274">
        <v>365</v>
      </c>
      <c r="V319" s="275"/>
    </row>
    <row r="320" spans="1:22" x14ac:dyDescent="0.25">
      <c r="A320" s="348"/>
      <c r="B320" s="351">
        <v>3</v>
      </c>
      <c r="C320" s="343" t="s">
        <v>61</v>
      </c>
      <c r="D320" s="83">
        <v>74.63</v>
      </c>
      <c r="E320" s="272">
        <v>13</v>
      </c>
      <c r="F320" s="261">
        <f t="shared" si="328"/>
        <v>354119.35</v>
      </c>
      <c r="G320" s="261">
        <f t="shared" si="329"/>
        <v>30075.89</v>
      </c>
      <c r="H320" s="262">
        <f t="shared" si="330"/>
        <v>27165.32</v>
      </c>
      <c r="I320" s="261">
        <f t="shared" si="331"/>
        <v>30075.89</v>
      </c>
      <c r="J320" s="261">
        <f t="shared" si="332"/>
        <v>29105.7</v>
      </c>
      <c r="K320" s="261">
        <f t="shared" si="333"/>
        <v>30075.89</v>
      </c>
      <c r="L320" s="261">
        <f t="shared" si="334"/>
        <v>29105.7</v>
      </c>
      <c r="M320" s="261">
        <f t="shared" si="335"/>
        <v>30075.89</v>
      </c>
      <c r="N320" s="261">
        <f t="shared" ref="N320:N331" si="346">E320*D320*31</f>
        <v>30075.89</v>
      </c>
      <c r="O320" s="261">
        <f t="shared" si="336"/>
        <v>29105.7</v>
      </c>
      <c r="P320" s="261">
        <f t="shared" si="337"/>
        <v>30075.89</v>
      </c>
      <c r="Q320" s="261">
        <f t="shared" si="338"/>
        <v>29105.7</v>
      </c>
      <c r="R320" s="273">
        <f t="shared" si="339"/>
        <v>30075.89</v>
      </c>
      <c r="S320" s="248">
        <v>365</v>
      </c>
      <c r="V320" s="249"/>
    </row>
    <row r="321" spans="1:22" s="245" customFormat="1" x14ac:dyDescent="0.25">
      <c r="A321" s="354"/>
      <c r="B321" s="329">
        <v>3</v>
      </c>
      <c r="C321" s="276" t="s">
        <v>61</v>
      </c>
      <c r="D321" s="271">
        <v>74.63</v>
      </c>
      <c r="E321" s="272">
        <v>1</v>
      </c>
      <c r="F321" s="261">
        <f t="shared" ref="F321" si="347">+E321*S321*D321</f>
        <v>22687.52</v>
      </c>
      <c r="G321" s="261">
        <f t="shared" ref="G321" si="348">E321*D321*31</f>
        <v>2313.5300000000002</v>
      </c>
      <c r="H321" s="262">
        <f t="shared" ref="H321" si="349">E321*D321*28</f>
        <v>2089.64</v>
      </c>
      <c r="I321" s="261">
        <f t="shared" ref="I321" si="350">E321*D321*31</f>
        <v>2313.5300000000002</v>
      </c>
      <c r="J321" s="261">
        <f t="shared" ref="J321" si="351">E321*D321*30</f>
        <v>2238.9</v>
      </c>
      <c r="K321" s="261">
        <f t="shared" ref="K321" si="352">E321*D321*31</f>
        <v>2313.5300000000002</v>
      </c>
      <c r="L321" s="261">
        <f t="shared" ref="L321" si="353">E321*D321*30</f>
        <v>2238.9</v>
      </c>
      <c r="M321" s="261">
        <f t="shared" ref="M321" si="354">E321*D321*31</f>
        <v>2313.5300000000002</v>
      </c>
      <c r="N321" s="261">
        <f t="shared" ref="N321" si="355">E321*D321*31</f>
        <v>2313.5300000000002</v>
      </c>
      <c r="O321" s="261">
        <f t="shared" ref="O321" si="356">E321*D321*30</f>
        <v>2238.9</v>
      </c>
      <c r="P321" s="261">
        <f t="shared" ref="P321" si="357">E321*D321*31</f>
        <v>2313.5300000000002</v>
      </c>
      <c r="Q321" s="261"/>
      <c r="R321" s="273"/>
      <c r="S321" s="274">
        <f>31+28+31+30+31+30+31+31+30+31</f>
        <v>304</v>
      </c>
      <c r="T321"/>
      <c r="U321"/>
      <c r="V321" s="275"/>
    </row>
    <row r="322" spans="1:22" x14ac:dyDescent="0.25">
      <c r="A322" s="348"/>
      <c r="B322" s="351">
        <v>5</v>
      </c>
      <c r="C322" s="343" t="s">
        <v>89</v>
      </c>
      <c r="D322" s="83">
        <v>71.400000000000006</v>
      </c>
      <c r="E322" s="272">
        <v>5</v>
      </c>
      <c r="F322" s="261">
        <f t="shared" si="328"/>
        <v>130305</v>
      </c>
      <c r="G322" s="261">
        <f t="shared" si="329"/>
        <v>11067</v>
      </c>
      <c r="H322" s="262">
        <f t="shared" si="330"/>
        <v>9996</v>
      </c>
      <c r="I322" s="261">
        <f t="shared" si="331"/>
        <v>11067</v>
      </c>
      <c r="J322" s="261">
        <f t="shared" si="332"/>
        <v>10710</v>
      </c>
      <c r="K322" s="261">
        <f t="shared" si="333"/>
        <v>11067</v>
      </c>
      <c r="L322" s="261">
        <f t="shared" si="334"/>
        <v>10710</v>
      </c>
      <c r="M322" s="261">
        <f t="shared" si="335"/>
        <v>11067</v>
      </c>
      <c r="N322" s="261">
        <f t="shared" si="346"/>
        <v>11067</v>
      </c>
      <c r="O322" s="261">
        <f t="shared" si="336"/>
        <v>10710</v>
      </c>
      <c r="P322" s="261">
        <f t="shared" si="337"/>
        <v>11067</v>
      </c>
      <c r="Q322" s="261">
        <f t="shared" si="338"/>
        <v>10710</v>
      </c>
      <c r="R322" s="273">
        <f t="shared" si="339"/>
        <v>11067</v>
      </c>
      <c r="S322" s="248">
        <v>365</v>
      </c>
      <c r="V322" s="249"/>
    </row>
    <row r="323" spans="1:22" x14ac:dyDescent="0.25">
      <c r="A323" s="348"/>
      <c r="B323" s="351">
        <v>6</v>
      </c>
      <c r="C323" s="343" t="s">
        <v>97</v>
      </c>
      <c r="D323" s="83">
        <v>71.400000000000006</v>
      </c>
      <c r="E323" s="272">
        <v>1</v>
      </c>
      <c r="F323" s="261">
        <f t="shared" si="328"/>
        <v>26061</v>
      </c>
      <c r="G323" s="261">
        <f t="shared" si="329"/>
        <v>2213.4</v>
      </c>
      <c r="H323" s="262">
        <f t="shared" si="330"/>
        <v>1999.2</v>
      </c>
      <c r="I323" s="261">
        <f t="shared" si="331"/>
        <v>2213.4</v>
      </c>
      <c r="J323" s="261">
        <f t="shared" si="332"/>
        <v>2142</v>
      </c>
      <c r="K323" s="261">
        <f t="shared" si="333"/>
        <v>2213.4</v>
      </c>
      <c r="L323" s="261">
        <f t="shared" si="334"/>
        <v>2142</v>
      </c>
      <c r="M323" s="261">
        <f t="shared" si="335"/>
        <v>2213.4</v>
      </c>
      <c r="N323" s="261">
        <f t="shared" si="346"/>
        <v>2213.4</v>
      </c>
      <c r="O323" s="261">
        <f t="shared" si="336"/>
        <v>2142</v>
      </c>
      <c r="P323" s="261">
        <f t="shared" si="337"/>
        <v>2213.4</v>
      </c>
      <c r="Q323" s="261">
        <f t="shared" si="338"/>
        <v>2142</v>
      </c>
      <c r="R323" s="273">
        <f t="shared" si="339"/>
        <v>2213.4</v>
      </c>
      <c r="S323" s="248">
        <v>365</v>
      </c>
      <c r="V323" s="249"/>
    </row>
    <row r="324" spans="1:22" x14ac:dyDescent="0.25">
      <c r="A324" s="348"/>
      <c r="B324" s="351">
        <v>7</v>
      </c>
      <c r="C324" s="343" t="s">
        <v>36</v>
      </c>
      <c r="D324" s="83">
        <v>71.400000000000006</v>
      </c>
      <c r="E324" s="272">
        <v>4</v>
      </c>
      <c r="F324" s="261">
        <f t="shared" si="328"/>
        <v>104244</v>
      </c>
      <c r="G324" s="261">
        <f t="shared" si="329"/>
        <v>8853.6</v>
      </c>
      <c r="H324" s="262">
        <f t="shared" si="330"/>
        <v>7996.8</v>
      </c>
      <c r="I324" s="261">
        <f t="shared" si="331"/>
        <v>8853.6</v>
      </c>
      <c r="J324" s="261">
        <f t="shared" si="332"/>
        <v>8568</v>
      </c>
      <c r="K324" s="261">
        <f t="shared" si="333"/>
        <v>8853.6</v>
      </c>
      <c r="L324" s="261">
        <f t="shared" si="334"/>
        <v>8568</v>
      </c>
      <c r="M324" s="261">
        <f t="shared" si="335"/>
        <v>8853.6</v>
      </c>
      <c r="N324" s="261">
        <f t="shared" si="346"/>
        <v>8853.6</v>
      </c>
      <c r="O324" s="261">
        <f t="shared" si="336"/>
        <v>8568</v>
      </c>
      <c r="P324" s="261">
        <f t="shared" si="337"/>
        <v>8853.6</v>
      </c>
      <c r="Q324" s="261">
        <f t="shared" si="338"/>
        <v>8568</v>
      </c>
      <c r="R324" s="273">
        <f t="shared" si="339"/>
        <v>8853.6</v>
      </c>
      <c r="S324" s="248">
        <v>365</v>
      </c>
      <c r="V324" s="249"/>
    </row>
    <row r="325" spans="1:22" ht="15.75" customHeight="1" x14ac:dyDescent="0.25">
      <c r="A325" s="348"/>
      <c r="B325" s="351">
        <v>8</v>
      </c>
      <c r="C325" s="343" t="s">
        <v>83</v>
      </c>
      <c r="D325" s="83">
        <v>73.59</v>
      </c>
      <c r="E325" s="272">
        <v>4</v>
      </c>
      <c r="F325" s="261">
        <f t="shared" si="328"/>
        <v>107441.4</v>
      </c>
      <c r="G325" s="261">
        <f t="shared" si="329"/>
        <v>9125.16</v>
      </c>
      <c r="H325" s="262">
        <f t="shared" si="330"/>
        <v>8242.08</v>
      </c>
      <c r="I325" s="261">
        <f t="shared" si="331"/>
        <v>9125.16</v>
      </c>
      <c r="J325" s="261">
        <f t="shared" si="332"/>
        <v>8830.7999999999993</v>
      </c>
      <c r="K325" s="261">
        <f t="shared" si="333"/>
        <v>9125.16</v>
      </c>
      <c r="L325" s="261">
        <f t="shared" si="334"/>
        <v>8830.7999999999993</v>
      </c>
      <c r="M325" s="261">
        <f t="shared" si="335"/>
        <v>9125.16</v>
      </c>
      <c r="N325" s="261">
        <f t="shared" si="346"/>
        <v>9125.16</v>
      </c>
      <c r="O325" s="261">
        <f t="shared" si="336"/>
        <v>8830.7999999999993</v>
      </c>
      <c r="P325" s="261">
        <f t="shared" si="337"/>
        <v>9125.16</v>
      </c>
      <c r="Q325" s="261">
        <f t="shared" si="338"/>
        <v>8830.7999999999993</v>
      </c>
      <c r="R325" s="273">
        <f t="shared" si="339"/>
        <v>9125.16</v>
      </c>
      <c r="S325" s="248">
        <v>365</v>
      </c>
      <c r="V325" s="249"/>
    </row>
    <row r="326" spans="1:22" x14ac:dyDescent="0.25">
      <c r="A326" s="348"/>
      <c r="B326" s="351">
        <v>9</v>
      </c>
      <c r="C326" s="343" t="s">
        <v>51</v>
      </c>
      <c r="D326" s="83">
        <v>74.63</v>
      </c>
      <c r="E326" s="272">
        <v>1</v>
      </c>
      <c r="F326" s="261">
        <f t="shared" si="328"/>
        <v>27239.95</v>
      </c>
      <c r="G326" s="261">
        <f t="shared" si="329"/>
        <v>2313.5300000000002</v>
      </c>
      <c r="H326" s="262">
        <f t="shared" si="330"/>
        <v>2089.64</v>
      </c>
      <c r="I326" s="261">
        <f t="shared" si="331"/>
        <v>2313.5300000000002</v>
      </c>
      <c r="J326" s="261">
        <f t="shared" si="332"/>
        <v>2238.9</v>
      </c>
      <c r="K326" s="261">
        <f t="shared" si="333"/>
        <v>2313.5300000000002</v>
      </c>
      <c r="L326" s="261">
        <f t="shared" si="334"/>
        <v>2238.9</v>
      </c>
      <c r="M326" s="261">
        <f t="shared" si="335"/>
        <v>2313.5300000000002</v>
      </c>
      <c r="N326" s="261">
        <f t="shared" si="346"/>
        <v>2313.5300000000002</v>
      </c>
      <c r="O326" s="261">
        <f t="shared" si="336"/>
        <v>2238.9</v>
      </c>
      <c r="P326" s="261">
        <f t="shared" si="337"/>
        <v>2313.5300000000002</v>
      </c>
      <c r="Q326" s="261">
        <f t="shared" si="338"/>
        <v>2238.9</v>
      </c>
      <c r="R326" s="273">
        <f t="shared" si="339"/>
        <v>2313.5300000000002</v>
      </c>
      <c r="S326" s="248">
        <v>365</v>
      </c>
      <c r="V326" s="249"/>
    </row>
    <row r="327" spans="1:22" x14ac:dyDescent="0.25">
      <c r="A327" s="348"/>
      <c r="B327" s="351">
        <v>10</v>
      </c>
      <c r="C327" s="343" t="s">
        <v>92</v>
      </c>
      <c r="D327" s="83">
        <v>72.540000000000006</v>
      </c>
      <c r="E327" s="272">
        <v>1</v>
      </c>
      <c r="F327" s="261">
        <f t="shared" si="328"/>
        <v>26477.1</v>
      </c>
      <c r="G327" s="261">
        <f t="shared" si="329"/>
        <v>2248.7399999999998</v>
      </c>
      <c r="H327" s="262">
        <f t="shared" si="330"/>
        <v>2031.12</v>
      </c>
      <c r="I327" s="261">
        <f t="shared" si="331"/>
        <v>2248.7399999999998</v>
      </c>
      <c r="J327" s="261">
        <f t="shared" si="332"/>
        <v>2176.1999999999998</v>
      </c>
      <c r="K327" s="261">
        <f t="shared" si="333"/>
        <v>2248.7399999999998</v>
      </c>
      <c r="L327" s="261">
        <f t="shared" si="334"/>
        <v>2176.1999999999998</v>
      </c>
      <c r="M327" s="261">
        <f t="shared" si="335"/>
        <v>2248.7399999999998</v>
      </c>
      <c r="N327" s="261">
        <f t="shared" si="346"/>
        <v>2248.7399999999998</v>
      </c>
      <c r="O327" s="261">
        <f t="shared" si="336"/>
        <v>2176.1999999999998</v>
      </c>
      <c r="P327" s="261">
        <f t="shared" si="337"/>
        <v>2248.7399999999998</v>
      </c>
      <c r="Q327" s="261">
        <f t="shared" si="338"/>
        <v>2176.1999999999998</v>
      </c>
      <c r="R327" s="273">
        <f t="shared" si="339"/>
        <v>2248.7399999999998</v>
      </c>
      <c r="S327" s="248">
        <v>365</v>
      </c>
      <c r="V327" s="249"/>
    </row>
    <row r="328" spans="1:22" x14ac:dyDescent="0.25">
      <c r="A328" s="348"/>
      <c r="B328" s="351">
        <v>11</v>
      </c>
      <c r="C328" s="343" t="s">
        <v>15</v>
      </c>
      <c r="D328" s="83">
        <v>71.400000000000006</v>
      </c>
      <c r="E328" s="272">
        <v>2</v>
      </c>
      <c r="F328" s="261">
        <f t="shared" si="328"/>
        <v>52122</v>
      </c>
      <c r="G328" s="261">
        <f t="shared" si="329"/>
        <v>4426.8</v>
      </c>
      <c r="H328" s="262">
        <f t="shared" si="330"/>
        <v>3998.4</v>
      </c>
      <c r="I328" s="261">
        <f t="shared" si="331"/>
        <v>4426.8</v>
      </c>
      <c r="J328" s="261">
        <f t="shared" si="332"/>
        <v>4284</v>
      </c>
      <c r="K328" s="261">
        <f t="shared" si="333"/>
        <v>4426.8</v>
      </c>
      <c r="L328" s="261">
        <f t="shared" si="334"/>
        <v>4284</v>
      </c>
      <c r="M328" s="261">
        <f t="shared" si="335"/>
        <v>4426.8</v>
      </c>
      <c r="N328" s="261">
        <f t="shared" si="346"/>
        <v>4426.8</v>
      </c>
      <c r="O328" s="261">
        <f t="shared" si="336"/>
        <v>4284</v>
      </c>
      <c r="P328" s="261">
        <f t="shared" si="337"/>
        <v>4426.8</v>
      </c>
      <c r="Q328" s="261">
        <f t="shared" si="338"/>
        <v>4284</v>
      </c>
      <c r="R328" s="273">
        <f t="shared" si="339"/>
        <v>4426.8</v>
      </c>
      <c r="S328" s="248">
        <v>365</v>
      </c>
      <c r="V328" s="249"/>
    </row>
    <row r="329" spans="1:22" x14ac:dyDescent="0.25">
      <c r="A329" s="348"/>
      <c r="B329" s="351">
        <v>12</v>
      </c>
      <c r="C329" s="343" t="s">
        <v>75</v>
      </c>
      <c r="D329" s="83">
        <v>80.86</v>
      </c>
      <c r="E329" s="272">
        <v>1</v>
      </c>
      <c r="F329" s="261">
        <f t="shared" si="328"/>
        <v>29513.9</v>
      </c>
      <c r="G329" s="261">
        <f t="shared" si="329"/>
        <v>2506.66</v>
      </c>
      <c r="H329" s="262">
        <f t="shared" si="330"/>
        <v>2264.08</v>
      </c>
      <c r="I329" s="261">
        <f t="shared" si="331"/>
        <v>2506.66</v>
      </c>
      <c r="J329" s="261">
        <f t="shared" si="332"/>
        <v>2425.8000000000002</v>
      </c>
      <c r="K329" s="261">
        <f t="shared" si="333"/>
        <v>2506.66</v>
      </c>
      <c r="L329" s="261">
        <f t="shared" si="334"/>
        <v>2425.8000000000002</v>
      </c>
      <c r="M329" s="261">
        <f t="shared" si="335"/>
        <v>2506.66</v>
      </c>
      <c r="N329" s="261">
        <f t="shared" si="346"/>
        <v>2506.66</v>
      </c>
      <c r="O329" s="261">
        <f t="shared" si="336"/>
        <v>2425.8000000000002</v>
      </c>
      <c r="P329" s="261">
        <f t="shared" si="337"/>
        <v>2506.66</v>
      </c>
      <c r="Q329" s="261">
        <f t="shared" si="338"/>
        <v>2425.8000000000002</v>
      </c>
      <c r="R329" s="273">
        <f t="shared" si="339"/>
        <v>2506.66</v>
      </c>
      <c r="S329" s="248">
        <v>365</v>
      </c>
      <c r="V329" s="249"/>
    </row>
    <row r="330" spans="1:22" x14ac:dyDescent="0.25">
      <c r="A330" s="348"/>
      <c r="B330" s="351">
        <v>13</v>
      </c>
      <c r="C330" s="343" t="s">
        <v>54</v>
      </c>
      <c r="D330" s="83">
        <v>78.25</v>
      </c>
      <c r="E330" s="272">
        <v>20</v>
      </c>
      <c r="F330" s="261">
        <f t="shared" si="328"/>
        <v>571225</v>
      </c>
      <c r="G330" s="261">
        <f t="shared" si="329"/>
        <v>48515</v>
      </c>
      <c r="H330" s="262">
        <f t="shared" si="330"/>
        <v>43820</v>
      </c>
      <c r="I330" s="261">
        <f t="shared" si="331"/>
        <v>48515</v>
      </c>
      <c r="J330" s="261">
        <f t="shared" si="332"/>
        <v>46950</v>
      </c>
      <c r="K330" s="261">
        <f t="shared" si="333"/>
        <v>48515</v>
      </c>
      <c r="L330" s="261">
        <f t="shared" si="334"/>
        <v>46950</v>
      </c>
      <c r="M330" s="261">
        <f t="shared" si="335"/>
        <v>48515</v>
      </c>
      <c r="N330" s="261">
        <f t="shared" si="346"/>
        <v>48515</v>
      </c>
      <c r="O330" s="261">
        <f t="shared" si="336"/>
        <v>46950</v>
      </c>
      <c r="P330" s="261">
        <f t="shared" si="337"/>
        <v>48515</v>
      </c>
      <c r="Q330" s="261">
        <f t="shared" si="338"/>
        <v>46950</v>
      </c>
      <c r="R330" s="273">
        <f t="shared" si="339"/>
        <v>48515</v>
      </c>
      <c r="S330" s="248">
        <v>365</v>
      </c>
      <c r="V330" s="249"/>
    </row>
    <row r="331" spans="1:22" x14ac:dyDescent="0.25">
      <c r="A331" s="348"/>
      <c r="B331" s="351">
        <v>14</v>
      </c>
      <c r="C331" s="343" t="s">
        <v>21</v>
      </c>
      <c r="D331" s="83">
        <v>72.540000000000006</v>
      </c>
      <c r="E331" s="272">
        <v>2</v>
      </c>
      <c r="F331" s="261">
        <f t="shared" si="328"/>
        <v>52954.2</v>
      </c>
      <c r="G331" s="261">
        <f t="shared" si="329"/>
        <v>4497.4799999999996</v>
      </c>
      <c r="H331" s="262">
        <f t="shared" si="330"/>
        <v>4062.24</v>
      </c>
      <c r="I331" s="261">
        <f t="shared" si="331"/>
        <v>4497.4799999999996</v>
      </c>
      <c r="J331" s="261">
        <f t="shared" si="332"/>
        <v>4352.3999999999996</v>
      </c>
      <c r="K331" s="261">
        <f t="shared" si="333"/>
        <v>4497.4799999999996</v>
      </c>
      <c r="L331" s="261">
        <f t="shared" si="334"/>
        <v>4352.3999999999996</v>
      </c>
      <c r="M331" s="261">
        <f t="shared" si="335"/>
        <v>4497.4799999999996</v>
      </c>
      <c r="N331" s="261">
        <f t="shared" si="346"/>
        <v>4497.4799999999996</v>
      </c>
      <c r="O331" s="261">
        <f t="shared" si="336"/>
        <v>4352.3999999999996</v>
      </c>
      <c r="P331" s="261">
        <f t="shared" si="337"/>
        <v>4497.4799999999996</v>
      </c>
      <c r="Q331" s="261">
        <f t="shared" si="338"/>
        <v>4352.3999999999996</v>
      </c>
      <c r="R331" s="273">
        <f t="shared" si="339"/>
        <v>4497.4799999999996</v>
      </c>
      <c r="S331" s="248">
        <v>365</v>
      </c>
      <c r="V331" s="249"/>
    </row>
    <row r="332" spans="1:22" x14ac:dyDescent="0.25">
      <c r="A332" s="348"/>
      <c r="B332" s="436">
        <v>16</v>
      </c>
      <c r="C332" s="276" t="s">
        <v>55</v>
      </c>
      <c r="D332" s="271">
        <v>71.400000000000006</v>
      </c>
      <c r="E332" s="272">
        <v>36</v>
      </c>
      <c r="F332" s="261">
        <f t="shared" si="328"/>
        <v>938196</v>
      </c>
      <c r="G332" s="261">
        <f t="shared" ref="G332:G333" si="358">E332*D332*31</f>
        <v>79682.399999999994</v>
      </c>
      <c r="H332" s="262">
        <f>E332*D332*28</f>
        <v>71971.199999999997</v>
      </c>
      <c r="I332" s="261">
        <f>E332*D332*31</f>
        <v>79682.399999999994</v>
      </c>
      <c r="J332" s="261">
        <f>E332*D332*30</f>
        <v>77112</v>
      </c>
      <c r="K332" s="261">
        <f>E332*D332*31</f>
        <v>79682.399999999994</v>
      </c>
      <c r="L332" s="261">
        <f>E332*D332*30</f>
        <v>77112</v>
      </c>
      <c r="M332" s="261">
        <f>E332*D332*31</f>
        <v>79682.399999999994</v>
      </c>
      <c r="N332" s="261">
        <f>E332*D332*31</f>
        <v>79682.399999999994</v>
      </c>
      <c r="O332" s="261">
        <f>E332*D332*30</f>
        <v>77112</v>
      </c>
      <c r="P332" s="261">
        <f t="shared" ref="P332:P333" si="359">E332*D332*31</f>
        <v>79682.399999999994</v>
      </c>
      <c r="Q332" s="261">
        <f t="shared" ref="Q332:Q333" si="360">E332*D332*30</f>
        <v>77112</v>
      </c>
      <c r="R332" s="273">
        <f t="shared" ref="R332:R333" si="361">E332*D332*31</f>
        <v>79682.399999999994</v>
      </c>
      <c r="S332" s="248">
        <v>365</v>
      </c>
      <c r="V332" s="249"/>
    </row>
    <row r="333" spans="1:22" s="245" customFormat="1" x14ac:dyDescent="0.25">
      <c r="A333" s="354"/>
      <c r="B333" s="329">
        <v>16</v>
      </c>
      <c r="C333" s="276" t="s">
        <v>55</v>
      </c>
      <c r="D333" s="271">
        <v>71.400000000000006</v>
      </c>
      <c r="E333" s="272">
        <v>1</v>
      </c>
      <c r="F333" s="261">
        <f t="shared" si="328"/>
        <v>29345.4</v>
      </c>
      <c r="G333" s="261">
        <f t="shared" si="358"/>
        <v>2213.4</v>
      </c>
      <c r="H333" s="262">
        <f>E333*D333*28</f>
        <v>1999.2</v>
      </c>
      <c r="I333" s="261">
        <f>E333*D333*31</f>
        <v>2213.4</v>
      </c>
      <c r="J333" s="261">
        <f>E333*D333*30</f>
        <v>2142</v>
      </c>
      <c r="K333" s="261">
        <f>E333*D333*31</f>
        <v>2213.4</v>
      </c>
      <c r="L333" s="261">
        <f>E333*D333*30</f>
        <v>2142</v>
      </c>
      <c r="M333" s="261">
        <f>E333*D333*31</f>
        <v>2213.4</v>
      </c>
      <c r="N333" s="261">
        <f>E333*D333*31+(3284.4)</f>
        <v>5497.8</v>
      </c>
      <c r="O333" s="261">
        <f>E333*D333*30</f>
        <v>2142</v>
      </c>
      <c r="P333" s="261">
        <f t="shared" si="359"/>
        <v>2213.4</v>
      </c>
      <c r="Q333" s="261">
        <f t="shared" si="360"/>
        <v>2142</v>
      </c>
      <c r="R333" s="273">
        <f t="shared" si="361"/>
        <v>2213.4</v>
      </c>
      <c r="S333" s="274">
        <f>365+46</f>
        <v>411</v>
      </c>
      <c r="V333" s="275"/>
    </row>
    <row r="334" spans="1:22" s="245" customFormat="1" x14ac:dyDescent="0.25">
      <c r="A334" s="354"/>
      <c r="B334" s="329">
        <v>16</v>
      </c>
      <c r="C334" s="276" t="s">
        <v>55</v>
      </c>
      <c r="D334" s="271">
        <v>71.400000000000006</v>
      </c>
      <c r="E334" s="272">
        <v>1</v>
      </c>
      <c r="F334" s="261">
        <f t="shared" si="328"/>
        <v>6997.2</v>
      </c>
      <c r="G334" s="261">
        <f t="shared" si="329"/>
        <v>2213.4</v>
      </c>
      <c r="H334" s="262">
        <f>E334*D334*28-(D334*28)</f>
        <v>0</v>
      </c>
      <c r="I334" s="261">
        <f>E334*D334*31-(D334*31)-2213.4</f>
        <v>-2213.4</v>
      </c>
      <c r="J334" s="261">
        <f>E334*D334*30-(D334*30)</f>
        <v>0</v>
      </c>
      <c r="K334" s="261">
        <f>E334*D334*31-(D334*31)</f>
        <v>0</v>
      </c>
      <c r="L334" s="261">
        <f>E334*D334*30-(D334*30)</f>
        <v>0</v>
      </c>
      <c r="M334" s="261">
        <f>E334*D334*31-(D334*31)</f>
        <v>0</v>
      </c>
      <c r="N334" s="261">
        <f>E334*D334*31-(D334*31)</f>
        <v>0</v>
      </c>
      <c r="O334" s="261">
        <f>E334*D334*30-(D334*30)</f>
        <v>0</v>
      </c>
      <c r="P334" s="261">
        <f t="shared" si="337"/>
        <v>2213.4</v>
      </c>
      <c r="Q334" s="261">
        <f>E334*D334*30+(D334*E334*6)</f>
        <v>2570.4</v>
      </c>
      <c r="R334" s="273">
        <f t="shared" si="339"/>
        <v>2213.4</v>
      </c>
      <c r="S334" s="274">
        <f>31-31+31+30+31+6</f>
        <v>98</v>
      </c>
      <c r="V334" s="275"/>
    </row>
    <row r="335" spans="1:22" x14ac:dyDescent="0.25">
      <c r="A335" s="348"/>
      <c r="B335" s="351">
        <v>17</v>
      </c>
      <c r="C335" s="343" t="s">
        <v>62</v>
      </c>
      <c r="D335" s="83">
        <v>71.400000000000006</v>
      </c>
      <c r="E335" s="272">
        <v>26</v>
      </c>
      <c r="F335" s="261">
        <f t="shared" si="328"/>
        <v>677586</v>
      </c>
      <c r="G335" s="261">
        <f t="shared" si="329"/>
        <v>57548.4</v>
      </c>
      <c r="H335" s="262">
        <f t="shared" si="330"/>
        <v>51979.199999999997</v>
      </c>
      <c r="I335" s="261">
        <f t="shared" si="331"/>
        <v>57548.4</v>
      </c>
      <c r="J335" s="261">
        <f t="shared" si="332"/>
        <v>55692</v>
      </c>
      <c r="K335" s="261">
        <f t="shared" si="333"/>
        <v>57548.4</v>
      </c>
      <c r="L335" s="261">
        <f t="shared" si="334"/>
        <v>55692</v>
      </c>
      <c r="M335" s="261">
        <f t="shared" si="335"/>
        <v>57548.4</v>
      </c>
      <c r="N335" s="261">
        <f>E335*D335*31</f>
        <v>57548.4</v>
      </c>
      <c r="O335" s="261">
        <f t="shared" si="336"/>
        <v>55692</v>
      </c>
      <c r="P335" s="261">
        <f t="shared" si="337"/>
        <v>57548.4</v>
      </c>
      <c r="Q335" s="261">
        <f t="shared" si="338"/>
        <v>55692</v>
      </c>
      <c r="R335" s="273">
        <f t="shared" si="339"/>
        <v>57548.4</v>
      </c>
      <c r="S335" s="248">
        <v>365</v>
      </c>
      <c r="V335" s="249"/>
    </row>
    <row r="336" spans="1:22" x14ac:dyDescent="0.25">
      <c r="A336" s="348"/>
      <c r="B336" s="351">
        <v>18</v>
      </c>
      <c r="C336" s="343" t="s">
        <v>56</v>
      </c>
      <c r="D336" s="83">
        <v>72.540000000000006</v>
      </c>
      <c r="E336" s="272">
        <v>1</v>
      </c>
      <c r="F336" s="261">
        <f t="shared" si="328"/>
        <v>26477.1</v>
      </c>
      <c r="G336" s="261">
        <f t="shared" si="329"/>
        <v>2248.7399999999998</v>
      </c>
      <c r="H336" s="262">
        <f t="shared" si="330"/>
        <v>2031.12</v>
      </c>
      <c r="I336" s="261">
        <f t="shared" si="331"/>
        <v>2248.7399999999998</v>
      </c>
      <c r="J336" s="261">
        <f t="shared" si="332"/>
        <v>2176.1999999999998</v>
      </c>
      <c r="K336" s="261">
        <f t="shared" si="333"/>
        <v>2248.7399999999998</v>
      </c>
      <c r="L336" s="261">
        <f t="shared" si="334"/>
        <v>2176.1999999999998</v>
      </c>
      <c r="M336" s="261">
        <f t="shared" si="335"/>
        <v>2248.7399999999998</v>
      </c>
      <c r="N336" s="261">
        <f>E336*D336*31</f>
        <v>2248.7399999999998</v>
      </c>
      <c r="O336" s="261">
        <f t="shared" si="336"/>
        <v>2176.1999999999998</v>
      </c>
      <c r="P336" s="261">
        <f t="shared" si="337"/>
        <v>2248.7399999999998</v>
      </c>
      <c r="Q336" s="261">
        <f t="shared" si="338"/>
        <v>2176.1999999999998</v>
      </c>
      <c r="R336" s="273">
        <f t="shared" si="339"/>
        <v>2248.7399999999998</v>
      </c>
      <c r="S336" s="248">
        <v>365</v>
      </c>
      <c r="V336" s="249"/>
    </row>
    <row r="337" spans="1:22" ht="15" customHeight="1" x14ac:dyDescent="0.25">
      <c r="A337" s="348"/>
      <c r="B337" s="351">
        <v>19</v>
      </c>
      <c r="C337" s="343" t="s">
        <v>38</v>
      </c>
      <c r="D337" s="83">
        <v>75.64</v>
      </c>
      <c r="E337" s="272">
        <v>1</v>
      </c>
      <c r="F337" s="261">
        <f t="shared" si="328"/>
        <v>27608.6</v>
      </c>
      <c r="G337" s="261">
        <f t="shared" si="329"/>
        <v>2344.84</v>
      </c>
      <c r="H337" s="262">
        <f t="shared" si="330"/>
        <v>2117.92</v>
      </c>
      <c r="I337" s="261">
        <f t="shared" si="331"/>
        <v>2344.84</v>
      </c>
      <c r="J337" s="261">
        <f t="shared" si="332"/>
        <v>2269.1999999999998</v>
      </c>
      <c r="K337" s="261">
        <f t="shared" si="333"/>
        <v>2344.84</v>
      </c>
      <c r="L337" s="261">
        <f t="shared" si="334"/>
        <v>2269.1999999999998</v>
      </c>
      <c r="M337" s="261">
        <f t="shared" si="335"/>
        <v>2344.84</v>
      </c>
      <c r="N337" s="261">
        <f>E337*D337*31</f>
        <v>2344.84</v>
      </c>
      <c r="O337" s="261">
        <f t="shared" si="336"/>
        <v>2269.1999999999998</v>
      </c>
      <c r="P337" s="261">
        <f t="shared" si="337"/>
        <v>2344.84</v>
      </c>
      <c r="Q337" s="261">
        <f t="shared" si="338"/>
        <v>2269.1999999999998</v>
      </c>
      <c r="R337" s="273">
        <f t="shared" si="339"/>
        <v>2344.84</v>
      </c>
      <c r="S337" s="248">
        <f>365</f>
        <v>365</v>
      </c>
      <c r="V337" s="249"/>
    </row>
    <row r="338" spans="1:22" x14ac:dyDescent="0.25">
      <c r="A338" s="348"/>
      <c r="B338" s="351">
        <v>20</v>
      </c>
      <c r="C338" s="343" t="s">
        <v>15</v>
      </c>
      <c r="D338" s="83">
        <v>71.400000000000006</v>
      </c>
      <c r="E338" s="84">
        <v>1</v>
      </c>
      <c r="F338" s="86">
        <v>6426</v>
      </c>
      <c r="G338" s="261">
        <v>2213.4</v>
      </c>
      <c r="H338" s="262">
        <v>1999.2</v>
      </c>
      <c r="I338" s="261">
        <v>2213.4</v>
      </c>
      <c r="J338" s="86"/>
      <c r="K338" s="86"/>
      <c r="L338" s="86"/>
      <c r="M338" s="86"/>
      <c r="N338" s="86"/>
      <c r="O338" s="86"/>
      <c r="P338" s="86"/>
      <c r="Q338" s="86"/>
      <c r="R338" s="102"/>
      <c r="S338" s="248">
        <v>90</v>
      </c>
      <c r="V338" s="249"/>
    </row>
    <row r="339" spans="1:22" s="245" customFormat="1" x14ac:dyDescent="0.25">
      <c r="A339" s="354"/>
      <c r="B339" s="351">
        <v>21</v>
      </c>
      <c r="C339" s="270" t="s">
        <v>44</v>
      </c>
      <c r="D339" s="271">
        <v>72.540000000000006</v>
      </c>
      <c r="E339" s="272"/>
      <c r="F339" s="261">
        <v>58757.4</v>
      </c>
      <c r="G339" s="261">
        <v>20238.66</v>
      </c>
      <c r="H339" s="262">
        <v>18280.080000000002</v>
      </c>
      <c r="I339" s="261">
        <v>20238.66</v>
      </c>
      <c r="J339" s="261"/>
      <c r="K339" s="261"/>
      <c r="L339" s="261"/>
      <c r="M339" s="261"/>
      <c r="N339" s="261"/>
      <c r="O339" s="261"/>
      <c r="P339" s="261"/>
      <c r="Q339" s="261"/>
      <c r="R339" s="273"/>
      <c r="S339" s="274">
        <v>90</v>
      </c>
      <c r="T339"/>
      <c r="U339"/>
      <c r="V339" s="275"/>
    </row>
    <row r="340" spans="1:22" s="245" customFormat="1" x14ac:dyDescent="0.25">
      <c r="A340" s="354"/>
      <c r="B340" s="351">
        <v>22</v>
      </c>
      <c r="C340" s="276" t="s">
        <v>89</v>
      </c>
      <c r="D340" s="271">
        <v>71.400000000000006</v>
      </c>
      <c r="E340" s="272"/>
      <c r="F340" s="261">
        <v>51408</v>
      </c>
      <c r="G340" s="261">
        <v>17707.2</v>
      </c>
      <c r="H340" s="262">
        <v>15993.6</v>
      </c>
      <c r="I340" s="261">
        <v>17707.2</v>
      </c>
      <c r="J340" s="261"/>
      <c r="K340" s="261"/>
      <c r="L340" s="261"/>
      <c r="M340" s="261"/>
      <c r="N340" s="261"/>
      <c r="O340" s="261"/>
      <c r="P340" s="261"/>
      <c r="Q340" s="261"/>
      <c r="R340" s="273"/>
      <c r="S340" s="274">
        <v>90</v>
      </c>
      <c r="T340"/>
      <c r="U340"/>
      <c r="V340" s="275"/>
    </row>
    <row r="341" spans="1:22" s="245" customFormat="1" x14ac:dyDescent="0.25">
      <c r="A341" s="354"/>
      <c r="B341" s="351">
        <v>23</v>
      </c>
      <c r="C341" s="276" t="s">
        <v>90</v>
      </c>
      <c r="D341" s="271">
        <v>71.400000000000006</v>
      </c>
      <c r="E341" s="272"/>
      <c r="F341" s="261">
        <v>12852</v>
      </c>
      <c r="G341" s="261">
        <v>4426.8</v>
      </c>
      <c r="H341" s="262">
        <v>3998.4</v>
      </c>
      <c r="I341" s="261">
        <v>4426.8</v>
      </c>
      <c r="J341" s="261"/>
      <c r="K341" s="261"/>
      <c r="L341" s="261"/>
      <c r="M341" s="261"/>
      <c r="N341" s="261"/>
      <c r="O341" s="261"/>
      <c r="P341" s="261"/>
      <c r="Q341" s="261"/>
      <c r="R341" s="273"/>
      <c r="S341" s="274">
        <v>90</v>
      </c>
      <c r="T341"/>
      <c r="U341"/>
      <c r="V341" s="275"/>
    </row>
    <row r="342" spans="1:22" s="245" customFormat="1" x14ac:dyDescent="0.25">
      <c r="A342" s="354"/>
      <c r="B342" s="351">
        <v>24</v>
      </c>
      <c r="C342" s="276" t="s">
        <v>142</v>
      </c>
      <c r="D342" s="271">
        <v>75.64</v>
      </c>
      <c r="E342" s="272"/>
      <c r="F342" s="261">
        <v>6807.6</v>
      </c>
      <c r="G342" s="261">
        <v>2344.84</v>
      </c>
      <c r="H342" s="262">
        <v>2117.92</v>
      </c>
      <c r="I342" s="261">
        <v>2344.84</v>
      </c>
      <c r="J342" s="261"/>
      <c r="K342" s="261"/>
      <c r="L342" s="261"/>
      <c r="M342" s="261"/>
      <c r="N342" s="261"/>
      <c r="O342" s="261"/>
      <c r="P342" s="261"/>
      <c r="Q342" s="261"/>
      <c r="R342" s="273"/>
      <c r="S342" s="274">
        <v>90</v>
      </c>
      <c r="T342"/>
      <c r="U342"/>
      <c r="V342" s="275"/>
    </row>
    <row r="343" spans="1:22" s="245" customFormat="1" x14ac:dyDescent="0.25">
      <c r="A343" s="354"/>
      <c r="B343" s="351">
        <v>25</v>
      </c>
      <c r="C343" s="276" t="s">
        <v>36</v>
      </c>
      <c r="D343" s="271">
        <v>71.400000000000006</v>
      </c>
      <c r="E343" s="272"/>
      <c r="F343" s="261">
        <v>96390</v>
      </c>
      <c r="G343" s="261">
        <v>33201</v>
      </c>
      <c r="H343" s="262">
        <v>29988</v>
      </c>
      <c r="I343" s="261">
        <v>33201</v>
      </c>
      <c r="J343" s="261"/>
      <c r="K343" s="261"/>
      <c r="L343" s="261"/>
      <c r="M343" s="261"/>
      <c r="N343" s="261"/>
      <c r="O343" s="261"/>
      <c r="P343" s="261"/>
      <c r="Q343" s="261"/>
      <c r="R343" s="273"/>
      <c r="S343" s="274">
        <v>90</v>
      </c>
      <c r="T343"/>
      <c r="U343"/>
      <c r="V343" s="275"/>
    </row>
    <row r="344" spans="1:22" s="245" customFormat="1" ht="26.25" x14ac:dyDescent="0.25">
      <c r="A344" s="354"/>
      <c r="B344" s="351">
        <v>26</v>
      </c>
      <c r="C344" s="276" t="s">
        <v>143</v>
      </c>
      <c r="D344" s="271">
        <v>72.540000000000006</v>
      </c>
      <c r="E344" s="272"/>
      <c r="F344" s="261">
        <v>6528.6</v>
      </c>
      <c r="G344" s="261">
        <v>2248.7399999999998</v>
      </c>
      <c r="H344" s="262">
        <v>2031.12</v>
      </c>
      <c r="I344" s="261">
        <v>2248.7399999999998</v>
      </c>
      <c r="J344" s="261"/>
      <c r="K344" s="261"/>
      <c r="L344" s="261"/>
      <c r="M344" s="261"/>
      <c r="N344" s="261"/>
      <c r="O344" s="261"/>
      <c r="P344" s="261"/>
      <c r="Q344" s="261"/>
      <c r="R344" s="273"/>
      <c r="S344" s="274">
        <v>90</v>
      </c>
      <c r="T344"/>
      <c r="U344"/>
      <c r="V344" s="275"/>
    </row>
    <row r="345" spans="1:22" s="245" customFormat="1" x14ac:dyDescent="0.25">
      <c r="A345" s="354"/>
      <c r="B345" s="351">
        <v>27</v>
      </c>
      <c r="C345" s="276" t="s">
        <v>54</v>
      </c>
      <c r="D345" s="271">
        <v>78.25</v>
      </c>
      <c r="E345" s="272"/>
      <c r="F345" s="261">
        <v>14085</v>
      </c>
      <c r="G345" s="261">
        <v>4851.5</v>
      </c>
      <c r="H345" s="262">
        <v>4382</v>
      </c>
      <c r="I345" s="261">
        <v>4851.5</v>
      </c>
      <c r="J345" s="261"/>
      <c r="K345" s="261"/>
      <c r="L345" s="261"/>
      <c r="M345" s="261"/>
      <c r="N345" s="261"/>
      <c r="O345" s="261"/>
      <c r="P345" s="261"/>
      <c r="Q345" s="261"/>
      <c r="R345" s="273"/>
      <c r="S345" s="274">
        <v>90</v>
      </c>
      <c r="T345"/>
      <c r="U345"/>
      <c r="V345" s="275"/>
    </row>
    <row r="346" spans="1:22" s="245" customFormat="1" x14ac:dyDescent="0.25">
      <c r="A346" s="354"/>
      <c r="B346" s="351">
        <v>28</v>
      </c>
      <c r="C346" s="276" t="s">
        <v>55</v>
      </c>
      <c r="D346" s="271">
        <v>71.400000000000006</v>
      </c>
      <c r="E346" s="272"/>
      <c r="F346" s="261">
        <v>629748</v>
      </c>
      <c r="G346" s="261">
        <v>216913.2</v>
      </c>
      <c r="H346" s="262">
        <v>195921.6</v>
      </c>
      <c r="I346" s="261">
        <v>216913.2</v>
      </c>
      <c r="J346" s="261"/>
      <c r="K346" s="261"/>
      <c r="L346" s="261"/>
      <c r="M346" s="261"/>
      <c r="N346" s="261"/>
      <c r="O346" s="261"/>
      <c r="P346" s="261"/>
      <c r="Q346" s="261"/>
      <c r="R346" s="273"/>
      <c r="S346" s="274">
        <v>90</v>
      </c>
      <c r="T346"/>
      <c r="U346"/>
      <c r="V346" s="275"/>
    </row>
    <row r="347" spans="1:22" s="245" customFormat="1" x14ac:dyDescent="0.25">
      <c r="A347" s="354"/>
      <c r="B347" s="351">
        <v>29</v>
      </c>
      <c r="C347" s="276" t="s">
        <v>62</v>
      </c>
      <c r="D347" s="271">
        <v>71.400000000000006</v>
      </c>
      <c r="E347" s="272"/>
      <c r="F347" s="261">
        <v>89964</v>
      </c>
      <c r="G347" s="261">
        <v>30987.599999999999</v>
      </c>
      <c r="H347" s="262">
        <v>27988.799999999999</v>
      </c>
      <c r="I347" s="261">
        <v>30987.599999999999</v>
      </c>
      <c r="J347" s="261"/>
      <c r="K347" s="261"/>
      <c r="L347" s="261"/>
      <c r="M347" s="261"/>
      <c r="N347" s="261"/>
      <c r="O347" s="261"/>
      <c r="P347" s="261"/>
      <c r="Q347" s="261"/>
      <c r="R347" s="273"/>
      <c r="S347" s="274">
        <v>90</v>
      </c>
      <c r="U347"/>
      <c r="V347" s="275"/>
    </row>
    <row r="348" spans="1:22" ht="15.75" thickBot="1" x14ac:dyDescent="0.3">
      <c r="A348" s="348"/>
      <c r="B348" s="352"/>
      <c r="C348" s="89" t="s">
        <v>40</v>
      </c>
      <c r="D348" s="90"/>
      <c r="E348" s="66"/>
      <c r="F348" s="94">
        <f>5211722-SUM(F317:F347)-22900</f>
        <v>19086.73</v>
      </c>
      <c r="G348" s="92"/>
      <c r="H348" s="93"/>
      <c r="I348" s="94"/>
      <c r="J348" s="91"/>
      <c r="K348" s="94"/>
      <c r="L348" s="91"/>
      <c r="M348" s="94"/>
      <c r="N348" s="94"/>
      <c r="O348" s="94"/>
      <c r="P348" s="94"/>
      <c r="Q348" s="94"/>
      <c r="R348" s="121"/>
      <c r="S348" s="1">
        <f>19086.73-F348</f>
        <v>0</v>
      </c>
      <c r="V348" s="249"/>
    </row>
    <row r="349" spans="1:22" ht="15.75" thickBot="1" x14ac:dyDescent="0.3">
      <c r="A349" s="348"/>
      <c r="B349" s="384"/>
      <c r="C349" s="141" t="s">
        <v>101</v>
      </c>
      <c r="D349" s="142"/>
      <c r="E349" s="143">
        <f t="shared" ref="E349:R349" si="362">E351+E376</f>
        <v>0</v>
      </c>
      <c r="F349" s="144">
        <f t="shared" si="362"/>
        <v>0</v>
      </c>
      <c r="G349" s="144">
        <f t="shared" si="362"/>
        <v>0</v>
      </c>
      <c r="H349" s="144">
        <f t="shared" si="362"/>
        <v>0</v>
      </c>
      <c r="I349" s="144">
        <f t="shared" si="362"/>
        <v>0</v>
      </c>
      <c r="J349" s="144">
        <f t="shared" si="362"/>
        <v>0</v>
      </c>
      <c r="K349" s="144">
        <f t="shared" si="362"/>
        <v>0</v>
      </c>
      <c r="L349" s="144">
        <f t="shared" si="362"/>
        <v>0</v>
      </c>
      <c r="M349" s="144">
        <f t="shared" si="362"/>
        <v>0</v>
      </c>
      <c r="N349" s="144">
        <f t="shared" si="362"/>
        <v>0</v>
      </c>
      <c r="O349" s="144">
        <f t="shared" si="362"/>
        <v>0</v>
      </c>
      <c r="P349" s="144">
        <f t="shared" si="362"/>
        <v>0</v>
      </c>
      <c r="Q349" s="144">
        <f t="shared" si="362"/>
        <v>0</v>
      </c>
      <c r="R349" s="145">
        <f t="shared" si="362"/>
        <v>0</v>
      </c>
    </row>
    <row r="350" spans="1:22" x14ac:dyDescent="0.25">
      <c r="A350" s="348"/>
      <c r="B350" s="353"/>
      <c r="C350" s="450" t="s">
        <v>46</v>
      </c>
      <c r="D350" s="450"/>
      <c r="E350" s="146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8"/>
    </row>
    <row r="351" spans="1:22" ht="34.5" customHeight="1" thickBot="1" x14ac:dyDescent="0.3">
      <c r="A351" s="348"/>
      <c r="B351" s="383"/>
      <c r="C351" s="449" t="s">
        <v>102</v>
      </c>
      <c r="D351" s="449"/>
      <c r="E351" s="149">
        <f t="shared" ref="E351:R351" si="363">E352+E356+E360+E364+E368+E372</f>
        <v>0</v>
      </c>
      <c r="F351" s="136">
        <f>F352+F356+F360+F364+F368+F372</f>
        <v>0</v>
      </c>
      <c r="G351" s="136">
        <f>G352+G356+G360+G364+G368+G372</f>
        <v>0</v>
      </c>
      <c r="H351" s="136">
        <f t="shared" si="363"/>
        <v>0</v>
      </c>
      <c r="I351" s="136">
        <f t="shared" si="363"/>
        <v>0</v>
      </c>
      <c r="J351" s="136">
        <f t="shared" si="363"/>
        <v>0</v>
      </c>
      <c r="K351" s="136">
        <f t="shared" si="363"/>
        <v>0</v>
      </c>
      <c r="L351" s="136">
        <f t="shared" si="363"/>
        <v>0</v>
      </c>
      <c r="M351" s="136">
        <f t="shared" si="363"/>
        <v>0</v>
      </c>
      <c r="N351" s="136">
        <f t="shared" si="363"/>
        <v>0</v>
      </c>
      <c r="O351" s="136">
        <f t="shared" si="363"/>
        <v>0</v>
      </c>
      <c r="P351" s="136">
        <f t="shared" si="363"/>
        <v>0</v>
      </c>
      <c r="Q351" s="136">
        <f t="shared" si="363"/>
        <v>0</v>
      </c>
      <c r="R351" s="137">
        <f t="shared" si="363"/>
        <v>0</v>
      </c>
    </row>
    <row r="352" spans="1:22" x14ac:dyDescent="0.25">
      <c r="A352" s="348"/>
      <c r="B352" s="377"/>
      <c r="C352" s="451" t="s">
        <v>103</v>
      </c>
      <c r="D352" s="452"/>
      <c r="E352" s="246">
        <f t="shared" ref="E352:R352" si="364">SUM(E354:E354)</f>
        <v>0</v>
      </c>
      <c r="F352" s="182">
        <f t="shared" si="364"/>
        <v>0</v>
      </c>
      <c r="G352" s="182">
        <f t="shared" si="364"/>
        <v>0</v>
      </c>
      <c r="H352" s="182">
        <f t="shared" si="364"/>
        <v>0</v>
      </c>
      <c r="I352" s="182">
        <f t="shared" si="364"/>
        <v>0</v>
      </c>
      <c r="J352" s="182">
        <f t="shared" si="364"/>
        <v>0</v>
      </c>
      <c r="K352" s="182">
        <f t="shared" si="364"/>
        <v>0</v>
      </c>
      <c r="L352" s="182">
        <f t="shared" si="364"/>
        <v>0</v>
      </c>
      <c r="M352" s="182">
        <f t="shared" si="364"/>
        <v>0</v>
      </c>
      <c r="N352" s="182">
        <f t="shared" si="364"/>
        <v>0</v>
      </c>
      <c r="O352" s="182">
        <f t="shared" si="364"/>
        <v>0</v>
      </c>
      <c r="P352" s="182">
        <f t="shared" si="364"/>
        <v>0</v>
      </c>
      <c r="Q352" s="182">
        <f t="shared" si="364"/>
        <v>0</v>
      </c>
      <c r="R352" s="361">
        <f t="shared" si="364"/>
        <v>0</v>
      </c>
    </row>
    <row r="353" spans="1:19" x14ac:dyDescent="0.25">
      <c r="A353" s="348"/>
      <c r="B353" s="385"/>
      <c r="C353" s="370"/>
      <c r="D353" s="150"/>
      <c r="E353" s="151"/>
      <c r="F353" s="183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6"/>
    </row>
    <row r="354" spans="1:19" x14ac:dyDescent="0.25">
      <c r="A354" s="348"/>
      <c r="B354" s="351"/>
      <c r="C354" s="369" t="s">
        <v>40</v>
      </c>
      <c r="D354" s="83"/>
      <c r="E354" s="84"/>
      <c r="F354" s="86">
        <v>0</v>
      </c>
      <c r="G354" s="103"/>
      <c r="H354" s="87"/>
      <c r="I354" s="86"/>
      <c r="J354" s="86"/>
      <c r="K354" s="86"/>
      <c r="L354" s="86"/>
      <c r="M354" s="86"/>
      <c r="N354" s="86"/>
      <c r="O354" s="86"/>
      <c r="P354" s="86"/>
      <c r="Q354" s="86"/>
      <c r="R354" s="102">
        <v>0</v>
      </c>
      <c r="S354" s="171"/>
    </row>
    <row r="355" spans="1:19" ht="15" customHeight="1" x14ac:dyDescent="0.25">
      <c r="A355" s="348"/>
      <c r="B355" s="351"/>
      <c r="C355" s="457" t="s">
        <v>104</v>
      </c>
      <c r="D355" s="458"/>
      <c r="E355" s="84"/>
      <c r="F355" s="86"/>
      <c r="G355" s="86"/>
      <c r="H355" s="87"/>
      <c r="I355" s="86"/>
      <c r="J355" s="86"/>
      <c r="K355" s="86"/>
      <c r="L355" s="86"/>
      <c r="M355" s="86"/>
      <c r="N355" s="86"/>
      <c r="O355" s="86"/>
      <c r="P355" s="86"/>
      <c r="Q355" s="86"/>
      <c r="R355" s="102"/>
    </row>
    <row r="356" spans="1:19" ht="15" customHeight="1" x14ac:dyDescent="0.25">
      <c r="A356" s="348"/>
      <c r="B356" s="257"/>
      <c r="C356" s="459"/>
      <c r="D356" s="460"/>
      <c r="E356" s="244">
        <f t="shared" ref="E356:R356" si="365">SUM(E358:E358)</f>
        <v>0</v>
      </c>
      <c r="F356" s="184">
        <f t="shared" si="365"/>
        <v>0</v>
      </c>
      <c r="G356" s="184">
        <f t="shared" si="365"/>
        <v>0</v>
      </c>
      <c r="H356" s="184">
        <f t="shared" si="365"/>
        <v>0</v>
      </c>
      <c r="I356" s="184">
        <f t="shared" si="365"/>
        <v>0</v>
      </c>
      <c r="J356" s="184">
        <f t="shared" si="365"/>
        <v>0</v>
      </c>
      <c r="K356" s="184">
        <f t="shared" si="365"/>
        <v>0</v>
      </c>
      <c r="L356" s="184">
        <f t="shared" si="365"/>
        <v>0</v>
      </c>
      <c r="M356" s="184">
        <f t="shared" si="365"/>
        <v>0</v>
      </c>
      <c r="N356" s="184">
        <f t="shared" si="365"/>
        <v>0</v>
      </c>
      <c r="O356" s="184">
        <f t="shared" si="365"/>
        <v>0</v>
      </c>
      <c r="P356" s="184">
        <f t="shared" si="365"/>
        <v>0</v>
      </c>
      <c r="Q356" s="184">
        <f t="shared" si="365"/>
        <v>0</v>
      </c>
      <c r="R356" s="185">
        <f t="shared" si="365"/>
        <v>0</v>
      </c>
    </row>
    <row r="357" spans="1:19" ht="27" customHeight="1" x14ac:dyDescent="0.25">
      <c r="A357" s="348"/>
      <c r="B357" s="351"/>
      <c r="C357" s="370"/>
      <c r="D357" s="150"/>
      <c r="E357" s="151"/>
      <c r="F357" s="183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6"/>
    </row>
    <row r="358" spans="1:19" x14ac:dyDescent="0.25">
      <c r="A358" s="348"/>
      <c r="B358" s="351"/>
      <c r="C358" s="369" t="s">
        <v>40</v>
      </c>
      <c r="D358" s="83"/>
      <c r="E358" s="84"/>
      <c r="F358" s="86">
        <v>0</v>
      </c>
      <c r="G358" s="103"/>
      <c r="H358" s="87"/>
      <c r="I358" s="86"/>
      <c r="J358" s="86"/>
      <c r="K358" s="86"/>
      <c r="L358" s="86"/>
      <c r="M358" s="86"/>
      <c r="N358" s="86"/>
      <c r="O358" s="86"/>
      <c r="P358" s="86"/>
      <c r="Q358" s="86"/>
      <c r="R358" s="102">
        <v>0</v>
      </c>
    </row>
    <row r="359" spans="1:19" ht="15" customHeight="1" x14ac:dyDescent="0.25">
      <c r="A359" s="348"/>
      <c r="B359" s="248"/>
      <c r="C359" s="457" t="s">
        <v>105</v>
      </c>
      <c r="D359" s="458"/>
      <c r="E359" s="153"/>
      <c r="F359" s="154"/>
      <c r="G359" s="154"/>
      <c r="H359" s="155"/>
      <c r="I359" s="154"/>
      <c r="J359" s="154"/>
      <c r="K359" s="154"/>
      <c r="L359" s="154"/>
      <c r="M359" s="154"/>
      <c r="N359" s="154"/>
      <c r="O359" s="154"/>
      <c r="P359" s="154"/>
      <c r="Q359" s="154"/>
      <c r="R359" s="156"/>
    </row>
    <row r="360" spans="1:19" ht="15" customHeight="1" x14ac:dyDescent="0.25">
      <c r="A360" s="348"/>
      <c r="B360" s="248"/>
      <c r="C360" s="459"/>
      <c r="D360" s="460"/>
      <c r="E360" s="157">
        <f t="shared" ref="E360:R360" si="366">SUM(E362:E362)</f>
        <v>0</v>
      </c>
      <c r="F360" s="184">
        <f t="shared" si="366"/>
        <v>0</v>
      </c>
      <c r="G360" s="184">
        <f t="shared" si="366"/>
        <v>0</v>
      </c>
      <c r="H360" s="184">
        <f t="shared" si="366"/>
        <v>0</v>
      </c>
      <c r="I360" s="184">
        <f t="shared" si="366"/>
        <v>0</v>
      </c>
      <c r="J360" s="184">
        <f t="shared" si="366"/>
        <v>0</v>
      </c>
      <c r="K360" s="184">
        <f t="shared" si="366"/>
        <v>0</v>
      </c>
      <c r="L360" s="184">
        <f t="shared" si="366"/>
        <v>0</v>
      </c>
      <c r="M360" s="184">
        <f t="shared" si="366"/>
        <v>0</v>
      </c>
      <c r="N360" s="184">
        <f t="shared" si="366"/>
        <v>0</v>
      </c>
      <c r="O360" s="184">
        <f t="shared" si="366"/>
        <v>0</v>
      </c>
      <c r="P360" s="184">
        <f t="shared" si="366"/>
        <v>0</v>
      </c>
      <c r="Q360" s="184">
        <f t="shared" si="366"/>
        <v>0</v>
      </c>
      <c r="R360" s="185">
        <f t="shared" si="366"/>
        <v>0</v>
      </c>
    </row>
    <row r="361" spans="1:19" x14ac:dyDescent="0.25">
      <c r="A361" s="348"/>
      <c r="B361" s="351"/>
      <c r="C361" s="370"/>
      <c r="D361" s="150"/>
      <c r="E361" s="151"/>
      <c r="F361" s="183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6"/>
    </row>
    <row r="362" spans="1:19" x14ac:dyDescent="0.25">
      <c r="A362" s="348"/>
      <c r="B362" s="351"/>
      <c r="C362" s="369" t="s">
        <v>40</v>
      </c>
      <c r="D362" s="83"/>
      <c r="E362" s="84"/>
      <c r="F362" s="86">
        <v>0</v>
      </c>
      <c r="G362" s="103"/>
      <c r="H362" s="158"/>
      <c r="I362" s="86"/>
      <c r="J362" s="86"/>
      <c r="K362" s="86"/>
      <c r="L362" s="88"/>
      <c r="M362" s="86"/>
      <c r="N362" s="86"/>
      <c r="O362" s="86"/>
      <c r="P362" s="86"/>
      <c r="Q362" s="86"/>
      <c r="R362" s="102">
        <v>0</v>
      </c>
    </row>
    <row r="363" spans="1:19" x14ac:dyDescent="0.25">
      <c r="A363" s="348"/>
      <c r="B363" s="248"/>
      <c r="C363" s="342"/>
      <c r="D363" s="152"/>
      <c r="E363" s="153"/>
      <c r="F363" s="154"/>
      <c r="G363" s="154"/>
      <c r="H363" s="159"/>
      <c r="I363" s="154"/>
      <c r="J363" s="154"/>
      <c r="K363" s="154"/>
      <c r="L363" s="160"/>
      <c r="M363" s="154"/>
      <c r="N363" s="154"/>
      <c r="O363" s="154"/>
      <c r="P363" s="154"/>
      <c r="Q363" s="154"/>
      <c r="R363" s="156"/>
    </row>
    <row r="364" spans="1:19" ht="31.5" customHeight="1" x14ac:dyDescent="0.25">
      <c r="A364" s="348"/>
      <c r="B364" s="248"/>
      <c r="C364" s="453" t="s">
        <v>106</v>
      </c>
      <c r="D364" s="454"/>
      <c r="E364" s="157">
        <v>0</v>
      </c>
      <c r="F364" s="184">
        <f t="shared" ref="F364:R364" si="367">SUM(F366:F366)</f>
        <v>0</v>
      </c>
      <c r="G364" s="184">
        <f t="shared" si="367"/>
        <v>0</v>
      </c>
      <c r="H364" s="184">
        <f t="shared" si="367"/>
        <v>0</v>
      </c>
      <c r="I364" s="184">
        <f t="shared" si="367"/>
        <v>0</v>
      </c>
      <c r="J364" s="184">
        <f t="shared" si="367"/>
        <v>0</v>
      </c>
      <c r="K364" s="184">
        <f t="shared" si="367"/>
        <v>0</v>
      </c>
      <c r="L364" s="184">
        <f t="shared" si="367"/>
        <v>0</v>
      </c>
      <c r="M364" s="184">
        <f t="shared" si="367"/>
        <v>0</v>
      </c>
      <c r="N364" s="184">
        <f t="shared" si="367"/>
        <v>0</v>
      </c>
      <c r="O364" s="184">
        <f t="shared" si="367"/>
        <v>0</v>
      </c>
      <c r="P364" s="184">
        <f t="shared" si="367"/>
        <v>0</v>
      </c>
      <c r="Q364" s="184">
        <f t="shared" si="367"/>
        <v>0</v>
      </c>
      <c r="R364" s="185">
        <f t="shared" si="367"/>
        <v>0</v>
      </c>
    </row>
    <row r="365" spans="1:19" x14ac:dyDescent="0.25">
      <c r="A365" s="348"/>
      <c r="B365" s="351"/>
      <c r="C365" s="370"/>
      <c r="D365" s="150"/>
      <c r="E365" s="151"/>
      <c r="F365" s="183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6"/>
    </row>
    <row r="366" spans="1:19" x14ac:dyDescent="0.25">
      <c r="A366" s="348"/>
      <c r="B366" s="351"/>
      <c r="C366" s="369" t="s">
        <v>40</v>
      </c>
      <c r="D366" s="83"/>
      <c r="E366" s="84"/>
      <c r="F366" s="86">
        <v>0</v>
      </c>
      <c r="G366" s="103"/>
      <c r="H366" s="158"/>
      <c r="I366" s="86"/>
      <c r="J366" s="86"/>
      <c r="K366" s="86"/>
      <c r="L366" s="88"/>
      <c r="M366" s="86"/>
      <c r="N366" s="86"/>
      <c r="O366" s="86"/>
      <c r="P366" s="86"/>
      <c r="Q366" s="86"/>
      <c r="R366" s="102">
        <v>0</v>
      </c>
    </row>
    <row r="367" spans="1:19" x14ac:dyDescent="0.25">
      <c r="A367" s="348"/>
      <c r="B367" s="248"/>
      <c r="C367" s="461" t="s">
        <v>107</v>
      </c>
      <c r="D367" s="462"/>
      <c r="E367" s="153"/>
      <c r="F367" s="154"/>
      <c r="G367" s="160"/>
      <c r="H367" s="159"/>
      <c r="I367" s="154"/>
      <c r="J367" s="154"/>
      <c r="K367" s="154"/>
      <c r="L367" s="160"/>
      <c r="M367" s="154"/>
      <c r="N367" s="154"/>
      <c r="O367" s="154"/>
      <c r="P367" s="154"/>
      <c r="Q367" s="154"/>
      <c r="R367" s="156"/>
    </row>
    <row r="368" spans="1:19" ht="15" customHeight="1" x14ac:dyDescent="0.25">
      <c r="A368" s="348"/>
      <c r="B368" s="248"/>
      <c r="C368" s="463"/>
      <c r="D368" s="464"/>
      <c r="E368" s="244">
        <f t="shared" ref="E368:R368" si="368">SUM(E370:E370)</f>
        <v>0</v>
      </c>
      <c r="F368" s="184">
        <f t="shared" si="368"/>
        <v>0</v>
      </c>
      <c r="G368" s="184">
        <f t="shared" si="368"/>
        <v>0</v>
      </c>
      <c r="H368" s="184">
        <f t="shared" si="368"/>
        <v>0</v>
      </c>
      <c r="I368" s="184">
        <f t="shared" si="368"/>
        <v>0</v>
      </c>
      <c r="J368" s="184">
        <f t="shared" si="368"/>
        <v>0</v>
      </c>
      <c r="K368" s="184">
        <f t="shared" si="368"/>
        <v>0</v>
      </c>
      <c r="L368" s="184">
        <f t="shared" si="368"/>
        <v>0</v>
      </c>
      <c r="M368" s="184">
        <f t="shared" si="368"/>
        <v>0</v>
      </c>
      <c r="N368" s="184">
        <f t="shared" si="368"/>
        <v>0</v>
      </c>
      <c r="O368" s="184">
        <f t="shared" si="368"/>
        <v>0</v>
      </c>
      <c r="P368" s="184">
        <f t="shared" si="368"/>
        <v>0</v>
      </c>
      <c r="Q368" s="184">
        <f t="shared" si="368"/>
        <v>0</v>
      </c>
      <c r="R368" s="185">
        <f t="shared" si="368"/>
        <v>0</v>
      </c>
    </row>
    <row r="369" spans="1:18" x14ac:dyDescent="0.25">
      <c r="A369" s="348"/>
      <c r="B369" s="351"/>
      <c r="C369" s="370"/>
      <c r="D369" s="150"/>
      <c r="E369" s="151"/>
      <c r="F369" s="183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6"/>
    </row>
    <row r="370" spans="1:18" x14ac:dyDescent="0.25">
      <c r="A370" s="348"/>
      <c r="B370" s="351"/>
      <c r="C370" s="369" t="s">
        <v>40</v>
      </c>
      <c r="D370" s="83"/>
      <c r="E370" s="84"/>
      <c r="F370" s="86">
        <v>0</v>
      </c>
      <c r="G370" s="103"/>
      <c r="H370" s="87"/>
      <c r="I370" s="86"/>
      <c r="J370" s="86"/>
      <c r="K370" s="86"/>
      <c r="L370" s="86"/>
      <c r="M370" s="86"/>
      <c r="N370" s="86"/>
      <c r="O370" s="86"/>
      <c r="P370" s="86"/>
      <c r="Q370" s="86"/>
      <c r="R370" s="102">
        <v>0</v>
      </c>
    </row>
    <row r="371" spans="1:18" x14ac:dyDescent="0.25">
      <c r="A371" s="348"/>
      <c r="B371" s="248"/>
      <c r="C371" s="457" t="s">
        <v>108</v>
      </c>
      <c r="D371" s="458"/>
      <c r="E371" s="153"/>
      <c r="F371" s="160"/>
      <c r="G371" s="160"/>
      <c r="H371" s="159"/>
      <c r="I371" s="154"/>
      <c r="J371" s="154"/>
      <c r="K371" s="154"/>
      <c r="L371" s="154"/>
      <c r="M371" s="154"/>
      <c r="N371" s="154"/>
      <c r="O371" s="154"/>
      <c r="P371" s="154"/>
      <c r="Q371" s="154"/>
      <c r="R371" s="156"/>
    </row>
    <row r="372" spans="1:18" ht="15" customHeight="1" x14ac:dyDescent="0.25">
      <c r="A372" s="348"/>
      <c r="B372" s="248"/>
      <c r="C372" s="459"/>
      <c r="D372" s="460"/>
      <c r="E372" s="157">
        <v>0</v>
      </c>
      <c r="F372" s="184">
        <f t="shared" ref="F372:R372" si="369">SUM(F374:F374)</f>
        <v>0</v>
      </c>
      <c r="G372" s="184">
        <f t="shared" si="369"/>
        <v>0</v>
      </c>
      <c r="H372" s="184">
        <f t="shared" si="369"/>
        <v>0</v>
      </c>
      <c r="I372" s="184">
        <f t="shared" si="369"/>
        <v>0</v>
      </c>
      <c r="J372" s="184">
        <f t="shared" si="369"/>
        <v>0</v>
      </c>
      <c r="K372" s="184">
        <f t="shared" si="369"/>
        <v>0</v>
      </c>
      <c r="L372" s="184">
        <f t="shared" si="369"/>
        <v>0</v>
      </c>
      <c r="M372" s="184">
        <f t="shared" si="369"/>
        <v>0</v>
      </c>
      <c r="N372" s="184">
        <f t="shared" si="369"/>
        <v>0</v>
      </c>
      <c r="O372" s="184">
        <f t="shared" si="369"/>
        <v>0</v>
      </c>
      <c r="P372" s="184">
        <f t="shared" si="369"/>
        <v>0</v>
      </c>
      <c r="Q372" s="184">
        <f t="shared" si="369"/>
        <v>0</v>
      </c>
      <c r="R372" s="185">
        <f t="shared" si="369"/>
        <v>0</v>
      </c>
    </row>
    <row r="373" spans="1:18" x14ac:dyDescent="0.25">
      <c r="A373" s="348"/>
      <c r="B373" s="351"/>
      <c r="C373" s="370"/>
      <c r="D373" s="150"/>
      <c r="E373" s="151"/>
      <c r="F373" s="183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6"/>
    </row>
    <row r="374" spans="1:18" ht="15.75" thickBot="1" x14ac:dyDescent="0.3">
      <c r="A374" s="348"/>
      <c r="B374" s="382"/>
      <c r="C374" s="369" t="s">
        <v>40</v>
      </c>
      <c r="D374" s="83"/>
      <c r="E374" s="84"/>
      <c r="F374" s="86">
        <v>0</v>
      </c>
      <c r="G374" s="103"/>
      <c r="H374" s="87"/>
      <c r="I374" s="86"/>
      <c r="J374" s="86"/>
      <c r="K374" s="86"/>
      <c r="L374" s="86"/>
      <c r="M374" s="86"/>
      <c r="N374" s="86"/>
      <c r="O374" s="86"/>
      <c r="P374" s="86"/>
      <c r="Q374" s="86"/>
      <c r="R374" s="102">
        <v>0</v>
      </c>
    </row>
    <row r="375" spans="1:18" ht="39" x14ac:dyDescent="0.25">
      <c r="A375" s="348"/>
      <c r="B375" s="380"/>
      <c r="C375" s="340" t="s">
        <v>66</v>
      </c>
      <c r="D375" s="161"/>
      <c r="E375" s="162"/>
      <c r="F375" s="163"/>
      <c r="G375" s="163"/>
      <c r="H375" s="16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6"/>
    </row>
    <row r="376" spans="1:18" ht="27" customHeight="1" thickBot="1" x14ac:dyDescent="0.3">
      <c r="A376" s="348"/>
      <c r="B376" s="386"/>
      <c r="C376" s="449" t="s">
        <v>109</v>
      </c>
      <c r="D376" s="449"/>
      <c r="E376" s="131">
        <f t="shared" ref="E376:R376" si="370">SUM(E378:E378)</f>
        <v>0</v>
      </c>
      <c r="F376" s="178">
        <f t="shared" si="370"/>
        <v>0</v>
      </c>
      <c r="G376" s="178">
        <f t="shared" si="370"/>
        <v>0</v>
      </c>
      <c r="H376" s="178">
        <f t="shared" si="370"/>
        <v>0</v>
      </c>
      <c r="I376" s="178">
        <f t="shared" si="370"/>
        <v>0</v>
      </c>
      <c r="J376" s="178">
        <f t="shared" si="370"/>
        <v>0</v>
      </c>
      <c r="K376" s="178">
        <f t="shared" si="370"/>
        <v>0</v>
      </c>
      <c r="L376" s="178">
        <f t="shared" si="370"/>
        <v>0</v>
      </c>
      <c r="M376" s="178">
        <f t="shared" si="370"/>
        <v>0</v>
      </c>
      <c r="N376" s="178">
        <f t="shared" si="370"/>
        <v>0</v>
      </c>
      <c r="O376" s="178">
        <f t="shared" si="370"/>
        <v>0</v>
      </c>
      <c r="P376" s="178">
        <f t="shared" si="370"/>
        <v>0</v>
      </c>
      <c r="Q376" s="178">
        <f t="shared" si="370"/>
        <v>0</v>
      </c>
      <c r="R376" s="179">
        <f t="shared" si="370"/>
        <v>0</v>
      </c>
    </row>
    <row r="377" spans="1:18" x14ac:dyDescent="0.25">
      <c r="A377" s="348"/>
      <c r="B377" s="377"/>
      <c r="C377" s="372"/>
      <c r="D377" s="165"/>
      <c r="E377" s="166"/>
      <c r="F377" s="186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8"/>
    </row>
    <row r="378" spans="1:18" ht="15.75" thickBot="1" x14ac:dyDescent="0.3">
      <c r="A378" s="348"/>
      <c r="B378" s="387"/>
      <c r="C378" s="123" t="s">
        <v>40</v>
      </c>
      <c r="D378" s="83"/>
      <c r="E378" s="84"/>
      <c r="F378" s="86">
        <v>0</v>
      </c>
      <c r="G378" s="103"/>
      <c r="H378" s="87"/>
      <c r="I378" s="86"/>
      <c r="J378" s="86"/>
      <c r="K378" s="86"/>
      <c r="L378" s="86"/>
      <c r="M378" s="86"/>
      <c r="N378" s="86"/>
      <c r="O378" s="86"/>
      <c r="P378" s="86"/>
      <c r="Q378" s="86"/>
      <c r="R378" s="102">
        <v>0</v>
      </c>
    </row>
    <row r="379" spans="1:18" ht="15.75" thickBot="1" x14ac:dyDescent="0.3">
      <c r="A379" s="348"/>
      <c r="B379" s="388"/>
      <c r="C379" s="371" t="s">
        <v>110</v>
      </c>
      <c r="D379" s="142"/>
      <c r="E379" s="143">
        <f t="shared" ref="E379:R379" si="371">+SUM(E381,E385,E389)</f>
        <v>0</v>
      </c>
      <c r="F379" s="144">
        <f t="shared" si="371"/>
        <v>0</v>
      </c>
      <c r="G379" s="144">
        <f t="shared" si="371"/>
        <v>0</v>
      </c>
      <c r="H379" s="144">
        <f t="shared" si="371"/>
        <v>0</v>
      </c>
      <c r="I379" s="144">
        <f t="shared" si="371"/>
        <v>0</v>
      </c>
      <c r="J379" s="144">
        <f t="shared" si="371"/>
        <v>0</v>
      </c>
      <c r="K379" s="144">
        <f t="shared" si="371"/>
        <v>0</v>
      </c>
      <c r="L379" s="144">
        <f t="shared" si="371"/>
        <v>0</v>
      </c>
      <c r="M379" s="144">
        <f t="shared" si="371"/>
        <v>0</v>
      </c>
      <c r="N379" s="144">
        <f t="shared" si="371"/>
        <v>0</v>
      </c>
      <c r="O379" s="144">
        <f t="shared" si="371"/>
        <v>0</v>
      </c>
      <c r="P379" s="144">
        <f t="shared" si="371"/>
        <v>0</v>
      </c>
      <c r="Q379" s="144">
        <f t="shared" si="371"/>
        <v>0</v>
      </c>
      <c r="R379" s="145">
        <f t="shared" si="371"/>
        <v>0</v>
      </c>
    </row>
    <row r="380" spans="1:18" x14ac:dyDescent="0.25">
      <c r="A380" s="348"/>
      <c r="B380" s="380"/>
      <c r="C380" s="455" t="s">
        <v>46</v>
      </c>
      <c r="D380" s="456"/>
      <c r="E380" s="167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9"/>
    </row>
    <row r="381" spans="1:18" ht="32.25" customHeight="1" thickBot="1" x14ac:dyDescent="0.3">
      <c r="A381" s="348"/>
      <c r="B381" s="383"/>
      <c r="C381" s="449" t="s">
        <v>111</v>
      </c>
      <c r="D381" s="449"/>
      <c r="E381" s="131">
        <f t="shared" ref="E381:R381" si="372">SUM(E383:E383)</f>
        <v>0</v>
      </c>
      <c r="F381" s="178">
        <f>F383</f>
        <v>0</v>
      </c>
      <c r="G381" s="178">
        <f t="shared" si="372"/>
        <v>0</v>
      </c>
      <c r="H381" s="178">
        <f t="shared" si="372"/>
        <v>0</v>
      </c>
      <c r="I381" s="178">
        <f t="shared" si="372"/>
        <v>0</v>
      </c>
      <c r="J381" s="178">
        <f t="shared" si="372"/>
        <v>0</v>
      </c>
      <c r="K381" s="178">
        <f t="shared" si="372"/>
        <v>0</v>
      </c>
      <c r="L381" s="178">
        <f t="shared" si="372"/>
        <v>0</v>
      </c>
      <c r="M381" s="178">
        <f t="shared" si="372"/>
        <v>0</v>
      </c>
      <c r="N381" s="178">
        <f t="shared" si="372"/>
        <v>0</v>
      </c>
      <c r="O381" s="178">
        <f t="shared" si="372"/>
        <v>0</v>
      </c>
      <c r="P381" s="178">
        <f t="shared" si="372"/>
        <v>0</v>
      </c>
      <c r="Q381" s="178">
        <f t="shared" si="372"/>
        <v>0</v>
      </c>
      <c r="R381" s="179">
        <f t="shared" si="372"/>
        <v>0</v>
      </c>
    </row>
    <row r="382" spans="1:18" x14ac:dyDescent="0.25">
      <c r="A382" s="348"/>
      <c r="B382" s="257"/>
      <c r="C382" s="132" t="s">
        <v>140</v>
      </c>
      <c r="D382" s="133"/>
      <c r="E382" s="134"/>
      <c r="F382" s="180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  <c r="R382" s="331"/>
    </row>
    <row r="383" spans="1:18" ht="15.75" thickBot="1" x14ac:dyDescent="0.3">
      <c r="A383" s="348"/>
      <c r="B383" s="351"/>
      <c r="C383" s="343" t="s">
        <v>40</v>
      </c>
      <c r="D383" s="83"/>
      <c r="E383" s="84"/>
      <c r="F383" s="86">
        <v>0</v>
      </c>
      <c r="G383" s="103"/>
      <c r="H383" s="87"/>
      <c r="I383" s="86"/>
      <c r="J383" s="86"/>
      <c r="K383" s="86"/>
      <c r="L383" s="86"/>
      <c r="M383" s="86"/>
      <c r="N383" s="86"/>
      <c r="O383" s="86"/>
      <c r="P383" s="86"/>
      <c r="Q383" s="86"/>
      <c r="R383" s="102">
        <v>0</v>
      </c>
    </row>
    <row r="384" spans="1:18" ht="39" x14ac:dyDescent="0.25">
      <c r="A384" s="348"/>
      <c r="B384" s="380"/>
      <c r="C384" s="340" t="s">
        <v>66</v>
      </c>
      <c r="D384" s="161"/>
      <c r="E384" s="162"/>
      <c r="F384" s="163"/>
      <c r="G384" s="163"/>
      <c r="H384" s="16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6"/>
    </row>
    <row r="385" spans="1:19" ht="32.25" customHeight="1" thickBot="1" x14ac:dyDescent="0.3">
      <c r="A385" s="348"/>
      <c r="B385" s="383"/>
      <c r="C385" s="449" t="s">
        <v>112</v>
      </c>
      <c r="D385" s="449"/>
      <c r="E385" s="131">
        <v>0</v>
      </c>
      <c r="F385" s="178">
        <f t="shared" ref="F385:R385" si="373">SUM(F387:F387)</f>
        <v>0</v>
      </c>
      <c r="G385" s="178">
        <f t="shared" si="373"/>
        <v>0</v>
      </c>
      <c r="H385" s="178">
        <f t="shared" si="373"/>
        <v>0</v>
      </c>
      <c r="I385" s="178">
        <f t="shared" si="373"/>
        <v>0</v>
      </c>
      <c r="J385" s="178">
        <f t="shared" si="373"/>
        <v>0</v>
      </c>
      <c r="K385" s="178">
        <f t="shared" si="373"/>
        <v>0</v>
      </c>
      <c r="L385" s="178">
        <f t="shared" si="373"/>
        <v>0</v>
      </c>
      <c r="M385" s="178">
        <f t="shared" si="373"/>
        <v>0</v>
      </c>
      <c r="N385" s="178">
        <f t="shared" si="373"/>
        <v>0</v>
      </c>
      <c r="O385" s="178">
        <f t="shared" si="373"/>
        <v>0</v>
      </c>
      <c r="P385" s="178">
        <f t="shared" si="373"/>
        <v>0</v>
      </c>
      <c r="Q385" s="178">
        <f t="shared" si="373"/>
        <v>0</v>
      </c>
      <c r="R385" s="179">
        <f t="shared" si="373"/>
        <v>0</v>
      </c>
    </row>
    <row r="386" spans="1:19" x14ac:dyDescent="0.25">
      <c r="A386" s="348"/>
      <c r="B386" s="257"/>
      <c r="C386" s="132"/>
      <c r="D386" s="133"/>
      <c r="E386" s="134"/>
      <c r="F386" s="180"/>
      <c r="G386" s="174"/>
      <c r="H386" s="174"/>
      <c r="I386" s="174"/>
      <c r="J386" s="174"/>
      <c r="K386" s="174"/>
      <c r="L386" s="174"/>
      <c r="M386" s="174"/>
      <c r="N386" s="174"/>
      <c r="O386" s="174"/>
      <c r="P386" s="174"/>
      <c r="Q386" s="174"/>
      <c r="R386" s="331"/>
    </row>
    <row r="387" spans="1:19" ht="15.75" thickBot="1" x14ac:dyDescent="0.3">
      <c r="A387" s="348"/>
      <c r="B387" s="351"/>
      <c r="C387" s="343" t="s">
        <v>40</v>
      </c>
      <c r="D387" s="83"/>
      <c r="E387" s="84"/>
      <c r="F387" s="88">
        <v>0</v>
      </c>
      <c r="G387" s="103"/>
      <c r="H387" s="87"/>
      <c r="I387" s="86"/>
      <c r="J387" s="86"/>
      <c r="K387" s="86"/>
      <c r="L387" s="86"/>
      <c r="M387" s="86"/>
      <c r="N387" s="86"/>
      <c r="O387" s="86"/>
      <c r="P387" s="86"/>
      <c r="Q387" s="86"/>
      <c r="R387" s="110">
        <v>0</v>
      </c>
    </row>
    <row r="388" spans="1:19" ht="26.25" x14ac:dyDescent="0.25">
      <c r="A388" s="348"/>
      <c r="B388" s="353"/>
      <c r="C388" s="339" t="s">
        <v>87</v>
      </c>
      <c r="D388" s="113"/>
      <c r="E388" s="113"/>
      <c r="F388" s="114"/>
      <c r="G388" s="114"/>
      <c r="H388" s="115"/>
      <c r="I388" s="114"/>
      <c r="J388" s="114"/>
      <c r="K388" s="114"/>
      <c r="L388" s="114"/>
      <c r="M388" s="114"/>
      <c r="N388" s="114"/>
      <c r="O388" s="114"/>
      <c r="P388" s="114"/>
      <c r="Q388" s="114"/>
      <c r="R388" s="116"/>
    </row>
    <row r="389" spans="1:19" ht="27" customHeight="1" thickBot="1" x14ac:dyDescent="0.3">
      <c r="A389" s="348"/>
      <c r="B389" s="383"/>
      <c r="C389" s="449" t="s">
        <v>88</v>
      </c>
      <c r="D389" s="449"/>
      <c r="E389" s="131">
        <v>0</v>
      </c>
      <c r="F389" s="178">
        <f>SUM(F391:F391)</f>
        <v>0</v>
      </c>
      <c r="G389" s="178">
        <f t="shared" ref="G389:R389" si="374">SUM(G391:G391)</f>
        <v>0</v>
      </c>
      <c r="H389" s="178">
        <f t="shared" si="374"/>
        <v>0</v>
      </c>
      <c r="I389" s="178">
        <f t="shared" si="374"/>
        <v>0</v>
      </c>
      <c r="J389" s="178">
        <f t="shared" si="374"/>
        <v>0</v>
      </c>
      <c r="K389" s="178">
        <f t="shared" si="374"/>
        <v>0</v>
      </c>
      <c r="L389" s="178">
        <f t="shared" si="374"/>
        <v>0</v>
      </c>
      <c r="M389" s="178">
        <f t="shared" si="374"/>
        <v>0</v>
      </c>
      <c r="N389" s="178">
        <f t="shared" si="374"/>
        <v>0</v>
      </c>
      <c r="O389" s="178">
        <f t="shared" si="374"/>
        <v>0</v>
      </c>
      <c r="P389" s="178">
        <f t="shared" si="374"/>
        <v>0</v>
      </c>
      <c r="Q389" s="178">
        <f t="shared" si="374"/>
        <v>0</v>
      </c>
      <c r="R389" s="179">
        <f t="shared" si="374"/>
        <v>0</v>
      </c>
    </row>
    <row r="390" spans="1:19" x14ac:dyDescent="0.25">
      <c r="A390" s="348"/>
      <c r="B390" s="257"/>
      <c r="C390" s="132"/>
      <c r="D390" s="133"/>
      <c r="E390" s="134"/>
      <c r="F390" s="180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  <c r="R390" s="331"/>
    </row>
    <row r="391" spans="1:19" ht="15.75" thickBot="1" x14ac:dyDescent="0.3">
      <c r="A391" s="348"/>
      <c r="B391" s="351"/>
      <c r="C391" s="343" t="s">
        <v>40</v>
      </c>
      <c r="D391" s="83"/>
      <c r="E391" s="84"/>
      <c r="F391" s="86">
        <v>0</v>
      </c>
      <c r="G391" s="103"/>
      <c r="H391" s="87"/>
      <c r="I391" s="86"/>
      <c r="J391" s="86"/>
      <c r="K391" s="86"/>
      <c r="L391" s="86"/>
      <c r="M391" s="86"/>
      <c r="N391" s="86"/>
      <c r="O391" s="86"/>
      <c r="P391" s="86"/>
      <c r="Q391" s="86"/>
      <c r="R391" s="102">
        <v>0</v>
      </c>
    </row>
    <row r="392" spans="1:19" ht="15.75" thickBot="1" x14ac:dyDescent="0.3">
      <c r="A392" s="348"/>
      <c r="B392" s="389"/>
      <c r="C392" s="371" t="s">
        <v>113</v>
      </c>
      <c r="D392" s="142"/>
      <c r="E392" s="143">
        <f>+SUM(E394,E407,E412)</f>
        <v>38</v>
      </c>
      <c r="F392" s="144">
        <f>+SUM(F394)</f>
        <v>1030000</v>
      </c>
      <c r="G392" s="144">
        <f>+SUM(G394)</f>
        <v>84495.46</v>
      </c>
      <c r="H392" s="144">
        <f t="shared" ref="H392:R392" si="375">+SUM(H394)</f>
        <v>76318.48</v>
      </c>
      <c r="I392" s="144">
        <f t="shared" si="375"/>
        <v>84495.46</v>
      </c>
      <c r="J392" s="144">
        <f t="shared" si="375"/>
        <v>79593.600000000006</v>
      </c>
      <c r="K392" s="144">
        <f t="shared" si="375"/>
        <v>82101.64</v>
      </c>
      <c r="L392" s="144">
        <f t="shared" si="375"/>
        <v>83946</v>
      </c>
      <c r="M392" s="144">
        <f t="shared" si="375"/>
        <v>84495.46</v>
      </c>
      <c r="N392" s="144">
        <f t="shared" si="375"/>
        <v>84495.46</v>
      </c>
      <c r="O392" s="144">
        <f t="shared" si="375"/>
        <v>81769.8</v>
      </c>
      <c r="P392" s="144">
        <f t="shared" si="375"/>
        <v>84495.46</v>
      </c>
      <c r="Q392" s="144">
        <f t="shared" si="375"/>
        <v>79627.8</v>
      </c>
      <c r="R392" s="145">
        <f t="shared" si="375"/>
        <v>84352.66</v>
      </c>
    </row>
    <row r="393" spans="1:19" x14ac:dyDescent="0.25">
      <c r="A393" s="348"/>
      <c r="B393" s="353"/>
      <c r="C393" s="465" t="s">
        <v>46</v>
      </c>
      <c r="D393" s="466"/>
      <c r="E393" s="167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9"/>
      <c r="S393" s="1"/>
    </row>
    <row r="394" spans="1:19" ht="31.5" customHeight="1" thickBot="1" x14ac:dyDescent="0.3">
      <c r="A394" s="348"/>
      <c r="B394" s="383"/>
      <c r="C394" s="449" t="s">
        <v>141</v>
      </c>
      <c r="D394" s="449"/>
      <c r="E394" s="131">
        <f t="shared" ref="E394:Q394" si="376">SUM(E396:E405)</f>
        <v>38</v>
      </c>
      <c r="F394" s="178">
        <f>SUM(F396:F405)</f>
        <v>1030000</v>
      </c>
      <c r="G394" s="178">
        <f t="shared" si="376"/>
        <v>84495.46</v>
      </c>
      <c r="H394" s="178">
        <f t="shared" si="376"/>
        <v>76318.48</v>
      </c>
      <c r="I394" s="178">
        <f t="shared" si="376"/>
        <v>84495.46</v>
      </c>
      <c r="J394" s="178">
        <f t="shared" si="376"/>
        <v>79593.600000000006</v>
      </c>
      <c r="K394" s="178">
        <f t="shared" si="376"/>
        <v>82101.64</v>
      </c>
      <c r="L394" s="178">
        <f t="shared" si="376"/>
        <v>83946</v>
      </c>
      <c r="M394" s="178">
        <f t="shared" si="376"/>
        <v>84495.46</v>
      </c>
      <c r="N394" s="178">
        <f t="shared" si="376"/>
        <v>84495.46</v>
      </c>
      <c r="O394" s="178">
        <f t="shared" si="376"/>
        <v>81769.8</v>
      </c>
      <c r="P394" s="178">
        <f t="shared" si="376"/>
        <v>84495.46</v>
      </c>
      <c r="Q394" s="178">
        <f t="shared" si="376"/>
        <v>79627.8</v>
      </c>
      <c r="R394" s="179">
        <f>SUM(R396:R405)</f>
        <v>84352.66</v>
      </c>
    </row>
    <row r="395" spans="1:19" x14ac:dyDescent="0.25">
      <c r="A395" s="348"/>
      <c r="B395" s="257"/>
      <c r="D395" s="133"/>
      <c r="E395" s="406" t="s">
        <v>140</v>
      </c>
      <c r="F395" s="180">
        <v>0</v>
      </c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331"/>
    </row>
    <row r="396" spans="1:19" x14ac:dyDescent="0.25">
      <c r="A396" s="348"/>
      <c r="B396" s="351">
        <v>1</v>
      </c>
      <c r="C396" s="343" t="s">
        <v>44</v>
      </c>
      <c r="D396" s="83">
        <v>72.540000000000006</v>
      </c>
      <c r="E396" s="84">
        <v>2</v>
      </c>
      <c r="F396" s="86">
        <f t="shared" ref="F396:F404" si="377">+E396*S396*D396</f>
        <v>52954.2</v>
      </c>
      <c r="G396" s="86">
        <f t="shared" ref="G396:G404" si="378">E396*D396*31</f>
        <v>4497.4799999999996</v>
      </c>
      <c r="H396" s="87">
        <f t="shared" ref="H396:H404" si="379">E396*D396*28</f>
        <v>4062.24</v>
      </c>
      <c r="I396" s="86">
        <f t="shared" ref="I396:I404" si="380">E396*D396*31</f>
        <v>4497.4799999999996</v>
      </c>
      <c r="J396" s="86">
        <f>E396*D396*30</f>
        <v>4352.3999999999996</v>
      </c>
      <c r="K396" s="86">
        <f>E396*D396*31</f>
        <v>4497.4799999999996</v>
      </c>
      <c r="L396" s="86">
        <f>E396*D396*30</f>
        <v>4352.3999999999996</v>
      </c>
      <c r="M396" s="86">
        <f t="shared" ref="M396:M404" si="381">E396*D396*31</f>
        <v>4497.4799999999996</v>
      </c>
      <c r="N396" s="86">
        <f t="shared" ref="N396:N404" si="382">E396*D396*31</f>
        <v>4497.4799999999996</v>
      </c>
      <c r="O396" s="86">
        <f t="shared" ref="O396:O404" si="383">E396*D396*30</f>
        <v>4352.3999999999996</v>
      </c>
      <c r="P396" s="86">
        <f t="shared" ref="P396:P404" si="384">E396*D396*31</f>
        <v>4497.4799999999996</v>
      </c>
      <c r="Q396" s="86">
        <f t="shared" ref="Q396:Q404" si="385">E396*D396*30</f>
        <v>4352.3999999999996</v>
      </c>
      <c r="R396" s="102">
        <f t="shared" ref="R396:R404" si="386">E396*D396*31</f>
        <v>4497.4799999999996</v>
      </c>
      <c r="S396">
        <f>31+28+31+30+31+30+31+31+30+31+30+31</f>
        <v>365</v>
      </c>
    </row>
    <row r="397" spans="1:19" s="245" customFormat="1" x14ac:dyDescent="0.25">
      <c r="A397" s="354"/>
      <c r="B397" s="329">
        <v>1</v>
      </c>
      <c r="C397" s="276" t="s">
        <v>44</v>
      </c>
      <c r="D397" s="271">
        <v>72.540000000000006</v>
      </c>
      <c r="E397" s="272">
        <v>1</v>
      </c>
      <c r="F397" s="261">
        <f t="shared" si="377"/>
        <v>24083.279999999999</v>
      </c>
      <c r="G397" s="261">
        <f t="shared" ref="G397" si="387">E397*D397*31</f>
        <v>2248.7399999999998</v>
      </c>
      <c r="H397" s="262">
        <f t="shared" ref="H397" si="388">E397*D397*28</f>
        <v>2031.12</v>
      </c>
      <c r="I397" s="261">
        <f t="shared" ref="I397" si="389">E397*D397*31</f>
        <v>2248.7399999999998</v>
      </c>
      <c r="J397" s="261">
        <f>E397*D397*30-(D397*30)</f>
        <v>0</v>
      </c>
      <c r="K397" s="261">
        <f>E397*D397*31-(145.08+2248.74)</f>
        <v>-145.08000000000001</v>
      </c>
      <c r="L397" s="261">
        <f>E397*D397*30+(2176.2)</f>
        <v>4352.3999999999996</v>
      </c>
      <c r="M397" s="261">
        <f t="shared" ref="M397" si="390">E397*D397*31</f>
        <v>2248.7399999999998</v>
      </c>
      <c r="N397" s="261">
        <f t="shared" ref="N397" si="391">E397*D397*31</f>
        <v>2248.7399999999998</v>
      </c>
      <c r="O397" s="261">
        <f t="shared" ref="O397" si="392">E397*D397*30</f>
        <v>2176.1999999999998</v>
      </c>
      <c r="P397" s="261">
        <f t="shared" ref="P397" si="393">E397*D397*31</f>
        <v>2248.7399999999998</v>
      </c>
      <c r="Q397" s="261">
        <f t="shared" ref="Q397" si="394">E397*D397*30</f>
        <v>2176.1999999999998</v>
      </c>
      <c r="R397" s="273">
        <f t="shared" ref="R397" si="395">E397*D397*31</f>
        <v>2248.7399999999998</v>
      </c>
      <c r="S397" s="245">
        <f>31+28+31-2+30+30+31+31+30+31+30+31</f>
        <v>332</v>
      </c>
    </row>
    <row r="398" spans="1:19" x14ac:dyDescent="0.25">
      <c r="A398" s="348"/>
      <c r="B398" s="351">
        <v>2</v>
      </c>
      <c r="C398" s="343" t="s">
        <v>89</v>
      </c>
      <c r="D398" s="83">
        <v>71.400000000000006</v>
      </c>
      <c r="E398" s="84">
        <v>7</v>
      </c>
      <c r="F398" s="86">
        <f t="shared" si="377"/>
        <v>182427</v>
      </c>
      <c r="G398" s="86">
        <f t="shared" si="378"/>
        <v>15493.8</v>
      </c>
      <c r="H398" s="87">
        <f t="shared" si="379"/>
        <v>13994.4</v>
      </c>
      <c r="I398" s="86">
        <f t="shared" si="380"/>
        <v>15493.8</v>
      </c>
      <c r="J398" s="86">
        <f t="shared" ref="J398:J404" si="396">E398*D398*30</f>
        <v>14994</v>
      </c>
      <c r="K398" s="86">
        <f t="shared" ref="K398:K404" si="397">E398*D398*31</f>
        <v>15493.8</v>
      </c>
      <c r="L398" s="86">
        <f t="shared" ref="L398:L404" si="398">E398*D398*30</f>
        <v>14994</v>
      </c>
      <c r="M398" s="86">
        <f t="shared" si="381"/>
        <v>15493.8</v>
      </c>
      <c r="N398" s="86">
        <f t="shared" si="382"/>
        <v>15493.8</v>
      </c>
      <c r="O398" s="86">
        <f t="shared" si="383"/>
        <v>14994</v>
      </c>
      <c r="P398" s="86">
        <f t="shared" si="384"/>
        <v>15493.8</v>
      </c>
      <c r="Q398" s="86">
        <f t="shared" si="385"/>
        <v>14994</v>
      </c>
      <c r="R398" s="102">
        <f t="shared" si="386"/>
        <v>15493.8</v>
      </c>
      <c r="S398">
        <v>365</v>
      </c>
    </row>
    <row r="399" spans="1:19" x14ac:dyDescent="0.25">
      <c r="A399" s="348"/>
      <c r="B399" s="351">
        <v>3</v>
      </c>
      <c r="C399" s="343" t="s">
        <v>36</v>
      </c>
      <c r="D399" s="83">
        <v>71.400000000000006</v>
      </c>
      <c r="E399" s="84">
        <v>3</v>
      </c>
      <c r="F399" s="86">
        <f t="shared" si="377"/>
        <v>78183</v>
      </c>
      <c r="G399" s="86">
        <f t="shared" si="378"/>
        <v>6640.2</v>
      </c>
      <c r="H399" s="87">
        <f t="shared" si="379"/>
        <v>5997.6</v>
      </c>
      <c r="I399" s="86">
        <f t="shared" si="380"/>
        <v>6640.2</v>
      </c>
      <c r="J399" s="86">
        <f t="shared" si="396"/>
        <v>6426</v>
      </c>
      <c r="K399" s="86">
        <f t="shared" si="397"/>
        <v>6640.2</v>
      </c>
      <c r="L399" s="86">
        <f t="shared" si="398"/>
        <v>6426</v>
      </c>
      <c r="M399" s="86">
        <f t="shared" si="381"/>
        <v>6640.2</v>
      </c>
      <c r="N399" s="86">
        <f t="shared" si="382"/>
        <v>6640.2</v>
      </c>
      <c r="O399" s="86">
        <f t="shared" si="383"/>
        <v>6426</v>
      </c>
      <c r="P399" s="86">
        <f t="shared" si="384"/>
        <v>6640.2</v>
      </c>
      <c r="Q399" s="86">
        <f t="shared" si="385"/>
        <v>6426</v>
      </c>
      <c r="R399" s="102">
        <f t="shared" si="386"/>
        <v>6640.2</v>
      </c>
      <c r="S399">
        <v>365</v>
      </c>
    </row>
    <row r="400" spans="1:19" x14ac:dyDescent="0.25">
      <c r="A400" s="348"/>
      <c r="B400" s="351">
        <v>4</v>
      </c>
      <c r="C400" s="343" t="s">
        <v>83</v>
      </c>
      <c r="D400" s="83">
        <v>73.59</v>
      </c>
      <c r="E400" s="84">
        <v>1</v>
      </c>
      <c r="F400" s="86">
        <f t="shared" si="377"/>
        <v>26860.35</v>
      </c>
      <c r="G400" s="86">
        <f t="shared" si="378"/>
        <v>2281.29</v>
      </c>
      <c r="H400" s="87">
        <f t="shared" si="379"/>
        <v>2060.52</v>
      </c>
      <c r="I400" s="86">
        <f t="shared" si="380"/>
        <v>2281.29</v>
      </c>
      <c r="J400" s="86">
        <f t="shared" si="396"/>
        <v>2207.6999999999998</v>
      </c>
      <c r="K400" s="86">
        <f t="shared" si="397"/>
        <v>2281.29</v>
      </c>
      <c r="L400" s="86">
        <f t="shared" si="398"/>
        <v>2207.6999999999998</v>
      </c>
      <c r="M400" s="86">
        <f t="shared" si="381"/>
        <v>2281.29</v>
      </c>
      <c r="N400" s="86">
        <f t="shared" si="382"/>
        <v>2281.29</v>
      </c>
      <c r="O400" s="86">
        <f t="shared" si="383"/>
        <v>2207.6999999999998</v>
      </c>
      <c r="P400" s="86">
        <f t="shared" si="384"/>
        <v>2281.29</v>
      </c>
      <c r="Q400" s="86">
        <f t="shared" si="385"/>
        <v>2207.6999999999998</v>
      </c>
      <c r="R400" s="102">
        <f t="shared" si="386"/>
        <v>2281.29</v>
      </c>
      <c r="S400">
        <v>365</v>
      </c>
    </row>
    <row r="401" spans="1:19" x14ac:dyDescent="0.25">
      <c r="A401" s="348"/>
      <c r="B401" s="351">
        <v>5</v>
      </c>
      <c r="C401" s="343" t="s">
        <v>54</v>
      </c>
      <c r="D401" s="83">
        <v>78.25</v>
      </c>
      <c r="E401" s="84">
        <v>1</v>
      </c>
      <c r="F401" s="86">
        <f t="shared" si="377"/>
        <v>28561.25</v>
      </c>
      <c r="G401" s="86">
        <f t="shared" si="378"/>
        <v>2425.75</v>
      </c>
      <c r="H401" s="87">
        <f t="shared" si="379"/>
        <v>2191</v>
      </c>
      <c r="I401" s="86">
        <f t="shared" si="380"/>
        <v>2425.75</v>
      </c>
      <c r="J401" s="86">
        <f t="shared" si="396"/>
        <v>2347.5</v>
      </c>
      <c r="K401" s="86">
        <f t="shared" si="397"/>
        <v>2425.75</v>
      </c>
      <c r="L401" s="86">
        <f t="shared" si="398"/>
        <v>2347.5</v>
      </c>
      <c r="M401" s="86">
        <f t="shared" si="381"/>
        <v>2425.75</v>
      </c>
      <c r="N401" s="86">
        <f t="shared" si="382"/>
        <v>2425.75</v>
      </c>
      <c r="O401" s="86">
        <f t="shared" si="383"/>
        <v>2347.5</v>
      </c>
      <c r="P401" s="86">
        <f t="shared" si="384"/>
        <v>2425.75</v>
      </c>
      <c r="Q401" s="86">
        <f t="shared" si="385"/>
        <v>2347.5</v>
      </c>
      <c r="R401" s="102">
        <f t="shared" si="386"/>
        <v>2425.75</v>
      </c>
      <c r="S401">
        <v>365</v>
      </c>
    </row>
    <row r="402" spans="1:19" s="245" customFormat="1" x14ac:dyDescent="0.25">
      <c r="A402" s="354"/>
      <c r="B402" s="329">
        <v>6</v>
      </c>
      <c r="C402" s="276" t="s">
        <v>55</v>
      </c>
      <c r="D402" s="271">
        <v>71.400000000000006</v>
      </c>
      <c r="E402" s="272">
        <v>1</v>
      </c>
      <c r="F402" s="261">
        <f t="shared" si="377"/>
        <v>23776.2</v>
      </c>
      <c r="G402" s="261">
        <f t="shared" ref="G402" si="399">E402*D402*31</f>
        <v>2213.4</v>
      </c>
      <c r="H402" s="262">
        <f t="shared" ref="H402" si="400">E402*D402*28</f>
        <v>1999.2</v>
      </c>
      <c r="I402" s="261">
        <f t="shared" ref="I402" si="401">E402*D402*31</f>
        <v>2213.4</v>
      </c>
      <c r="J402" s="261">
        <f t="shared" ref="J402" si="402">E402*D402*30</f>
        <v>2142</v>
      </c>
      <c r="K402" s="261">
        <f t="shared" ref="K402" si="403">E402*D402*31</f>
        <v>2213.4</v>
      </c>
      <c r="L402" s="261">
        <f t="shared" ref="L402" si="404">E402*D402*30</f>
        <v>2142</v>
      </c>
      <c r="M402" s="261">
        <f t="shared" ref="M402" si="405">E402*D402*31</f>
        <v>2213.4</v>
      </c>
      <c r="N402" s="261">
        <f t="shared" ref="N402" si="406">E402*D402*31</f>
        <v>2213.4</v>
      </c>
      <c r="O402" s="261">
        <f t="shared" ref="O402" si="407">E402*D402*30</f>
        <v>2142</v>
      </c>
      <c r="P402" s="261">
        <f t="shared" ref="P402" si="408">E402*D402*31</f>
        <v>2213.4</v>
      </c>
      <c r="Q402" s="261">
        <f>+D402*E402*0</f>
        <v>0</v>
      </c>
      <c r="R402" s="273">
        <f>E402*D402*31-142.8</f>
        <v>2070.6</v>
      </c>
      <c r="S402" s="245">
        <f>365-30-2</f>
        <v>333</v>
      </c>
    </row>
    <row r="403" spans="1:19" x14ac:dyDescent="0.25">
      <c r="A403" s="348"/>
      <c r="B403" s="351">
        <v>6</v>
      </c>
      <c r="C403" s="343" t="s">
        <v>55</v>
      </c>
      <c r="D403" s="83">
        <v>71.400000000000006</v>
      </c>
      <c r="E403" s="84">
        <v>7</v>
      </c>
      <c r="F403" s="86">
        <f t="shared" si="377"/>
        <v>182427</v>
      </c>
      <c r="G403" s="86">
        <f t="shared" si="378"/>
        <v>15493.8</v>
      </c>
      <c r="H403" s="87">
        <f t="shared" si="379"/>
        <v>13994.4</v>
      </c>
      <c r="I403" s="86">
        <f t="shared" si="380"/>
        <v>15493.8</v>
      </c>
      <c r="J403" s="86">
        <f t="shared" si="396"/>
        <v>14994</v>
      </c>
      <c r="K403" s="86">
        <f t="shared" si="397"/>
        <v>15493.8</v>
      </c>
      <c r="L403" s="86">
        <f t="shared" si="398"/>
        <v>14994</v>
      </c>
      <c r="M403" s="86">
        <f t="shared" si="381"/>
        <v>15493.8</v>
      </c>
      <c r="N403" s="86">
        <f t="shared" si="382"/>
        <v>15493.8</v>
      </c>
      <c r="O403" s="86">
        <f t="shared" si="383"/>
        <v>14994</v>
      </c>
      <c r="P403" s="86">
        <f t="shared" si="384"/>
        <v>15493.8</v>
      </c>
      <c r="Q403" s="86">
        <f t="shared" si="385"/>
        <v>14994</v>
      </c>
      <c r="R403" s="102">
        <f t="shared" si="386"/>
        <v>15493.8</v>
      </c>
      <c r="S403">
        <v>365</v>
      </c>
    </row>
    <row r="404" spans="1:19" x14ac:dyDescent="0.25">
      <c r="A404" s="348"/>
      <c r="B404" s="351">
        <v>7</v>
      </c>
      <c r="C404" s="343" t="s">
        <v>62</v>
      </c>
      <c r="D404" s="83">
        <v>71.400000000000006</v>
      </c>
      <c r="E404" s="84">
        <v>15</v>
      </c>
      <c r="F404" s="86">
        <f t="shared" si="377"/>
        <v>390915</v>
      </c>
      <c r="G404" s="86">
        <f t="shared" si="378"/>
        <v>33201</v>
      </c>
      <c r="H404" s="87">
        <f t="shared" si="379"/>
        <v>29988</v>
      </c>
      <c r="I404" s="86">
        <f t="shared" si="380"/>
        <v>33201</v>
      </c>
      <c r="J404" s="86">
        <f t="shared" si="396"/>
        <v>32130</v>
      </c>
      <c r="K404" s="86">
        <f t="shared" si="397"/>
        <v>33201</v>
      </c>
      <c r="L404" s="86">
        <f t="shared" si="398"/>
        <v>32130</v>
      </c>
      <c r="M404" s="86">
        <f t="shared" si="381"/>
        <v>33201</v>
      </c>
      <c r="N404" s="86">
        <f t="shared" si="382"/>
        <v>33201</v>
      </c>
      <c r="O404" s="86">
        <f t="shared" si="383"/>
        <v>32130</v>
      </c>
      <c r="P404" s="86">
        <f t="shared" si="384"/>
        <v>33201</v>
      </c>
      <c r="Q404" s="86">
        <f t="shared" si="385"/>
        <v>32130</v>
      </c>
      <c r="R404" s="102">
        <f t="shared" si="386"/>
        <v>33201</v>
      </c>
      <c r="S404">
        <v>365</v>
      </c>
    </row>
    <row r="405" spans="1:19" ht="15.75" thickBot="1" x14ac:dyDescent="0.3">
      <c r="A405" s="348"/>
      <c r="B405" s="382"/>
      <c r="C405" s="123" t="s">
        <v>40</v>
      </c>
      <c r="D405" s="124"/>
      <c r="E405" s="125"/>
      <c r="F405" s="129">
        <f>1030000-SUM(F396:F404)</f>
        <v>39812.720000000001</v>
      </c>
      <c r="G405" s="128"/>
      <c r="H405" s="127"/>
      <c r="I405" s="129"/>
      <c r="J405" s="129"/>
      <c r="K405" s="129"/>
      <c r="L405" s="129"/>
      <c r="M405" s="129"/>
      <c r="N405" s="129"/>
      <c r="O405" s="129"/>
      <c r="P405" s="129"/>
      <c r="Q405" s="129"/>
      <c r="R405" s="362"/>
      <c r="S405" s="1">
        <f>39812.72-F405</f>
        <v>0</v>
      </c>
    </row>
    <row r="406" spans="1:19" ht="21" hidden="1" thickBot="1" x14ac:dyDescent="0.35">
      <c r="A406" s="348"/>
      <c r="B406" s="487" t="s">
        <v>116</v>
      </c>
      <c r="C406" s="487"/>
      <c r="D406" s="487"/>
      <c r="E406" s="487"/>
      <c r="F406" s="487"/>
      <c r="G406" s="487"/>
      <c r="H406" s="487"/>
      <c r="I406" s="487"/>
      <c r="J406" s="487"/>
      <c r="K406" s="487"/>
      <c r="L406" s="487"/>
      <c r="M406" s="487"/>
      <c r="N406" s="487"/>
      <c r="O406" s="487"/>
      <c r="P406" s="487"/>
      <c r="Q406" s="487"/>
      <c r="R406" s="487"/>
    </row>
    <row r="407" spans="1:19" ht="15" hidden="1" customHeight="1" x14ac:dyDescent="0.25">
      <c r="A407" s="348"/>
      <c r="B407" s="467"/>
      <c r="C407" s="469" t="s">
        <v>0</v>
      </c>
      <c r="D407" s="471" t="s">
        <v>1</v>
      </c>
      <c r="E407" s="469" t="s">
        <v>2</v>
      </c>
      <c r="F407" s="13" t="s">
        <v>3</v>
      </c>
      <c r="G407" s="473" t="s">
        <v>4</v>
      </c>
      <c r="H407" s="474"/>
      <c r="I407" s="474"/>
      <c r="J407" s="474"/>
      <c r="K407" s="474"/>
      <c r="L407" s="474"/>
      <c r="M407" s="474"/>
      <c r="N407" s="474"/>
      <c r="O407" s="474"/>
      <c r="P407" s="474"/>
      <c r="Q407" s="474"/>
      <c r="R407" s="475"/>
    </row>
    <row r="408" spans="1:19" ht="27" hidden="1" customHeight="1" x14ac:dyDescent="0.25">
      <c r="A408" s="348"/>
      <c r="B408" s="468"/>
      <c r="C408" s="470"/>
      <c r="D408" s="472"/>
      <c r="E408" s="470"/>
      <c r="F408" s="14" t="s">
        <v>5</v>
      </c>
      <c r="G408" s="15" t="s">
        <v>6</v>
      </c>
      <c r="H408" s="14" t="s">
        <v>7</v>
      </c>
      <c r="I408" s="14" t="s">
        <v>8</v>
      </c>
      <c r="J408" s="14" t="s">
        <v>9</v>
      </c>
      <c r="K408" s="14" t="s">
        <v>10</v>
      </c>
      <c r="L408" s="14" t="s">
        <v>11</v>
      </c>
      <c r="M408" s="14" t="s">
        <v>12</v>
      </c>
      <c r="N408" s="14" t="s">
        <v>13</v>
      </c>
      <c r="O408" s="14" t="s">
        <v>22</v>
      </c>
      <c r="P408" s="14" t="s">
        <v>23</v>
      </c>
      <c r="Q408" s="14" t="s">
        <v>24</v>
      </c>
      <c r="R408" s="16" t="s">
        <v>25</v>
      </c>
    </row>
    <row r="409" spans="1:19" ht="15.75" hidden="1" thickBot="1" x14ac:dyDescent="0.3">
      <c r="A409" s="348"/>
      <c r="B409" s="390"/>
      <c r="C409" s="17" t="s">
        <v>138</v>
      </c>
      <c r="D409" s="18"/>
      <c r="E409" s="189">
        <f>E414+E425+E431+E443+E446+E449+E452</f>
        <v>332</v>
      </c>
      <c r="F409" s="20">
        <f>F410+F411</f>
        <v>18364799</v>
      </c>
      <c r="G409" s="21">
        <f t="shared" ref="G409:R409" si="409">G414+G425+G431</f>
        <v>769995.67</v>
      </c>
      <c r="H409" s="21">
        <f t="shared" si="409"/>
        <v>695479.96</v>
      </c>
      <c r="I409" s="21">
        <f t="shared" si="409"/>
        <v>769995.67</v>
      </c>
      <c r="J409" s="21">
        <f t="shared" si="409"/>
        <v>745157.1</v>
      </c>
      <c r="K409" s="21">
        <f t="shared" si="409"/>
        <v>769995.67</v>
      </c>
      <c r="L409" s="21">
        <f t="shared" si="409"/>
        <v>745157.1</v>
      </c>
      <c r="M409" s="21">
        <f t="shared" si="409"/>
        <v>769995.67</v>
      </c>
      <c r="N409" s="21">
        <f t="shared" si="409"/>
        <v>769995.67</v>
      </c>
      <c r="O409" s="21">
        <f t="shared" si="409"/>
        <v>745157.1</v>
      </c>
      <c r="P409" s="21">
        <f t="shared" si="409"/>
        <v>769995.67</v>
      </c>
      <c r="Q409" s="21">
        <f t="shared" si="409"/>
        <v>745157.1</v>
      </c>
      <c r="R409" s="21">
        <f t="shared" si="409"/>
        <v>769995.67</v>
      </c>
    </row>
    <row r="410" spans="1:19" ht="15.75" hidden="1" thickBot="1" x14ac:dyDescent="0.3">
      <c r="A410" s="348"/>
      <c r="B410" s="390"/>
      <c r="C410" s="17" t="s">
        <v>139</v>
      </c>
      <c r="D410" s="18"/>
      <c r="E410" s="19"/>
      <c r="F410" s="20">
        <v>22854149</v>
      </c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</row>
    <row r="411" spans="1:19" ht="15.75" hidden="1" thickBot="1" x14ac:dyDescent="0.3">
      <c r="A411" s="348"/>
      <c r="B411" s="391"/>
      <c r="C411" s="22" t="s">
        <v>137</v>
      </c>
      <c r="D411" s="23"/>
      <c r="E411" s="24"/>
      <c r="F411" s="20">
        <v>-4489350</v>
      </c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</row>
    <row r="412" spans="1:19" ht="15.75" hidden="1" thickBot="1" x14ac:dyDescent="0.3">
      <c r="A412" s="348"/>
      <c r="B412" s="392"/>
      <c r="C412" s="25" t="s">
        <v>14</v>
      </c>
      <c r="D412" s="27"/>
      <c r="E412" s="25"/>
      <c r="F412" s="28"/>
      <c r="G412" s="29">
        <v>31</v>
      </c>
      <c r="H412" s="29">
        <v>28</v>
      </c>
      <c r="I412" s="29">
        <v>31</v>
      </c>
      <c r="J412" s="29">
        <v>30</v>
      </c>
      <c r="K412" s="29">
        <v>31</v>
      </c>
      <c r="L412" s="29">
        <v>30</v>
      </c>
      <c r="M412" s="29">
        <v>31</v>
      </c>
      <c r="N412" s="29">
        <v>31</v>
      </c>
      <c r="O412" s="30">
        <v>30</v>
      </c>
      <c r="P412" s="29">
        <v>31</v>
      </c>
      <c r="Q412" s="29">
        <v>30</v>
      </c>
      <c r="R412" s="31">
        <v>31</v>
      </c>
    </row>
    <row r="413" spans="1:19" ht="26.25" hidden="1" thickBot="1" x14ac:dyDescent="0.3">
      <c r="A413" s="348"/>
      <c r="B413" s="393"/>
      <c r="C413" s="33" t="s">
        <v>117</v>
      </c>
      <c r="D413" s="34"/>
      <c r="E413" s="33"/>
      <c r="F413" s="190"/>
      <c r="G413" s="191"/>
      <c r="H413" s="35"/>
      <c r="I413" s="35"/>
      <c r="J413" s="35"/>
      <c r="K413" s="35"/>
      <c r="L413" s="35"/>
      <c r="M413" s="35"/>
      <c r="N413" s="35"/>
      <c r="O413" s="36"/>
      <c r="P413" s="35"/>
      <c r="Q413" s="36"/>
      <c r="R413" s="37"/>
    </row>
    <row r="414" spans="1:19" ht="26.25" hidden="1" thickBot="1" x14ac:dyDescent="0.3">
      <c r="A414" s="348"/>
      <c r="B414" s="394"/>
      <c r="C414" s="192" t="s">
        <v>118</v>
      </c>
      <c r="D414" s="193"/>
      <c r="E414" s="192">
        <f>SUM(E415:E422)</f>
        <v>52</v>
      </c>
      <c r="F414" s="194">
        <f>SUM(F415:F423)</f>
        <v>2797292</v>
      </c>
      <c r="G414" s="194">
        <f t="shared" ref="G414:R414" si="410">SUM(G415:G422)</f>
        <v>118083.96</v>
      </c>
      <c r="H414" s="194">
        <f t="shared" si="410"/>
        <v>106656.48</v>
      </c>
      <c r="I414" s="194">
        <f t="shared" si="410"/>
        <v>118083.96</v>
      </c>
      <c r="J414" s="194">
        <f t="shared" si="410"/>
        <v>114274.8</v>
      </c>
      <c r="K414" s="194">
        <f t="shared" si="410"/>
        <v>118083.96</v>
      </c>
      <c r="L414" s="194">
        <f t="shared" si="410"/>
        <v>114274.8</v>
      </c>
      <c r="M414" s="194">
        <f t="shared" si="410"/>
        <v>118083.96</v>
      </c>
      <c r="N414" s="194">
        <f t="shared" si="410"/>
        <v>118083.96</v>
      </c>
      <c r="O414" s="194">
        <f t="shared" si="410"/>
        <v>114274.8</v>
      </c>
      <c r="P414" s="194">
        <f t="shared" si="410"/>
        <v>118083.96</v>
      </c>
      <c r="Q414" s="194">
        <f t="shared" si="410"/>
        <v>114274.8</v>
      </c>
      <c r="R414" s="194">
        <f t="shared" si="410"/>
        <v>118083.96</v>
      </c>
    </row>
    <row r="415" spans="1:19" ht="15.75" hidden="1" thickBot="1" x14ac:dyDescent="0.3">
      <c r="A415" s="348"/>
      <c r="B415" s="395"/>
      <c r="C415" s="195" t="s">
        <v>119</v>
      </c>
      <c r="D415" s="196">
        <v>77.59</v>
      </c>
      <c r="E415" s="197">
        <v>3</v>
      </c>
      <c r="F415" s="198">
        <f t="shared" ref="F415:F422" si="411">SUM(G415:R415)</f>
        <v>84961.05</v>
      </c>
      <c r="G415" s="199">
        <v>7215.87</v>
      </c>
      <c r="H415" s="199">
        <v>6517.56</v>
      </c>
      <c r="I415" s="199">
        <v>7215.87</v>
      </c>
      <c r="J415" s="199">
        <v>6983.1</v>
      </c>
      <c r="K415" s="199">
        <v>7215.87</v>
      </c>
      <c r="L415" s="199">
        <v>6983.1</v>
      </c>
      <c r="M415" s="199">
        <v>7215.87</v>
      </c>
      <c r="N415" s="199">
        <v>7215.87</v>
      </c>
      <c r="O415" s="199">
        <v>6983.1</v>
      </c>
      <c r="P415" s="199">
        <v>7215.87</v>
      </c>
      <c r="Q415" s="199">
        <v>6983.1</v>
      </c>
      <c r="R415" s="199">
        <v>7215.87</v>
      </c>
    </row>
    <row r="416" spans="1:19" ht="15.75" hidden="1" thickBot="1" x14ac:dyDescent="0.3">
      <c r="A416" s="348"/>
      <c r="B416" s="396"/>
      <c r="C416" s="9" t="s">
        <v>36</v>
      </c>
      <c r="D416" s="10">
        <v>71.400000000000006</v>
      </c>
      <c r="E416" s="200">
        <v>14</v>
      </c>
      <c r="F416" s="201">
        <f t="shared" si="411"/>
        <v>364854</v>
      </c>
      <c r="G416" s="202">
        <v>30987.599999999999</v>
      </c>
      <c r="H416" s="202">
        <v>27988.799999999999</v>
      </c>
      <c r="I416" s="202">
        <v>30987.599999999999</v>
      </c>
      <c r="J416" s="202">
        <v>29988</v>
      </c>
      <c r="K416" s="202">
        <v>30987.599999999999</v>
      </c>
      <c r="L416" s="202">
        <v>29988</v>
      </c>
      <c r="M416" s="202">
        <v>30987.599999999999</v>
      </c>
      <c r="N416" s="202">
        <v>30987.599999999999</v>
      </c>
      <c r="O416" s="202">
        <v>29988</v>
      </c>
      <c r="P416" s="202">
        <v>30987.599999999999</v>
      </c>
      <c r="Q416" s="202">
        <v>29988</v>
      </c>
      <c r="R416" s="202">
        <v>30987.599999999999</v>
      </c>
    </row>
    <row r="417" spans="1:18" ht="15.75" hidden="1" thickBot="1" x14ac:dyDescent="0.3">
      <c r="A417" s="348"/>
      <c r="B417" s="396"/>
      <c r="C417" s="9" t="s">
        <v>15</v>
      </c>
      <c r="D417" s="10">
        <v>71.400000000000006</v>
      </c>
      <c r="E417" s="200">
        <v>16</v>
      </c>
      <c r="F417" s="201">
        <f t="shared" si="411"/>
        <v>416976</v>
      </c>
      <c r="G417" s="202">
        <v>35414.400000000001</v>
      </c>
      <c r="H417" s="202">
        <v>31987.200000000001</v>
      </c>
      <c r="I417" s="202">
        <v>35414.400000000001</v>
      </c>
      <c r="J417" s="202">
        <v>34272</v>
      </c>
      <c r="K417" s="202">
        <v>35414.400000000001</v>
      </c>
      <c r="L417" s="202">
        <v>34272</v>
      </c>
      <c r="M417" s="202">
        <v>35414.400000000001</v>
      </c>
      <c r="N417" s="202">
        <v>35414.400000000001</v>
      </c>
      <c r="O417" s="202">
        <v>34272</v>
      </c>
      <c r="P417" s="202">
        <v>35414.400000000001</v>
      </c>
      <c r="Q417" s="202">
        <v>34272</v>
      </c>
      <c r="R417" s="202">
        <v>35414.400000000001</v>
      </c>
    </row>
    <row r="418" spans="1:18" ht="15.75" hidden="1" thickBot="1" x14ac:dyDescent="0.3">
      <c r="A418" s="348"/>
      <c r="B418" s="396"/>
      <c r="C418" s="12" t="s">
        <v>19</v>
      </c>
      <c r="D418" s="10">
        <v>72.540000000000006</v>
      </c>
      <c r="E418" s="200">
        <v>3</v>
      </c>
      <c r="F418" s="201">
        <f t="shared" si="411"/>
        <v>79431.3</v>
      </c>
      <c r="G418" s="202">
        <v>6746.22</v>
      </c>
      <c r="H418" s="202">
        <v>6093.36</v>
      </c>
      <c r="I418" s="202">
        <v>6746.22</v>
      </c>
      <c r="J418" s="202">
        <v>6528.6</v>
      </c>
      <c r="K418" s="202">
        <v>6746.22</v>
      </c>
      <c r="L418" s="202">
        <v>6528.6</v>
      </c>
      <c r="M418" s="202">
        <v>6746.22</v>
      </c>
      <c r="N418" s="202">
        <v>6746.22</v>
      </c>
      <c r="O418" s="202">
        <v>6528.6</v>
      </c>
      <c r="P418" s="202">
        <v>6746.22</v>
      </c>
      <c r="Q418" s="202">
        <v>6528.6</v>
      </c>
      <c r="R418" s="202">
        <v>6746.22</v>
      </c>
    </row>
    <row r="419" spans="1:18" ht="15.75" hidden="1" thickBot="1" x14ac:dyDescent="0.3">
      <c r="A419" s="348"/>
      <c r="B419" s="396"/>
      <c r="C419" s="12" t="s">
        <v>18</v>
      </c>
      <c r="D419" s="10">
        <v>73.59</v>
      </c>
      <c r="E419" s="200">
        <v>1</v>
      </c>
      <c r="F419" s="201">
        <f t="shared" si="411"/>
        <v>26860.35</v>
      </c>
      <c r="G419" s="202">
        <v>2281.29</v>
      </c>
      <c r="H419" s="202">
        <v>2060.52</v>
      </c>
      <c r="I419" s="202">
        <v>2281.29</v>
      </c>
      <c r="J419" s="202">
        <v>2207.6999999999998</v>
      </c>
      <c r="K419" s="202">
        <v>2281.29</v>
      </c>
      <c r="L419" s="202">
        <v>2207.6999999999998</v>
      </c>
      <c r="M419" s="202">
        <v>2281.29</v>
      </c>
      <c r="N419" s="202">
        <v>2281.29</v>
      </c>
      <c r="O419" s="203">
        <v>2207.6999999999998</v>
      </c>
      <c r="P419" s="202">
        <v>2281.29</v>
      </c>
      <c r="Q419" s="203">
        <v>2207.6999999999998</v>
      </c>
      <c r="R419" s="202">
        <v>2281.29</v>
      </c>
    </row>
    <row r="420" spans="1:18" ht="15.75" hidden="1" thickBot="1" x14ac:dyDescent="0.3">
      <c r="A420" s="348"/>
      <c r="B420" s="396"/>
      <c r="C420" s="12" t="s">
        <v>120</v>
      </c>
      <c r="D420" s="10">
        <v>75.64</v>
      </c>
      <c r="E420" s="200">
        <v>5</v>
      </c>
      <c r="F420" s="201">
        <f t="shared" si="411"/>
        <v>138043</v>
      </c>
      <c r="G420" s="202">
        <v>11724.2</v>
      </c>
      <c r="H420" s="202">
        <v>10589.6</v>
      </c>
      <c r="I420" s="202">
        <v>11724.2</v>
      </c>
      <c r="J420" s="202">
        <v>11346</v>
      </c>
      <c r="K420" s="202">
        <v>11724.2</v>
      </c>
      <c r="L420" s="202">
        <v>11346</v>
      </c>
      <c r="M420" s="202">
        <v>11724.2</v>
      </c>
      <c r="N420" s="202">
        <v>11724.2</v>
      </c>
      <c r="O420" s="202">
        <v>11346</v>
      </c>
      <c r="P420" s="202">
        <v>11724.2</v>
      </c>
      <c r="Q420" s="202">
        <v>11346</v>
      </c>
      <c r="R420" s="202">
        <v>11724.2</v>
      </c>
    </row>
    <row r="421" spans="1:18" ht="15.75" hidden="1" thickBot="1" x14ac:dyDescent="0.3">
      <c r="A421" s="348"/>
      <c r="B421" s="396"/>
      <c r="C421" s="12" t="s">
        <v>121</v>
      </c>
      <c r="D421" s="10">
        <v>73.59</v>
      </c>
      <c r="E421" s="200">
        <v>6</v>
      </c>
      <c r="F421" s="201">
        <f t="shared" si="411"/>
        <v>161162.1</v>
      </c>
      <c r="G421" s="202">
        <v>13687.74</v>
      </c>
      <c r="H421" s="202">
        <v>12363.12</v>
      </c>
      <c r="I421" s="202">
        <v>13687.74</v>
      </c>
      <c r="J421" s="202">
        <v>13246.2</v>
      </c>
      <c r="K421" s="202">
        <v>13687.74</v>
      </c>
      <c r="L421" s="202">
        <v>13246.2</v>
      </c>
      <c r="M421" s="202">
        <v>13687.74</v>
      </c>
      <c r="N421" s="202">
        <v>13687.74</v>
      </c>
      <c r="O421" s="202">
        <v>13246.2</v>
      </c>
      <c r="P421" s="202">
        <v>13687.74</v>
      </c>
      <c r="Q421" s="202">
        <v>13246.2</v>
      </c>
      <c r="R421" s="202">
        <v>13687.74</v>
      </c>
    </row>
    <row r="422" spans="1:18" ht="15.75" hidden="1" thickBot="1" x14ac:dyDescent="0.3">
      <c r="A422" s="348"/>
      <c r="B422" s="397"/>
      <c r="C422" s="204" t="s">
        <v>39</v>
      </c>
      <c r="D422" s="205">
        <v>80.86</v>
      </c>
      <c r="E422" s="204">
        <v>4</v>
      </c>
      <c r="F422" s="206">
        <f t="shared" si="411"/>
        <v>118055.6</v>
      </c>
      <c r="G422" s="207">
        <v>10026.64</v>
      </c>
      <c r="H422" s="207">
        <v>9056.32</v>
      </c>
      <c r="I422" s="207">
        <v>10026.64</v>
      </c>
      <c r="J422" s="207">
        <v>9703.2000000000007</v>
      </c>
      <c r="K422" s="207">
        <v>10026.64</v>
      </c>
      <c r="L422" s="207">
        <v>9703.2000000000007</v>
      </c>
      <c r="M422" s="207">
        <v>10026.64</v>
      </c>
      <c r="N422" s="207">
        <v>10026.64</v>
      </c>
      <c r="O422" s="207">
        <v>9703.2000000000007</v>
      </c>
      <c r="P422" s="207">
        <v>10026.64</v>
      </c>
      <c r="Q422" s="207">
        <v>9703.2000000000007</v>
      </c>
      <c r="R422" s="207">
        <v>10026.64</v>
      </c>
    </row>
    <row r="423" spans="1:18" ht="15.75" hidden="1" thickBot="1" x14ac:dyDescent="0.3">
      <c r="A423" s="348"/>
      <c r="B423" s="396"/>
      <c r="C423" s="208" t="s">
        <v>29</v>
      </c>
      <c r="D423" s="41"/>
      <c r="E423" s="7"/>
      <c r="F423" s="209">
        <v>1406948.6</v>
      </c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</row>
    <row r="424" spans="1:18" ht="26.25" hidden="1" thickBot="1" x14ac:dyDescent="0.3">
      <c r="A424" s="348"/>
      <c r="B424" s="398"/>
      <c r="C424" s="43" t="s">
        <v>122</v>
      </c>
      <c r="D424" s="44"/>
      <c r="E424" s="43"/>
      <c r="F424" s="210"/>
      <c r="G424" s="211"/>
      <c r="H424" s="45"/>
      <c r="I424" s="45"/>
      <c r="J424" s="45"/>
      <c r="K424" s="45"/>
      <c r="L424" s="45"/>
      <c r="M424" s="45"/>
      <c r="N424" s="45"/>
      <c r="O424" s="212"/>
      <c r="P424" s="45"/>
      <c r="Q424" s="212"/>
      <c r="R424" s="46"/>
    </row>
    <row r="425" spans="1:18" ht="26.25" hidden="1" thickBot="1" x14ac:dyDescent="0.3">
      <c r="A425" s="348"/>
      <c r="B425" s="394"/>
      <c r="C425" s="192" t="s">
        <v>123</v>
      </c>
      <c r="D425" s="193"/>
      <c r="E425" s="192">
        <f t="shared" ref="E425:R425" si="412">SUM(E426:E428)</f>
        <v>61</v>
      </c>
      <c r="F425" s="194">
        <f>SUM(F426:F429)</f>
        <v>8376976</v>
      </c>
      <c r="G425" s="194">
        <f t="shared" si="412"/>
        <v>152026.48000000001</v>
      </c>
      <c r="H425" s="194">
        <f t="shared" si="412"/>
        <v>137314.23999999999</v>
      </c>
      <c r="I425" s="194">
        <f t="shared" si="412"/>
        <v>152026.48000000001</v>
      </c>
      <c r="J425" s="194">
        <f t="shared" si="412"/>
        <v>147122.4</v>
      </c>
      <c r="K425" s="194">
        <f t="shared" si="412"/>
        <v>152026.48000000001</v>
      </c>
      <c r="L425" s="194">
        <f t="shared" si="412"/>
        <v>147122.4</v>
      </c>
      <c r="M425" s="194">
        <f t="shared" si="412"/>
        <v>152026.48000000001</v>
      </c>
      <c r="N425" s="194">
        <f t="shared" si="412"/>
        <v>152026.48000000001</v>
      </c>
      <c r="O425" s="194">
        <f t="shared" si="412"/>
        <v>147122.4</v>
      </c>
      <c r="P425" s="194">
        <f t="shared" si="412"/>
        <v>152026.48000000001</v>
      </c>
      <c r="Q425" s="194">
        <f t="shared" si="412"/>
        <v>147122.4</v>
      </c>
      <c r="R425" s="194">
        <f t="shared" si="412"/>
        <v>152026.48000000001</v>
      </c>
    </row>
    <row r="426" spans="1:18" ht="15.75" hidden="1" thickBot="1" x14ac:dyDescent="0.3">
      <c r="A426" s="348"/>
      <c r="B426" s="395"/>
      <c r="C426" s="195" t="s">
        <v>36</v>
      </c>
      <c r="D426" s="196">
        <v>71.400000000000006</v>
      </c>
      <c r="E426" s="197">
        <v>2</v>
      </c>
      <c r="F426" s="213">
        <f>SUM(G426:R426)</f>
        <v>52122</v>
      </c>
      <c r="G426" s="214">
        <v>4426.8</v>
      </c>
      <c r="H426" s="214">
        <v>3998.4</v>
      </c>
      <c r="I426" s="214">
        <v>4426.8</v>
      </c>
      <c r="J426" s="214">
        <v>4284</v>
      </c>
      <c r="K426" s="214">
        <v>4426.8</v>
      </c>
      <c r="L426" s="214">
        <v>4284</v>
      </c>
      <c r="M426" s="214">
        <v>4426.8</v>
      </c>
      <c r="N426" s="214">
        <v>4426.8</v>
      </c>
      <c r="O426" s="215">
        <v>4284</v>
      </c>
      <c r="P426" s="214">
        <v>4426.8</v>
      </c>
      <c r="Q426" s="215">
        <v>4284</v>
      </c>
      <c r="R426" s="214">
        <v>4426.8</v>
      </c>
    </row>
    <row r="427" spans="1:18" ht="15.75" hidden="1" thickBot="1" x14ac:dyDescent="0.3">
      <c r="A427" s="348"/>
      <c r="B427" s="396"/>
      <c r="C427" s="9" t="s">
        <v>15</v>
      </c>
      <c r="D427" s="10">
        <v>71.400000000000006</v>
      </c>
      <c r="E427" s="200">
        <v>1</v>
      </c>
      <c r="F427" s="11">
        <f>SUM(G427:R427)</f>
        <v>26061</v>
      </c>
      <c r="G427" s="216">
        <v>2213.4</v>
      </c>
      <c r="H427" s="216">
        <v>1999.2</v>
      </c>
      <c r="I427" s="216">
        <v>2213.4</v>
      </c>
      <c r="J427" s="216">
        <v>2142</v>
      </c>
      <c r="K427" s="216">
        <v>2213.4</v>
      </c>
      <c r="L427" s="216">
        <v>2142</v>
      </c>
      <c r="M427" s="216">
        <v>2213.4</v>
      </c>
      <c r="N427" s="216">
        <v>2213.4</v>
      </c>
      <c r="O427" s="216">
        <v>2142</v>
      </c>
      <c r="P427" s="216">
        <v>2213.4</v>
      </c>
      <c r="Q427" s="216">
        <v>2142</v>
      </c>
      <c r="R427" s="216">
        <v>2213.4</v>
      </c>
    </row>
    <row r="428" spans="1:18" ht="15.75" hidden="1" thickBot="1" x14ac:dyDescent="0.3">
      <c r="A428" s="348"/>
      <c r="B428" s="397"/>
      <c r="C428" s="217" t="s">
        <v>39</v>
      </c>
      <c r="D428" s="218">
        <v>80.86</v>
      </c>
      <c r="E428" s="204">
        <v>58</v>
      </c>
      <c r="F428" s="40">
        <f>SUM(G428:R428)</f>
        <v>1711806.2</v>
      </c>
      <c r="G428" s="219">
        <v>145386.28</v>
      </c>
      <c r="H428" s="219">
        <v>131316.64000000001</v>
      </c>
      <c r="I428" s="219">
        <v>145386.28</v>
      </c>
      <c r="J428" s="219">
        <v>140696.4</v>
      </c>
      <c r="K428" s="219">
        <v>145386.28</v>
      </c>
      <c r="L428" s="219">
        <v>140696.4</v>
      </c>
      <c r="M428" s="219">
        <v>145386.28</v>
      </c>
      <c r="N428" s="219">
        <v>145386.28</v>
      </c>
      <c r="O428" s="219">
        <v>140696.4</v>
      </c>
      <c r="P428" s="219">
        <v>145386.28</v>
      </c>
      <c r="Q428" s="219">
        <v>140696.4</v>
      </c>
      <c r="R428" s="219">
        <v>145386.28</v>
      </c>
    </row>
    <row r="429" spans="1:18" ht="15.75" hidden="1" thickBot="1" x14ac:dyDescent="0.3">
      <c r="A429" s="348"/>
      <c r="B429" s="396"/>
      <c r="C429" s="208" t="s">
        <v>29</v>
      </c>
      <c r="D429" s="41"/>
      <c r="E429" s="7"/>
      <c r="F429" s="26">
        <v>6586986.7999999998</v>
      </c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</row>
    <row r="430" spans="1:18" ht="15.75" hidden="1" thickBot="1" x14ac:dyDescent="0.3">
      <c r="A430" s="348"/>
      <c r="B430" s="398"/>
      <c r="C430" s="43" t="s">
        <v>124</v>
      </c>
      <c r="D430" s="44"/>
      <c r="E430" s="43"/>
      <c r="F430" s="210"/>
      <c r="G430" s="211"/>
      <c r="H430" s="45"/>
      <c r="I430" s="45"/>
      <c r="J430" s="45"/>
      <c r="K430" s="45"/>
      <c r="L430" s="45"/>
      <c r="M430" s="45"/>
      <c r="N430" s="45"/>
      <c r="O430" s="212"/>
      <c r="P430" s="45"/>
      <c r="Q430" s="212"/>
      <c r="R430" s="46"/>
    </row>
    <row r="431" spans="1:18" ht="26.25" hidden="1" thickBot="1" x14ac:dyDescent="0.3">
      <c r="A431" s="348"/>
      <c r="B431" s="399"/>
      <c r="C431" s="38" t="s">
        <v>125</v>
      </c>
      <c r="D431" s="39"/>
      <c r="E431" s="38">
        <f>SUM(E432:E440)</f>
        <v>219</v>
      </c>
      <c r="F431" s="220">
        <f>SUM(F432:F441)</f>
        <v>7190531</v>
      </c>
      <c r="G431" s="220">
        <f t="shared" ref="G431:Q431" si="413">SUM(G432:G440)</f>
        <v>499885.23</v>
      </c>
      <c r="H431" s="220">
        <f t="shared" si="413"/>
        <v>451509.24</v>
      </c>
      <c r="I431" s="220">
        <f t="shared" si="413"/>
        <v>499885.23</v>
      </c>
      <c r="J431" s="220">
        <f t="shared" si="413"/>
        <v>483759.9</v>
      </c>
      <c r="K431" s="220">
        <f t="shared" si="413"/>
        <v>499885.23</v>
      </c>
      <c r="L431" s="220">
        <f t="shared" si="413"/>
        <v>483759.9</v>
      </c>
      <c r="M431" s="220">
        <f t="shared" si="413"/>
        <v>499885.23</v>
      </c>
      <c r="N431" s="220">
        <f t="shared" si="413"/>
        <v>499885.23</v>
      </c>
      <c r="O431" s="220">
        <f t="shared" si="413"/>
        <v>483759.9</v>
      </c>
      <c r="P431" s="220">
        <f t="shared" si="413"/>
        <v>499885.23</v>
      </c>
      <c r="Q431" s="220">
        <f t="shared" si="413"/>
        <v>483759.9</v>
      </c>
      <c r="R431" s="47">
        <f>R432+R433+R434+R435+R436+R437+R438+R439+R440+R444+R447+R450+R453</f>
        <v>499885.23</v>
      </c>
    </row>
    <row r="432" spans="1:18" ht="15.75" hidden="1" thickBot="1" x14ac:dyDescent="0.3">
      <c r="A432" s="348"/>
      <c r="B432" s="395"/>
      <c r="C432" s="195" t="s">
        <v>126</v>
      </c>
      <c r="D432" s="196">
        <v>71.400000000000006</v>
      </c>
      <c r="E432" s="197">
        <v>1</v>
      </c>
      <c r="F432" s="221">
        <f t="shared" ref="F432:F440" si="414">SUM(G432:R432)</f>
        <v>26061</v>
      </c>
      <c r="G432" s="222">
        <v>2213.4</v>
      </c>
      <c r="H432" s="223">
        <v>1999.2</v>
      </c>
      <c r="I432" s="222">
        <v>2213.4</v>
      </c>
      <c r="J432" s="223">
        <v>2142</v>
      </c>
      <c r="K432" s="222">
        <v>2213.4</v>
      </c>
      <c r="L432" s="223">
        <v>2142</v>
      </c>
      <c r="M432" s="222">
        <v>2213.4</v>
      </c>
      <c r="N432" s="222">
        <v>2213.4</v>
      </c>
      <c r="O432" s="223">
        <v>2142</v>
      </c>
      <c r="P432" s="222">
        <v>2213.4</v>
      </c>
      <c r="Q432" s="223">
        <v>2142</v>
      </c>
      <c r="R432" s="222">
        <v>2213.4</v>
      </c>
    </row>
    <row r="433" spans="1:18" ht="15.75" hidden="1" thickBot="1" x14ac:dyDescent="0.3">
      <c r="A433" s="348"/>
      <c r="B433" s="396"/>
      <c r="C433" s="9" t="s">
        <v>36</v>
      </c>
      <c r="D433" s="10">
        <v>71.400000000000006</v>
      </c>
      <c r="E433" s="200">
        <v>16</v>
      </c>
      <c r="F433" s="224">
        <f t="shared" si="414"/>
        <v>416976</v>
      </c>
      <c r="G433" s="225">
        <v>35414.400000000001</v>
      </c>
      <c r="H433" s="226">
        <v>31987.200000000001</v>
      </c>
      <c r="I433" s="225">
        <v>35414.400000000001</v>
      </c>
      <c r="J433" s="226">
        <v>34272</v>
      </c>
      <c r="K433" s="225">
        <v>35414.400000000001</v>
      </c>
      <c r="L433" s="226">
        <v>34272</v>
      </c>
      <c r="M433" s="225">
        <v>35414.400000000001</v>
      </c>
      <c r="N433" s="225">
        <v>35414.400000000001</v>
      </c>
      <c r="O433" s="226">
        <v>34272</v>
      </c>
      <c r="P433" s="225">
        <v>35414.400000000001</v>
      </c>
      <c r="Q433" s="226">
        <v>34272</v>
      </c>
      <c r="R433" s="225">
        <v>35414.400000000001</v>
      </c>
    </row>
    <row r="434" spans="1:18" ht="15.75" hidden="1" thickBot="1" x14ac:dyDescent="0.3">
      <c r="A434" s="348"/>
      <c r="B434" s="396"/>
      <c r="C434" s="9" t="s">
        <v>15</v>
      </c>
      <c r="D434" s="10">
        <v>71.400000000000006</v>
      </c>
      <c r="E434" s="200">
        <v>64</v>
      </c>
      <c r="F434" s="224">
        <f t="shared" si="414"/>
        <v>1667904</v>
      </c>
      <c r="G434" s="225">
        <v>141657.60000000001</v>
      </c>
      <c r="H434" s="226">
        <v>127948.8</v>
      </c>
      <c r="I434" s="225">
        <v>141657.60000000001</v>
      </c>
      <c r="J434" s="226">
        <v>137088</v>
      </c>
      <c r="K434" s="225">
        <v>141657.60000000001</v>
      </c>
      <c r="L434" s="226">
        <v>137088</v>
      </c>
      <c r="M434" s="225">
        <v>141657.60000000001</v>
      </c>
      <c r="N434" s="225">
        <v>141657.60000000001</v>
      </c>
      <c r="O434" s="226">
        <v>137088</v>
      </c>
      <c r="P434" s="225">
        <v>141657.60000000001</v>
      </c>
      <c r="Q434" s="226">
        <v>137088</v>
      </c>
      <c r="R434" s="225">
        <v>141657.60000000001</v>
      </c>
    </row>
    <row r="435" spans="1:18" ht="15.75" hidden="1" thickBot="1" x14ac:dyDescent="0.3">
      <c r="A435" s="348"/>
      <c r="B435" s="396"/>
      <c r="C435" s="9" t="s">
        <v>99</v>
      </c>
      <c r="D435" s="10">
        <v>73.59</v>
      </c>
      <c r="E435" s="200">
        <v>1</v>
      </c>
      <c r="F435" s="224">
        <f t="shared" si="414"/>
        <v>26860.35</v>
      </c>
      <c r="G435" s="225">
        <v>2281.29</v>
      </c>
      <c r="H435" s="226">
        <v>2060.52</v>
      </c>
      <c r="I435" s="225">
        <v>2281.29</v>
      </c>
      <c r="J435" s="226">
        <v>2207.6999999999998</v>
      </c>
      <c r="K435" s="225">
        <v>2281.29</v>
      </c>
      <c r="L435" s="226">
        <v>2207.6999999999998</v>
      </c>
      <c r="M435" s="225">
        <v>2281.29</v>
      </c>
      <c r="N435" s="225">
        <v>2281.29</v>
      </c>
      <c r="O435" s="226">
        <v>2207.6999999999998</v>
      </c>
      <c r="P435" s="225">
        <v>2281.29</v>
      </c>
      <c r="Q435" s="226">
        <v>2207.6999999999998</v>
      </c>
      <c r="R435" s="225">
        <v>2281.29</v>
      </c>
    </row>
    <row r="436" spans="1:18" ht="15.75" hidden="1" thickBot="1" x14ac:dyDescent="0.3">
      <c r="A436" s="348"/>
      <c r="B436" s="396"/>
      <c r="C436" s="12" t="s">
        <v>127</v>
      </c>
      <c r="D436" s="10">
        <v>75.64</v>
      </c>
      <c r="E436" s="200">
        <v>1</v>
      </c>
      <c r="F436" s="224">
        <f t="shared" si="414"/>
        <v>27608.6</v>
      </c>
      <c r="G436" s="225">
        <v>2344.84</v>
      </c>
      <c r="H436" s="226">
        <v>2117.92</v>
      </c>
      <c r="I436" s="225">
        <v>2344.84</v>
      </c>
      <c r="J436" s="226">
        <v>2269.1999999999998</v>
      </c>
      <c r="K436" s="225">
        <v>2344.84</v>
      </c>
      <c r="L436" s="226">
        <v>2269.1999999999998</v>
      </c>
      <c r="M436" s="225">
        <v>2344.84</v>
      </c>
      <c r="N436" s="225">
        <v>2344.84</v>
      </c>
      <c r="O436" s="226">
        <v>2269.1999999999998</v>
      </c>
      <c r="P436" s="225">
        <v>2344.84</v>
      </c>
      <c r="Q436" s="226">
        <v>2269.1999999999998</v>
      </c>
      <c r="R436" s="225">
        <v>2344.84</v>
      </c>
    </row>
    <row r="437" spans="1:18" ht="15.75" hidden="1" thickBot="1" x14ac:dyDescent="0.3">
      <c r="A437" s="348"/>
      <c r="B437" s="396"/>
      <c r="C437" s="12" t="s">
        <v>19</v>
      </c>
      <c r="D437" s="10">
        <v>72.540000000000006</v>
      </c>
      <c r="E437" s="200">
        <v>51</v>
      </c>
      <c r="F437" s="224">
        <f t="shared" si="414"/>
        <v>1350332.1</v>
      </c>
      <c r="G437" s="225">
        <v>114685.74</v>
      </c>
      <c r="H437" s="226">
        <v>103587.12</v>
      </c>
      <c r="I437" s="225">
        <v>114685.74</v>
      </c>
      <c r="J437" s="226">
        <v>110986.2</v>
      </c>
      <c r="K437" s="225">
        <v>114685.74</v>
      </c>
      <c r="L437" s="226">
        <v>110986.2</v>
      </c>
      <c r="M437" s="225">
        <v>114685.74</v>
      </c>
      <c r="N437" s="225">
        <v>114685.74</v>
      </c>
      <c r="O437" s="226">
        <v>110986.2</v>
      </c>
      <c r="P437" s="225">
        <v>114685.74</v>
      </c>
      <c r="Q437" s="226">
        <v>110986.2</v>
      </c>
      <c r="R437" s="225">
        <v>114685.74</v>
      </c>
    </row>
    <row r="438" spans="1:18" ht="15.75" hidden="1" thickBot="1" x14ac:dyDescent="0.3">
      <c r="A438" s="348"/>
      <c r="B438" s="396"/>
      <c r="C438" s="12" t="s">
        <v>18</v>
      </c>
      <c r="D438" s="10">
        <v>73.59</v>
      </c>
      <c r="E438" s="200">
        <v>2</v>
      </c>
      <c r="F438" s="224">
        <f t="shared" si="414"/>
        <v>53720.7</v>
      </c>
      <c r="G438" s="225">
        <v>4562.58</v>
      </c>
      <c r="H438" s="226">
        <v>4121.04</v>
      </c>
      <c r="I438" s="225">
        <v>4562.58</v>
      </c>
      <c r="J438" s="226">
        <v>4415.3999999999996</v>
      </c>
      <c r="K438" s="225">
        <v>4562.58</v>
      </c>
      <c r="L438" s="226">
        <v>4415.3999999999996</v>
      </c>
      <c r="M438" s="225">
        <v>4562.58</v>
      </c>
      <c r="N438" s="225">
        <v>4562.58</v>
      </c>
      <c r="O438" s="226">
        <v>4415.3999999999996</v>
      </c>
      <c r="P438" s="225">
        <v>4562.58</v>
      </c>
      <c r="Q438" s="226">
        <v>4415.3999999999996</v>
      </c>
      <c r="R438" s="225">
        <v>4562.58</v>
      </c>
    </row>
    <row r="439" spans="1:18" ht="15.75" hidden="1" thickBot="1" x14ac:dyDescent="0.3">
      <c r="A439" s="348"/>
      <c r="B439" s="396"/>
      <c r="C439" s="12" t="s">
        <v>37</v>
      </c>
      <c r="D439" s="10">
        <v>75.64</v>
      </c>
      <c r="E439" s="200">
        <v>70</v>
      </c>
      <c r="F439" s="224">
        <f t="shared" si="414"/>
        <v>1932602</v>
      </c>
      <c r="G439" s="225">
        <v>164138.79999999999</v>
      </c>
      <c r="H439" s="226">
        <v>148254.39999999999</v>
      </c>
      <c r="I439" s="225">
        <v>164138.79999999999</v>
      </c>
      <c r="J439" s="226">
        <v>158844</v>
      </c>
      <c r="K439" s="225">
        <v>164138.79999999999</v>
      </c>
      <c r="L439" s="226">
        <v>158844</v>
      </c>
      <c r="M439" s="225">
        <v>164138.79999999999</v>
      </c>
      <c r="N439" s="225">
        <v>164138.79999999999</v>
      </c>
      <c r="O439" s="226">
        <v>158844</v>
      </c>
      <c r="P439" s="225">
        <v>164138.79999999999</v>
      </c>
      <c r="Q439" s="226">
        <v>158844</v>
      </c>
      <c r="R439" s="225">
        <v>164138.79999999999</v>
      </c>
    </row>
    <row r="440" spans="1:18" ht="15.75" hidden="1" thickBot="1" x14ac:dyDescent="0.3">
      <c r="A440" s="348"/>
      <c r="B440" s="397"/>
      <c r="C440" s="204" t="s">
        <v>39</v>
      </c>
      <c r="D440" s="205">
        <v>80.86</v>
      </c>
      <c r="E440" s="204">
        <v>13</v>
      </c>
      <c r="F440" s="227">
        <f t="shared" si="414"/>
        <v>383680.7</v>
      </c>
      <c r="G440" s="228">
        <v>32586.58</v>
      </c>
      <c r="H440" s="229">
        <v>29433.040000000001</v>
      </c>
      <c r="I440" s="228">
        <v>32586.58</v>
      </c>
      <c r="J440" s="229">
        <v>31535.4</v>
      </c>
      <c r="K440" s="228">
        <v>32586.58</v>
      </c>
      <c r="L440" s="229">
        <v>31535.4</v>
      </c>
      <c r="M440" s="228">
        <v>32586.58</v>
      </c>
      <c r="N440" s="228">
        <v>32586.58</v>
      </c>
      <c r="O440" s="229">
        <v>31535.4</v>
      </c>
      <c r="P440" s="228">
        <v>32586.58</v>
      </c>
      <c r="Q440" s="229">
        <v>31535.4</v>
      </c>
      <c r="R440" s="228">
        <v>32586.58</v>
      </c>
    </row>
    <row r="441" spans="1:18" ht="15.75" hidden="1" thickBot="1" x14ac:dyDescent="0.3">
      <c r="A441" s="348"/>
      <c r="B441" s="396"/>
      <c r="C441" s="208" t="s">
        <v>29</v>
      </c>
      <c r="D441" s="8"/>
      <c r="E441" s="7"/>
      <c r="F441" s="209">
        <v>1304785.55</v>
      </c>
      <c r="G441" s="226"/>
      <c r="H441" s="226"/>
      <c r="I441" s="226"/>
      <c r="J441" s="226"/>
      <c r="K441" s="226"/>
      <c r="L441" s="226"/>
      <c r="M441" s="226"/>
      <c r="N441" s="226"/>
      <c r="O441" s="226"/>
      <c r="P441" s="226"/>
      <c r="Q441" s="226"/>
      <c r="R441" s="226"/>
    </row>
    <row r="442" spans="1:18" ht="15.75" hidden="1" thickBot="1" x14ac:dyDescent="0.3">
      <c r="A442" s="348"/>
      <c r="B442" s="398"/>
      <c r="C442" s="43" t="s">
        <v>128</v>
      </c>
      <c r="D442" s="44"/>
      <c r="E442" s="43"/>
      <c r="F442" s="210"/>
      <c r="G442" s="42"/>
      <c r="H442" s="45"/>
      <c r="I442" s="45"/>
      <c r="J442" s="45"/>
      <c r="K442" s="45"/>
      <c r="L442" s="45"/>
      <c r="M442" s="45"/>
      <c r="N442" s="45"/>
      <c r="O442" s="212"/>
      <c r="P442" s="45"/>
      <c r="Q442" s="212"/>
      <c r="R442" s="46"/>
    </row>
    <row r="443" spans="1:18" ht="26.25" hidden="1" thickBot="1" x14ac:dyDescent="0.3">
      <c r="A443" s="348"/>
      <c r="B443" s="399"/>
      <c r="C443" s="38" t="s">
        <v>129</v>
      </c>
      <c r="D443" s="39"/>
      <c r="E443" s="38">
        <f t="shared" ref="E443:R443" si="415">SUM(E444:E444)</f>
        <v>0</v>
      </c>
      <c r="F443" s="220">
        <f t="shared" si="415"/>
        <v>0</v>
      </c>
      <c r="G443" s="220">
        <f t="shared" si="415"/>
        <v>0</v>
      </c>
      <c r="H443" s="220">
        <f t="shared" si="415"/>
        <v>0</v>
      </c>
      <c r="I443" s="220">
        <f t="shared" si="415"/>
        <v>0</v>
      </c>
      <c r="J443" s="220">
        <f t="shared" si="415"/>
        <v>0</v>
      </c>
      <c r="K443" s="220">
        <f t="shared" si="415"/>
        <v>0</v>
      </c>
      <c r="L443" s="220">
        <f t="shared" si="415"/>
        <v>0</v>
      </c>
      <c r="M443" s="220">
        <f t="shared" si="415"/>
        <v>0</v>
      </c>
      <c r="N443" s="220">
        <f t="shared" si="415"/>
        <v>0</v>
      </c>
      <c r="O443" s="220">
        <f t="shared" si="415"/>
        <v>0</v>
      </c>
      <c r="P443" s="220">
        <f t="shared" si="415"/>
        <v>0</v>
      </c>
      <c r="Q443" s="220">
        <f t="shared" si="415"/>
        <v>0</v>
      </c>
      <c r="R443" s="47">
        <f t="shared" si="415"/>
        <v>0</v>
      </c>
    </row>
    <row r="444" spans="1:18" ht="15.75" hidden="1" thickBot="1" x14ac:dyDescent="0.3">
      <c r="A444" s="348"/>
      <c r="B444" s="400"/>
      <c r="C444" s="230" t="s">
        <v>29</v>
      </c>
      <c r="D444" s="231">
        <v>80.86</v>
      </c>
      <c r="E444" s="230">
        <v>0</v>
      </c>
      <c r="F444" s="232">
        <v>0</v>
      </c>
      <c r="G444" s="233"/>
      <c r="H444" s="234"/>
      <c r="I444" s="234"/>
      <c r="J444" s="234"/>
      <c r="K444" s="234"/>
      <c r="L444" s="234"/>
      <c r="M444" s="234"/>
      <c r="N444" s="234"/>
      <c r="O444" s="234"/>
      <c r="P444" s="234"/>
      <c r="Q444" s="234"/>
      <c r="R444" s="235"/>
    </row>
    <row r="445" spans="1:18" ht="15.75" hidden="1" thickBot="1" x14ac:dyDescent="0.3">
      <c r="A445" s="348"/>
      <c r="B445" s="393"/>
      <c r="C445" s="33" t="s">
        <v>130</v>
      </c>
      <c r="D445" s="34"/>
      <c r="E445" s="33"/>
      <c r="F445" s="190"/>
      <c r="G445" s="32"/>
      <c r="H445" s="35"/>
      <c r="I445" s="35"/>
      <c r="J445" s="35"/>
      <c r="K445" s="35"/>
      <c r="L445" s="35"/>
      <c r="M445" s="35"/>
      <c r="N445" s="35"/>
      <c r="O445" s="36"/>
      <c r="P445" s="35"/>
      <c r="Q445" s="36"/>
      <c r="R445" s="37"/>
    </row>
    <row r="446" spans="1:18" ht="26.25" hidden="1" thickBot="1" x14ac:dyDescent="0.3">
      <c r="A446" s="348"/>
      <c r="B446" s="399"/>
      <c r="C446" s="38" t="s">
        <v>131</v>
      </c>
      <c r="D446" s="39"/>
      <c r="E446" s="38">
        <f t="shared" ref="E446:R446" si="416">SUM(E447:E447)</f>
        <v>0</v>
      </c>
      <c r="F446" s="220">
        <f t="shared" si="416"/>
        <v>0</v>
      </c>
      <c r="G446" s="220">
        <f t="shared" si="416"/>
        <v>0</v>
      </c>
      <c r="H446" s="220">
        <f t="shared" si="416"/>
        <v>0</v>
      </c>
      <c r="I446" s="220">
        <f t="shared" si="416"/>
        <v>0</v>
      </c>
      <c r="J446" s="220">
        <f t="shared" si="416"/>
        <v>0</v>
      </c>
      <c r="K446" s="220">
        <f t="shared" si="416"/>
        <v>0</v>
      </c>
      <c r="L446" s="220">
        <f t="shared" si="416"/>
        <v>0</v>
      </c>
      <c r="M446" s="220">
        <f t="shared" si="416"/>
        <v>0</v>
      </c>
      <c r="N446" s="220">
        <f t="shared" si="416"/>
        <v>0</v>
      </c>
      <c r="O446" s="220">
        <f t="shared" si="416"/>
        <v>0</v>
      </c>
      <c r="P446" s="220">
        <f t="shared" si="416"/>
        <v>0</v>
      </c>
      <c r="Q446" s="220">
        <f t="shared" si="416"/>
        <v>0</v>
      </c>
      <c r="R446" s="47">
        <f t="shared" si="416"/>
        <v>0</v>
      </c>
    </row>
    <row r="447" spans="1:18" ht="15.75" hidden="1" thickBot="1" x14ac:dyDescent="0.3">
      <c r="A447" s="348"/>
      <c r="B447" s="401"/>
      <c r="C447" s="230" t="s">
        <v>29</v>
      </c>
      <c r="D447" s="236">
        <v>80.86</v>
      </c>
      <c r="E447" s="237">
        <v>0</v>
      </c>
      <c r="F447" s="238">
        <v>0</v>
      </c>
      <c r="G447" s="239"/>
      <c r="H447" s="239"/>
      <c r="I447" s="239"/>
      <c r="J447" s="239"/>
      <c r="K447" s="239"/>
      <c r="L447" s="239"/>
      <c r="M447" s="239"/>
      <c r="N447" s="239"/>
      <c r="O447" s="240"/>
      <c r="P447" s="239"/>
      <c r="Q447" s="240"/>
      <c r="R447" s="241"/>
    </row>
    <row r="448" spans="1:18" ht="26.25" hidden="1" thickBot="1" x14ac:dyDescent="0.3">
      <c r="A448" s="348"/>
      <c r="B448" s="393"/>
      <c r="C448" s="33" t="s">
        <v>132</v>
      </c>
      <c r="D448" s="34"/>
      <c r="E448" s="33"/>
      <c r="F448" s="190"/>
      <c r="G448" s="32"/>
      <c r="H448" s="35"/>
      <c r="I448" s="35"/>
      <c r="J448" s="35"/>
      <c r="K448" s="35"/>
      <c r="L448" s="35"/>
      <c r="M448" s="35"/>
      <c r="N448" s="35"/>
      <c r="O448" s="36"/>
      <c r="P448" s="35"/>
      <c r="Q448" s="36"/>
      <c r="R448" s="37"/>
    </row>
    <row r="449" spans="1:18" ht="26.25" hidden="1" thickBot="1" x14ac:dyDescent="0.3">
      <c r="A449" s="348"/>
      <c r="B449" s="399"/>
      <c r="C449" s="38" t="s">
        <v>133</v>
      </c>
      <c r="D449" s="39"/>
      <c r="E449" s="38">
        <f t="shared" ref="E449:R449" si="417">SUM(E450:E450)</f>
        <v>0</v>
      </c>
      <c r="F449" s="220">
        <f t="shared" si="417"/>
        <v>0</v>
      </c>
      <c r="G449" s="220">
        <f t="shared" si="417"/>
        <v>0</v>
      </c>
      <c r="H449" s="220">
        <f t="shared" si="417"/>
        <v>0</v>
      </c>
      <c r="I449" s="220">
        <f t="shared" si="417"/>
        <v>0</v>
      </c>
      <c r="J449" s="220">
        <f t="shared" si="417"/>
        <v>0</v>
      </c>
      <c r="K449" s="220">
        <f t="shared" si="417"/>
        <v>0</v>
      </c>
      <c r="L449" s="220">
        <f t="shared" si="417"/>
        <v>0</v>
      </c>
      <c r="M449" s="220">
        <f t="shared" si="417"/>
        <v>0</v>
      </c>
      <c r="N449" s="220">
        <f t="shared" si="417"/>
        <v>0</v>
      </c>
      <c r="O449" s="220">
        <f t="shared" si="417"/>
        <v>0</v>
      </c>
      <c r="P449" s="220">
        <f t="shared" si="417"/>
        <v>0</v>
      </c>
      <c r="Q449" s="220">
        <f t="shared" si="417"/>
        <v>0</v>
      </c>
      <c r="R449" s="47">
        <f t="shared" si="417"/>
        <v>0</v>
      </c>
    </row>
    <row r="450" spans="1:18" ht="15.75" hidden="1" thickBot="1" x14ac:dyDescent="0.3">
      <c r="A450" s="348"/>
      <c r="B450" s="401"/>
      <c r="C450" s="230" t="s">
        <v>29</v>
      </c>
      <c r="D450" s="236">
        <v>80.86</v>
      </c>
      <c r="E450" s="237">
        <v>0</v>
      </c>
      <c r="F450" s="238">
        <v>0</v>
      </c>
      <c r="G450" s="239"/>
      <c r="H450" s="239"/>
      <c r="I450" s="239"/>
      <c r="J450" s="239"/>
      <c r="K450" s="239"/>
      <c r="L450" s="239"/>
      <c r="M450" s="239"/>
      <c r="N450" s="239"/>
      <c r="O450" s="240"/>
      <c r="P450" s="239"/>
      <c r="Q450" s="240"/>
      <c r="R450" s="241"/>
    </row>
    <row r="451" spans="1:18" ht="15.75" hidden="1" thickBot="1" x14ac:dyDescent="0.3">
      <c r="A451" s="348"/>
      <c r="B451" s="393"/>
      <c r="C451" s="33" t="s">
        <v>134</v>
      </c>
      <c r="D451" s="34"/>
      <c r="E451" s="33"/>
      <c r="F451" s="190"/>
      <c r="G451" s="32"/>
      <c r="H451" s="35"/>
      <c r="I451" s="35"/>
      <c r="J451" s="35"/>
      <c r="K451" s="35"/>
      <c r="L451" s="35"/>
      <c r="M451" s="35"/>
      <c r="N451" s="35"/>
      <c r="O451" s="36"/>
      <c r="P451" s="35"/>
      <c r="Q451" s="36"/>
      <c r="R451" s="37"/>
    </row>
    <row r="452" spans="1:18" ht="26.25" hidden="1" thickBot="1" x14ac:dyDescent="0.3">
      <c r="A452" s="348"/>
      <c r="B452" s="399"/>
      <c r="C452" s="38" t="s">
        <v>135</v>
      </c>
      <c r="D452" s="39"/>
      <c r="E452" s="38">
        <f t="shared" ref="E452:R452" si="418">SUM(E453:E453)</f>
        <v>0</v>
      </c>
      <c r="F452" s="220">
        <f t="shared" si="418"/>
        <v>0</v>
      </c>
      <c r="G452" s="220">
        <f t="shared" si="418"/>
        <v>0</v>
      </c>
      <c r="H452" s="220">
        <f t="shared" si="418"/>
        <v>0</v>
      </c>
      <c r="I452" s="220">
        <f t="shared" si="418"/>
        <v>0</v>
      </c>
      <c r="J452" s="220">
        <f t="shared" si="418"/>
        <v>0</v>
      </c>
      <c r="K452" s="220">
        <f t="shared" si="418"/>
        <v>0</v>
      </c>
      <c r="L452" s="220">
        <f t="shared" si="418"/>
        <v>0</v>
      </c>
      <c r="M452" s="220">
        <f t="shared" si="418"/>
        <v>0</v>
      </c>
      <c r="N452" s="220">
        <f t="shared" si="418"/>
        <v>0</v>
      </c>
      <c r="O452" s="220">
        <f t="shared" si="418"/>
        <v>0</v>
      </c>
      <c r="P452" s="220">
        <f t="shared" si="418"/>
        <v>0</v>
      </c>
      <c r="Q452" s="220">
        <f t="shared" si="418"/>
        <v>0</v>
      </c>
      <c r="R452" s="47">
        <f t="shared" si="418"/>
        <v>0</v>
      </c>
    </row>
    <row r="453" spans="1:18" ht="15.75" hidden="1" thickBot="1" x14ac:dyDescent="0.3">
      <c r="A453" s="348"/>
      <c r="B453" s="401"/>
      <c r="C453" s="230" t="s">
        <v>29</v>
      </c>
      <c r="D453" s="236">
        <v>80.86</v>
      </c>
      <c r="E453" s="237">
        <v>0</v>
      </c>
      <c r="F453" s="238">
        <v>0</v>
      </c>
      <c r="G453" s="239"/>
      <c r="H453" s="239"/>
      <c r="I453" s="239"/>
      <c r="J453" s="239"/>
      <c r="K453" s="239"/>
      <c r="L453" s="239"/>
      <c r="M453" s="239"/>
      <c r="N453" s="239"/>
      <c r="O453" s="240"/>
      <c r="P453" s="239"/>
      <c r="Q453" s="240"/>
      <c r="R453" s="241"/>
    </row>
    <row r="454" spans="1:18" ht="15.75" hidden="1" thickBot="1" x14ac:dyDescent="0.3">
      <c r="A454" s="348"/>
    </row>
    <row r="455" spans="1:18" x14ac:dyDescent="0.25">
      <c r="O455" s="363"/>
      <c r="P455" s="363"/>
    </row>
    <row r="462" spans="1:18" x14ac:dyDescent="0.25">
      <c r="K462" s="1"/>
    </row>
    <row r="465" spans="11:11" x14ac:dyDescent="0.25">
      <c r="K465" s="1"/>
    </row>
  </sheetData>
  <mergeCells count="60">
    <mergeCell ref="B406:R406"/>
    <mergeCell ref="B3:R3"/>
    <mergeCell ref="B4:R4"/>
    <mergeCell ref="C51:D51"/>
    <mergeCell ref="B11:R11"/>
    <mergeCell ref="C12:C13"/>
    <mergeCell ref="D12:D13"/>
    <mergeCell ref="E12:E13"/>
    <mergeCell ref="F12:F13"/>
    <mergeCell ref="G12:R12"/>
    <mergeCell ref="C22:D22"/>
    <mergeCell ref="C38:D38"/>
    <mergeCell ref="C39:D39"/>
    <mergeCell ref="C40:D40"/>
    <mergeCell ref="C46:D46"/>
    <mergeCell ref="C162:D162"/>
    <mergeCell ref="C52:D52"/>
    <mergeCell ref="C53:D53"/>
    <mergeCell ref="C80:D80"/>
    <mergeCell ref="C105:D105"/>
    <mergeCell ref="C113:D113"/>
    <mergeCell ref="C123:D123"/>
    <mergeCell ref="C132:D132"/>
    <mergeCell ref="C141:D141"/>
    <mergeCell ref="C146:D146"/>
    <mergeCell ref="C155:D155"/>
    <mergeCell ref="C161:D161"/>
    <mergeCell ref="C315:D315"/>
    <mergeCell ref="C191:D191"/>
    <mergeCell ref="C204:D204"/>
    <mergeCell ref="C208:D208"/>
    <mergeCell ref="C212:D212"/>
    <mergeCell ref="C216:D216"/>
    <mergeCell ref="C224:D224"/>
    <mergeCell ref="C229:D229"/>
    <mergeCell ref="C230:D230"/>
    <mergeCell ref="C246:D246"/>
    <mergeCell ref="C284:D284"/>
    <mergeCell ref="C285:D285"/>
    <mergeCell ref="B217:D217"/>
    <mergeCell ref="B407:B408"/>
    <mergeCell ref="C407:C408"/>
    <mergeCell ref="D407:D408"/>
    <mergeCell ref="E407:E408"/>
    <mergeCell ref="G407:R407"/>
    <mergeCell ref="C394:D394"/>
    <mergeCell ref="C385:D385"/>
    <mergeCell ref="C350:D350"/>
    <mergeCell ref="C351:D351"/>
    <mergeCell ref="C352:D352"/>
    <mergeCell ref="C364:D364"/>
    <mergeCell ref="C376:D376"/>
    <mergeCell ref="C380:D380"/>
    <mergeCell ref="C381:D381"/>
    <mergeCell ref="C355:D356"/>
    <mergeCell ref="C359:D360"/>
    <mergeCell ref="C367:D368"/>
    <mergeCell ref="C371:D372"/>
    <mergeCell ref="C389:D389"/>
    <mergeCell ref="C393:D393"/>
  </mergeCells>
  <pageMargins left="0.25" right="0.25" top="0.75" bottom="0.75" header="0.3" footer="0.3"/>
  <pageSetup paperSize="14" scale="54" fitToHeight="0" orientation="landscape" r:id="rId1"/>
  <headerFooter>
    <oddFooter xml:space="preserve">&amp;L&amp;P
</oddFooter>
  </headerFooter>
  <rowBreaks count="7" manualBreakCount="7">
    <brk id="50" max="17" man="1"/>
    <brk id="104" max="17" man="1"/>
    <brk id="154" max="17" man="1"/>
    <brk id="207" max="17" man="1"/>
    <brk id="257" max="17" man="1"/>
    <brk id="313" max="17" man="1"/>
    <brk id="367" max="17" man="1"/>
  </rowBreaks>
  <ignoredErrors>
    <ignoredError sqref="I94 H334:M334 F15 L274 R285 F175:H179 S257:S258 S269 F381 L296 F169:H171 M76 M116:N116 N195 F246 F46 N33 N185 N304 O300 O196 R46 O120 R162 M319:N319 N62 F80 F162 P303 P118 P138 O88 P197 S266 S262:S263 S254 S251 Q128 Q198 F149 F297 Q234 Q237 Q59 O334 Q334 Q402:R402 R61 J397:L397 H233:N233 F167:G167 H168 L168 G172 H173:R173 F180:G180 H181 G90:H90" formula="1"/>
    <ignoredError sqref="E315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DGA-031 (2)</vt:lpstr>
      <vt:lpstr>'DGA-031 (2)'!Área_de_impresión</vt:lpstr>
      <vt:lpstr>'DGA-031 (2)'!Títulos_a_imprimir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Izaak Toma Martinez</dc:creator>
  <cp:lastModifiedBy>Alfonso</cp:lastModifiedBy>
  <cp:lastPrinted>2021-12-29T19:04:50Z</cp:lastPrinted>
  <dcterms:created xsi:type="dcterms:W3CDTF">2020-10-14T15:16:45Z</dcterms:created>
  <dcterms:modified xsi:type="dcterms:W3CDTF">2021-12-29T20:34:13Z</dcterms:modified>
</cp:coreProperties>
</file>