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fonso\Desktop\Reprogramacion 031 2022\"/>
    </mc:Choice>
  </mc:AlternateContent>
  <bookViews>
    <workbookView xWindow="0" yWindow="0" windowWidth="28800" windowHeight="12330"/>
  </bookViews>
  <sheets>
    <sheet name="DGA-031 REPRO" sheetId="1" r:id="rId1"/>
  </sheets>
  <definedNames>
    <definedName name="_xlnm.Print_Area" localSheetId="0">'DGA-031 REPRO'!$A$1:$R$376</definedName>
    <definedName name="_xlnm.Print_Titles" localSheetId="0">'DGA-031 REPRO'!$12:$13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6" i="1" l="1"/>
  <c r="L86" i="1"/>
  <c r="K86" i="1"/>
  <c r="J86" i="1"/>
  <c r="I86" i="1"/>
  <c r="H86" i="1"/>
  <c r="G86" i="1"/>
  <c r="M85" i="1"/>
  <c r="L85" i="1"/>
  <c r="K85" i="1"/>
  <c r="J85" i="1"/>
  <c r="I85" i="1"/>
  <c r="H85" i="1"/>
  <c r="G85" i="1"/>
  <c r="M84" i="1"/>
  <c r="L84" i="1"/>
  <c r="K84" i="1"/>
  <c r="J84" i="1"/>
  <c r="I84" i="1"/>
  <c r="H84" i="1"/>
  <c r="G84" i="1"/>
  <c r="H81" i="1"/>
  <c r="F82" i="1" l="1"/>
  <c r="F81" i="1"/>
  <c r="G82" i="1"/>
  <c r="H236" i="1"/>
  <c r="H235" i="1"/>
  <c r="H234" i="1"/>
  <c r="H233" i="1"/>
  <c r="G232" i="1"/>
  <c r="S236" i="1"/>
  <c r="F236" i="1" s="1"/>
  <c r="S235" i="1"/>
  <c r="F235" i="1" s="1"/>
  <c r="S234" i="1"/>
  <c r="F234" i="1" s="1"/>
  <c r="S233" i="1"/>
  <c r="F233" i="1" s="1"/>
  <c r="I233" i="1"/>
  <c r="I236" i="1"/>
  <c r="I235" i="1"/>
  <c r="I234" i="1"/>
  <c r="H244" i="1" l="1"/>
  <c r="I244" i="1"/>
  <c r="S244" i="1"/>
  <c r="F244" i="1" s="1"/>
  <c r="S373" i="1" l="1"/>
  <c r="F373" i="1" s="1"/>
  <c r="I373" i="1"/>
  <c r="H373" i="1"/>
  <c r="S206" i="1"/>
  <c r="F206" i="1" s="1"/>
  <c r="I206" i="1"/>
  <c r="H206" i="1"/>
  <c r="H163" i="1"/>
  <c r="H162" i="1"/>
  <c r="I163" i="1"/>
  <c r="I162" i="1"/>
  <c r="S163" i="1"/>
  <c r="F163" i="1" s="1"/>
  <c r="S162" i="1"/>
  <c r="F162" i="1" s="1"/>
  <c r="H185" i="1"/>
  <c r="I185" i="1"/>
  <c r="S185" i="1"/>
  <c r="F185" i="1" s="1"/>
  <c r="H152" i="1"/>
  <c r="S152" i="1"/>
  <c r="F152" i="1" s="1"/>
  <c r="I152" i="1"/>
  <c r="H103" i="1"/>
  <c r="H102" i="1"/>
  <c r="I103" i="1"/>
  <c r="I102" i="1"/>
  <c r="S103" i="1"/>
  <c r="F103" i="1" s="1"/>
  <c r="S102" i="1"/>
  <c r="F102" i="1" s="1"/>
  <c r="H116" i="1"/>
  <c r="S116" i="1"/>
  <c r="F116" i="1" s="1"/>
  <c r="I116" i="1"/>
  <c r="H76" i="1"/>
  <c r="S76" i="1"/>
  <c r="F76" i="1" s="1"/>
  <c r="I76" i="1"/>
  <c r="Q38" i="1" l="1"/>
  <c r="P38" i="1"/>
  <c r="O38" i="1"/>
  <c r="N38" i="1"/>
  <c r="H42" i="1"/>
  <c r="S42" i="1"/>
  <c r="F42" i="1" s="1"/>
  <c r="I42" i="1"/>
  <c r="F217" i="1"/>
  <c r="F198" i="1"/>
  <c r="S95" i="1"/>
  <c r="F95" i="1" s="1"/>
  <c r="M95" i="1"/>
  <c r="L95" i="1"/>
  <c r="K95" i="1"/>
  <c r="J95" i="1"/>
  <c r="I95" i="1"/>
  <c r="H95" i="1"/>
  <c r="F62" i="1"/>
  <c r="H139" i="1"/>
  <c r="F139" i="1"/>
  <c r="F140" i="1"/>
  <c r="F214" i="1"/>
  <c r="F372" i="1"/>
  <c r="F25" i="1"/>
  <c r="S355" i="1" l="1"/>
  <c r="F355" i="1" s="1"/>
  <c r="M355" i="1"/>
  <c r="L355" i="1"/>
  <c r="K355" i="1"/>
  <c r="J355" i="1"/>
  <c r="I355" i="1"/>
  <c r="H355" i="1"/>
  <c r="G213" i="1"/>
  <c r="F213" i="1"/>
  <c r="H212" i="1"/>
  <c r="I212" i="1"/>
  <c r="J212" i="1"/>
  <c r="K212" i="1"/>
  <c r="L212" i="1"/>
  <c r="M212" i="1"/>
  <c r="S26" i="1" l="1"/>
  <c r="F26" i="1" s="1"/>
  <c r="F84" i="1"/>
  <c r="H26" i="1"/>
  <c r="M26" i="1"/>
  <c r="L26" i="1"/>
  <c r="K26" i="1"/>
  <c r="J26" i="1"/>
  <c r="I26" i="1"/>
  <c r="M356" i="1" l="1"/>
  <c r="L356" i="1"/>
  <c r="K356" i="1"/>
  <c r="J356" i="1"/>
  <c r="I356" i="1"/>
  <c r="H356" i="1"/>
  <c r="G356" i="1"/>
  <c r="M354" i="1"/>
  <c r="L354" i="1"/>
  <c r="K354" i="1"/>
  <c r="J354" i="1"/>
  <c r="I354" i="1"/>
  <c r="H354" i="1"/>
  <c r="G354" i="1"/>
  <c r="M353" i="1"/>
  <c r="L353" i="1"/>
  <c r="K353" i="1"/>
  <c r="J353" i="1"/>
  <c r="I353" i="1"/>
  <c r="H353" i="1"/>
  <c r="G353" i="1"/>
  <c r="M352" i="1"/>
  <c r="L352" i="1"/>
  <c r="K352" i="1"/>
  <c r="J352" i="1"/>
  <c r="I352" i="1"/>
  <c r="H352" i="1"/>
  <c r="G352" i="1"/>
  <c r="M351" i="1"/>
  <c r="L351" i="1"/>
  <c r="K351" i="1"/>
  <c r="J351" i="1"/>
  <c r="I351" i="1"/>
  <c r="H351" i="1"/>
  <c r="G351" i="1"/>
  <c r="M350" i="1"/>
  <c r="L350" i="1"/>
  <c r="K350" i="1"/>
  <c r="J350" i="1"/>
  <c r="I350" i="1"/>
  <c r="H350" i="1"/>
  <c r="G350" i="1"/>
  <c r="J272" i="1"/>
  <c r="J271" i="1"/>
  <c r="J270" i="1"/>
  <c r="J269" i="1"/>
  <c r="J268" i="1"/>
  <c r="J267" i="1"/>
  <c r="J266" i="1"/>
  <c r="J265" i="1"/>
  <c r="E277" i="1" l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R272" i="1"/>
  <c r="Q272" i="1"/>
  <c r="P272" i="1"/>
  <c r="O272" i="1"/>
  <c r="N272" i="1"/>
  <c r="R271" i="1"/>
  <c r="Q271" i="1"/>
  <c r="P271" i="1"/>
  <c r="O271" i="1"/>
  <c r="N271" i="1"/>
  <c r="R270" i="1"/>
  <c r="Q270" i="1"/>
  <c r="P270" i="1"/>
  <c r="O270" i="1"/>
  <c r="N270" i="1"/>
  <c r="R268" i="1"/>
  <c r="Q268" i="1"/>
  <c r="P268" i="1"/>
  <c r="O268" i="1"/>
  <c r="N268" i="1"/>
  <c r="R267" i="1"/>
  <c r="Q267" i="1"/>
  <c r="P267" i="1"/>
  <c r="O267" i="1"/>
  <c r="N267" i="1"/>
  <c r="R266" i="1"/>
  <c r="Q266" i="1"/>
  <c r="P266" i="1"/>
  <c r="O266" i="1"/>
  <c r="N266" i="1"/>
  <c r="R265" i="1"/>
  <c r="Q265" i="1"/>
  <c r="P265" i="1"/>
  <c r="O265" i="1"/>
  <c r="N265" i="1"/>
  <c r="N269" i="1"/>
  <c r="O269" i="1"/>
  <c r="P269" i="1"/>
  <c r="Q269" i="1"/>
  <c r="R269" i="1"/>
  <c r="S270" i="1"/>
  <c r="F270" i="1" s="1"/>
  <c r="S269" i="1"/>
  <c r="F269" i="1" s="1"/>
  <c r="M270" i="1"/>
  <c r="L270" i="1"/>
  <c r="K270" i="1"/>
  <c r="K269" i="1"/>
  <c r="L269" i="1"/>
  <c r="M269" i="1"/>
  <c r="S266" i="1"/>
  <c r="S267" i="1"/>
  <c r="S268" i="1"/>
  <c r="S271" i="1"/>
  <c r="S272" i="1"/>
  <c r="S265" i="1"/>
  <c r="F265" i="1" s="1"/>
  <c r="F276" i="1" l="1"/>
  <c r="F274" i="1" s="1"/>
  <c r="P276" i="1"/>
  <c r="P274" i="1" s="1"/>
  <c r="H276" i="1"/>
  <c r="H274" i="1" s="1"/>
  <c r="N276" i="1"/>
  <c r="N274" i="1" s="1"/>
  <c r="M276" i="1"/>
  <c r="M274" i="1" s="1"/>
  <c r="E276" i="1"/>
  <c r="E274" i="1" s="1"/>
  <c r="L276" i="1"/>
  <c r="L274" i="1" s="1"/>
  <c r="R276" i="1"/>
  <c r="R274" i="1" s="1"/>
  <c r="J276" i="1"/>
  <c r="J274" i="1" s="1"/>
  <c r="Q276" i="1"/>
  <c r="Q274" i="1" s="1"/>
  <c r="I276" i="1"/>
  <c r="I274" i="1" s="1"/>
  <c r="O276" i="1"/>
  <c r="O274" i="1" s="1"/>
  <c r="G276" i="1"/>
  <c r="G274" i="1" s="1"/>
  <c r="K276" i="1"/>
  <c r="K274" i="1" s="1"/>
  <c r="M272" i="1" l="1"/>
  <c r="L272" i="1"/>
  <c r="K272" i="1"/>
  <c r="M271" i="1"/>
  <c r="L271" i="1"/>
  <c r="K271" i="1"/>
  <c r="M268" i="1"/>
  <c r="L268" i="1"/>
  <c r="K268" i="1"/>
  <c r="M267" i="1"/>
  <c r="L267" i="1"/>
  <c r="K267" i="1"/>
  <c r="M266" i="1"/>
  <c r="L266" i="1"/>
  <c r="K266" i="1"/>
  <c r="M265" i="1"/>
  <c r="L265" i="1"/>
  <c r="K265" i="1"/>
  <c r="F18" i="1" l="1"/>
  <c r="E262" i="1"/>
  <c r="F272" i="1"/>
  <c r="F271" i="1"/>
  <c r="F268" i="1"/>
  <c r="F267" i="1"/>
  <c r="I262" i="1"/>
  <c r="I260" i="1" s="1"/>
  <c r="H262" i="1"/>
  <c r="H260" i="1" s="1"/>
  <c r="G262" i="1"/>
  <c r="G260" i="1" s="1"/>
  <c r="F266" i="1"/>
  <c r="Q263" i="1"/>
  <c r="Q262" i="1" s="1"/>
  <c r="Q260" i="1" s="1"/>
  <c r="P263" i="1"/>
  <c r="P262" i="1" s="1"/>
  <c r="P260" i="1" s="1"/>
  <c r="O263" i="1"/>
  <c r="O262" i="1" s="1"/>
  <c r="O260" i="1" s="1"/>
  <c r="N263" i="1"/>
  <c r="N262" i="1" s="1"/>
  <c r="N260" i="1" s="1"/>
  <c r="M263" i="1"/>
  <c r="M262" i="1" s="1"/>
  <c r="M260" i="1" s="1"/>
  <c r="L263" i="1"/>
  <c r="L262" i="1" s="1"/>
  <c r="L260" i="1" s="1"/>
  <c r="K263" i="1"/>
  <c r="K262" i="1" s="1"/>
  <c r="K260" i="1" s="1"/>
  <c r="J263" i="1"/>
  <c r="E263" i="1"/>
  <c r="J262" i="1" l="1"/>
  <c r="F273" i="1"/>
  <c r="G263" i="1"/>
  <c r="H263" i="1"/>
  <c r="I263" i="1"/>
  <c r="M374" i="1"/>
  <c r="L374" i="1"/>
  <c r="K374" i="1"/>
  <c r="J374" i="1"/>
  <c r="I374" i="1"/>
  <c r="H374" i="1"/>
  <c r="G374" i="1"/>
  <c r="F374" i="1"/>
  <c r="M371" i="1"/>
  <c r="L371" i="1"/>
  <c r="K371" i="1"/>
  <c r="J371" i="1"/>
  <c r="I371" i="1"/>
  <c r="H371" i="1"/>
  <c r="G371" i="1"/>
  <c r="F371" i="1"/>
  <c r="M370" i="1"/>
  <c r="L370" i="1"/>
  <c r="K370" i="1"/>
  <c r="J370" i="1"/>
  <c r="I370" i="1"/>
  <c r="H370" i="1"/>
  <c r="G370" i="1"/>
  <c r="F370" i="1"/>
  <c r="M369" i="1"/>
  <c r="L369" i="1"/>
  <c r="K369" i="1"/>
  <c r="J369" i="1"/>
  <c r="I369" i="1"/>
  <c r="H369" i="1"/>
  <c r="G369" i="1"/>
  <c r="F369" i="1"/>
  <c r="M368" i="1"/>
  <c r="L368" i="1"/>
  <c r="K368" i="1"/>
  <c r="J368" i="1"/>
  <c r="I368" i="1"/>
  <c r="H368" i="1"/>
  <c r="G368" i="1"/>
  <c r="F368" i="1"/>
  <c r="M367" i="1"/>
  <c r="L367" i="1"/>
  <c r="K367" i="1"/>
  <c r="J367" i="1"/>
  <c r="I367" i="1"/>
  <c r="H367" i="1"/>
  <c r="G367" i="1"/>
  <c r="F367" i="1"/>
  <c r="M366" i="1"/>
  <c r="L366" i="1"/>
  <c r="K366" i="1"/>
  <c r="J366" i="1"/>
  <c r="I366" i="1"/>
  <c r="H366" i="1"/>
  <c r="G366" i="1"/>
  <c r="F366" i="1"/>
  <c r="M365" i="1"/>
  <c r="L365" i="1"/>
  <c r="K365" i="1"/>
  <c r="J365" i="1"/>
  <c r="I365" i="1"/>
  <c r="H365" i="1"/>
  <c r="G365" i="1"/>
  <c r="F365" i="1"/>
  <c r="M364" i="1"/>
  <c r="L364" i="1"/>
  <c r="K364" i="1"/>
  <c r="J364" i="1"/>
  <c r="I364" i="1"/>
  <c r="H364" i="1"/>
  <c r="G364" i="1"/>
  <c r="F364" i="1"/>
  <c r="M363" i="1"/>
  <c r="L363" i="1"/>
  <c r="K363" i="1"/>
  <c r="J363" i="1"/>
  <c r="I363" i="1"/>
  <c r="H363" i="1"/>
  <c r="G363" i="1"/>
  <c r="F363" i="1"/>
  <c r="M362" i="1"/>
  <c r="L362" i="1"/>
  <c r="K362" i="1"/>
  <c r="J362" i="1"/>
  <c r="I362" i="1"/>
  <c r="H362" i="1"/>
  <c r="G362" i="1"/>
  <c r="F362" i="1"/>
  <c r="M361" i="1"/>
  <c r="L361" i="1"/>
  <c r="L359" i="1" s="1"/>
  <c r="K361" i="1"/>
  <c r="J361" i="1"/>
  <c r="J359" i="1" s="1"/>
  <c r="I361" i="1"/>
  <c r="I359" i="1" s="1"/>
  <c r="H361" i="1"/>
  <c r="G361" i="1"/>
  <c r="G359" i="1" s="1"/>
  <c r="F361" i="1"/>
  <c r="Q359" i="1"/>
  <c r="P359" i="1"/>
  <c r="O359" i="1"/>
  <c r="N359" i="1"/>
  <c r="E359" i="1"/>
  <c r="F356" i="1"/>
  <c r="F354" i="1"/>
  <c r="F353" i="1"/>
  <c r="F352" i="1"/>
  <c r="F351" i="1"/>
  <c r="F350" i="1"/>
  <c r="M349" i="1"/>
  <c r="M347" i="1" s="1"/>
  <c r="L349" i="1"/>
  <c r="L347" i="1" s="1"/>
  <c r="K349" i="1"/>
  <c r="K347" i="1" s="1"/>
  <c r="J349" i="1"/>
  <c r="I349" i="1"/>
  <c r="I347" i="1" s="1"/>
  <c r="H349" i="1"/>
  <c r="H347" i="1" s="1"/>
  <c r="G349" i="1"/>
  <c r="G347" i="1" s="1"/>
  <c r="F349" i="1"/>
  <c r="Q347" i="1"/>
  <c r="P347" i="1"/>
  <c r="O347" i="1"/>
  <c r="N347" i="1"/>
  <c r="E347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Q330" i="1"/>
  <c r="P330" i="1"/>
  <c r="O330" i="1"/>
  <c r="N330" i="1"/>
  <c r="M330" i="1"/>
  <c r="L330" i="1"/>
  <c r="K330" i="1"/>
  <c r="J330" i="1"/>
  <c r="I330" i="1"/>
  <c r="H330" i="1"/>
  <c r="G330" i="1"/>
  <c r="E330" i="1"/>
  <c r="E317" i="1" s="1"/>
  <c r="F327" i="1"/>
  <c r="F326" i="1"/>
  <c r="F325" i="1"/>
  <c r="F324" i="1"/>
  <c r="F323" i="1"/>
  <c r="F322" i="1"/>
  <c r="F321" i="1"/>
  <c r="Q319" i="1"/>
  <c r="P319" i="1"/>
  <c r="O319" i="1"/>
  <c r="N319" i="1"/>
  <c r="M319" i="1"/>
  <c r="L319" i="1"/>
  <c r="K319" i="1"/>
  <c r="J319" i="1"/>
  <c r="I319" i="1"/>
  <c r="H319" i="1"/>
  <c r="G319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E304" i="1" s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M258" i="1"/>
  <c r="L258" i="1"/>
  <c r="K258" i="1"/>
  <c r="J258" i="1"/>
  <c r="I258" i="1"/>
  <c r="H258" i="1"/>
  <c r="G258" i="1"/>
  <c r="F258" i="1"/>
  <c r="M257" i="1"/>
  <c r="L257" i="1"/>
  <c r="K257" i="1"/>
  <c r="J257" i="1"/>
  <c r="I257" i="1"/>
  <c r="H257" i="1"/>
  <c r="G257" i="1"/>
  <c r="F257" i="1"/>
  <c r="M256" i="1"/>
  <c r="L256" i="1"/>
  <c r="K256" i="1"/>
  <c r="J256" i="1"/>
  <c r="I256" i="1"/>
  <c r="H256" i="1"/>
  <c r="G256" i="1"/>
  <c r="F256" i="1"/>
  <c r="M255" i="1"/>
  <c r="L255" i="1"/>
  <c r="K255" i="1"/>
  <c r="J255" i="1"/>
  <c r="I255" i="1"/>
  <c r="H255" i="1"/>
  <c r="G255" i="1"/>
  <c r="F255" i="1"/>
  <c r="M254" i="1"/>
  <c r="L254" i="1"/>
  <c r="K254" i="1"/>
  <c r="J254" i="1"/>
  <c r="I254" i="1"/>
  <c r="H254" i="1"/>
  <c r="G254" i="1"/>
  <c r="F254" i="1"/>
  <c r="M253" i="1"/>
  <c r="L253" i="1"/>
  <c r="K253" i="1"/>
  <c r="J253" i="1"/>
  <c r="I253" i="1"/>
  <c r="H253" i="1"/>
  <c r="G253" i="1"/>
  <c r="F253" i="1"/>
  <c r="M252" i="1"/>
  <c r="L252" i="1"/>
  <c r="K252" i="1"/>
  <c r="J252" i="1"/>
  <c r="I252" i="1"/>
  <c r="H252" i="1"/>
  <c r="G252" i="1"/>
  <c r="F252" i="1"/>
  <c r="M251" i="1"/>
  <c r="L251" i="1"/>
  <c r="K251" i="1"/>
  <c r="J251" i="1"/>
  <c r="I251" i="1"/>
  <c r="H251" i="1"/>
  <c r="G251" i="1"/>
  <c r="F251" i="1"/>
  <c r="M250" i="1"/>
  <c r="L250" i="1"/>
  <c r="K250" i="1"/>
  <c r="J250" i="1"/>
  <c r="I250" i="1"/>
  <c r="H250" i="1"/>
  <c r="G250" i="1"/>
  <c r="F250" i="1"/>
  <c r="M249" i="1"/>
  <c r="L249" i="1"/>
  <c r="K249" i="1"/>
  <c r="J249" i="1"/>
  <c r="I249" i="1"/>
  <c r="H249" i="1"/>
  <c r="G249" i="1"/>
  <c r="F249" i="1"/>
  <c r="M248" i="1"/>
  <c r="L248" i="1"/>
  <c r="K248" i="1"/>
  <c r="J248" i="1"/>
  <c r="I248" i="1"/>
  <c r="H248" i="1"/>
  <c r="G248" i="1"/>
  <c r="F248" i="1"/>
  <c r="M247" i="1"/>
  <c r="L247" i="1"/>
  <c r="K247" i="1"/>
  <c r="J247" i="1"/>
  <c r="I247" i="1"/>
  <c r="H247" i="1"/>
  <c r="G247" i="1"/>
  <c r="F247" i="1"/>
  <c r="M246" i="1"/>
  <c r="L246" i="1"/>
  <c r="K246" i="1"/>
  <c r="J246" i="1"/>
  <c r="I246" i="1"/>
  <c r="H246" i="1"/>
  <c r="G246" i="1"/>
  <c r="F246" i="1"/>
  <c r="M245" i="1"/>
  <c r="L245" i="1"/>
  <c r="K245" i="1"/>
  <c r="J245" i="1"/>
  <c r="I245" i="1"/>
  <c r="H245" i="1"/>
  <c r="G245" i="1"/>
  <c r="F245" i="1"/>
  <c r="M243" i="1"/>
  <c r="L243" i="1"/>
  <c r="K243" i="1"/>
  <c r="J243" i="1"/>
  <c r="I243" i="1"/>
  <c r="H243" i="1"/>
  <c r="G243" i="1"/>
  <c r="F243" i="1"/>
  <c r="M242" i="1"/>
  <c r="L242" i="1"/>
  <c r="K242" i="1"/>
  <c r="J242" i="1"/>
  <c r="I242" i="1"/>
  <c r="H242" i="1"/>
  <c r="G242" i="1"/>
  <c r="F242" i="1"/>
  <c r="M241" i="1"/>
  <c r="L241" i="1"/>
  <c r="K241" i="1"/>
  <c r="J241" i="1"/>
  <c r="I241" i="1"/>
  <c r="H241" i="1"/>
  <c r="G241" i="1"/>
  <c r="G239" i="1" s="1"/>
  <c r="F241" i="1"/>
  <c r="Q239" i="1"/>
  <c r="P239" i="1"/>
  <c r="O239" i="1"/>
  <c r="N239" i="1"/>
  <c r="E239" i="1"/>
  <c r="M232" i="1"/>
  <c r="L232" i="1"/>
  <c r="K232" i="1"/>
  <c r="J232" i="1"/>
  <c r="I232" i="1"/>
  <c r="H232" i="1"/>
  <c r="F232" i="1"/>
  <c r="M231" i="1"/>
  <c r="L231" i="1"/>
  <c r="K231" i="1"/>
  <c r="J231" i="1"/>
  <c r="I231" i="1"/>
  <c r="H231" i="1"/>
  <c r="G231" i="1"/>
  <c r="F231" i="1"/>
  <c r="M230" i="1"/>
  <c r="L230" i="1"/>
  <c r="K230" i="1"/>
  <c r="J230" i="1"/>
  <c r="I230" i="1"/>
  <c r="H230" i="1"/>
  <c r="G230" i="1"/>
  <c r="F230" i="1"/>
  <c r="M229" i="1"/>
  <c r="L229" i="1"/>
  <c r="K229" i="1"/>
  <c r="J229" i="1"/>
  <c r="I229" i="1"/>
  <c r="H229" i="1"/>
  <c r="G229" i="1"/>
  <c r="F229" i="1"/>
  <c r="M228" i="1"/>
  <c r="L228" i="1"/>
  <c r="K228" i="1"/>
  <c r="J228" i="1"/>
  <c r="I228" i="1"/>
  <c r="H228" i="1"/>
  <c r="G228" i="1"/>
  <c r="F228" i="1"/>
  <c r="M227" i="1"/>
  <c r="L227" i="1"/>
  <c r="K227" i="1"/>
  <c r="J227" i="1"/>
  <c r="I227" i="1"/>
  <c r="H227" i="1"/>
  <c r="G227" i="1"/>
  <c r="F227" i="1"/>
  <c r="M226" i="1"/>
  <c r="L226" i="1"/>
  <c r="K226" i="1"/>
  <c r="J226" i="1"/>
  <c r="I226" i="1"/>
  <c r="H226" i="1"/>
  <c r="G226" i="1"/>
  <c r="F226" i="1"/>
  <c r="M225" i="1"/>
  <c r="L225" i="1"/>
  <c r="K225" i="1"/>
  <c r="J225" i="1"/>
  <c r="I225" i="1"/>
  <c r="H225" i="1"/>
  <c r="G225" i="1"/>
  <c r="F225" i="1"/>
  <c r="M224" i="1"/>
  <c r="L224" i="1"/>
  <c r="K224" i="1"/>
  <c r="J224" i="1"/>
  <c r="I224" i="1"/>
  <c r="H224" i="1"/>
  <c r="G224" i="1"/>
  <c r="F224" i="1"/>
  <c r="M223" i="1"/>
  <c r="L223" i="1"/>
  <c r="K223" i="1"/>
  <c r="J223" i="1"/>
  <c r="I223" i="1"/>
  <c r="H223" i="1"/>
  <c r="G223" i="1"/>
  <c r="F223" i="1"/>
  <c r="M222" i="1"/>
  <c r="L222" i="1"/>
  <c r="K222" i="1"/>
  <c r="J222" i="1"/>
  <c r="I222" i="1"/>
  <c r="H222" i="1"/>
  <c r="G222" i="1"/>
  <c r="F222" i="1"/>
  <c r="M221" i="1"/>
  <c r="L221" i="1"/>
  <c r="K221" i="1"/>
  <c r="J221" i="1"/>
  <c r="I221" i="1"/>
  <c r="H221" i="1"/>
  <c r="G221" i="1"/>
  <c r="F221" i="1"/>
  <c r="M220" i="1"/>
  <c r="L220" i="1"/>
  <c r="K220" i="1"/>
  <c r="J220" i="1"/>
  <c r="I220" i="1"/>
  <c r="H220" i="1"/>
  <c r="G220" i="1"/>
  <c r="F220" i="1"/>
  <c r="M219" i="1"/>
  <c r="L219" i="1"/>
  <c r="K219" i="1"/>
  <c r="J219" i="1"/>
  <c r="I219" i="1"/>
  <c r="H219" i="1"/>
  <c r="G219" i="1"/>
  <c r="F219" i="1"/>
  <c r="M218" i="1"/>
  <c r="L218" i="1"/>
  <c r="K218" i="1"/>
  <c r="J218" i="1"/>
  <c r="I218" i="1"/>
  <c r="H218" i="1"/>
  <c r="G218" i="1"/>
  <c r="F218" i="1"/>
  <c r="M216" i="1"/>
  <c r="L216" i="1"/>
  <c r="K216" i="1"/>
  <c r="J216" i="1"/>
  <c r="I216" i="1"/>
  <c r="H216" i="1"/>
  <c r="G216" i="1"/>
  <c r="F216" i="1"/>
  <c r="M215" i="1"/>
  <c r="L215" i="1"/>
  <c r="K215" i="1"/>
  <c r="J215" i="1"/>
  <c r="I215" i="1"/>
  <c r="H215" i="1"/>
  <c r="G215" i="1"/>
  <c r="F215" i="1"/>
  <c r="G212" i="1"/>
  <c r="F212" i="1"/>
  <c r="Q210" i="1"/>
  <c r="P210" i="1"/>
  <c r="O210" i="1"/>
  <c r="N210" i="1"/>
  <c r="E210" i="1"/>
  <c r="M207" i="1"/>
  <c r="L207" i="1"/>
  <c r="K207" i="1"/>
  <c r="J207" i="1"/>
  <c r="I207" i="1"/>
  <c r="H207" i="1"/>
  <c r="G207" i="1"/>
  <c r="F207" i="1"/>
  <c r="M205" i="1"/>
  <c r="L205" i="1"/>
  <c r="K205" i="1"/>
  <c r="J205" i="1"/>
  <c r="I205" i="1"/>
  <c r="H205" i="1"/>
  <c r="G205" i="1"/>
  <c r="F205" i="1"/>
  <c r="M204" i="1"/>
  <c r="L204" i="1"/>
  <c r="K204" i="1"/>
  <c r="J204" i="1"/>
  <c r="I204" i="1"/>
  <c r="H204" i="1"/>
  <c r="G204" i="1"/>
  <c r="F204" i="1"/>
  <c r="M203" i="1"/>
  <c r="L203" i="1"/>
  <c r="K203" i="1"/>
  <c r="J203" i="1"/>
  <c r="I203" i="1"/>
  <c r="H203" i="1"/>
  <c r="G203" i="1"/>
  <c r="F203" i="1"/>
  <c r="M202" i="1"/>
  <c r="L202" i="1"/>
  <c r="K202" i="1"/>
  <c r="J202" i="1"/>
  <c r="I202" i="1"/>
  <c r="H202" i="1"/>
  <c r="G202" i="1"/>
  <c r="F202" i="1"/>
  <c r="M201" i="1"/>
  <c r="L201" i="1"/>
  <c r="K201" i="1"/>
  <c r="J201" i="1"/>
  <c r="I201" i="1"/>
  <c r="H201" i="1"/>
  <c r="G201" i="1"/>
  <c r="F201" i="1"/>
  <c r="M200" i="1"/>
  <c r="L200" i="1"/>
  <c r="K200" i="1"/>
  <c r="J200" i="1"/>
  <c r="I200" i="1"/>
  <c r="H200" i="1"/>
  <c r="G200" i="1"/>
  <c r="F200" i="1"/>
  <c r="M199" i="1"/>
  <c r="L199" i="1"/>
  <c r="K199" i="1"/>
  <c r="J199" i="1"/>
  <c r="I199" i="1"/>
  <c r="H199" i="1"/>
  <c r="G199" i="1"/>
  <c r="F199" i="1"/>
  <c r="M197" i="1"/>
  <c r="L197" i="1"/>
  <c r="K197" i="1"/>
  <c r="J197" i="1"/>
  <c r="I197" i="1"/>
  <c r="H197" i="1"/>
  <c r="G197" i="1"/>
  <c r="F197" i="1"/>
  <c r="Q195" i="1"/>
  <c r="P195" i="1"/>
  <c r="O195" i="1"/>
  <c r="N195" i="1"/>
  <c r="E195" i="1"/>
  <c r="M192" i="1"/>
  <c r="L192" i="1"/>
  <c r="K192" i="1"/>
  <c r="J192" i="1"/>
  <c r="I192" i="1"/>
  <c r="H192" i="1"/>
  <c r="G192" i="1"/>
  <c r="F192" i="1"/>
  <c r="M191" i="1"/>
  <c r="M189" i="1" s="1"/>
  <c r="L191" i="1"/>
  <c r="L189" i="1" s="1"/>
  <c r="K191" i="1"/>
  <c r="J191" i="1"/>
  <c r="J189" i="1" s="1"/>
  <c r="I191" i="1"/>
  <c r="H191" i="1"/>
  <c r="H189" i="1" s="1"/>
  <c r="G191" i="1"/>
  <c r="F191" i="1"/>
  <c r="Q189" i="1"/>
  <c r="P189" i="1"/>
  <c r="O189" i="1"/>
  <c r="N189" i="1"/>
  <c r="E189" i="1"/>
  <c r="M186" i="1"/>
  <c r="L186" i="1"/>
  <c r="K186" i="1"/>
  <c r="J186" i="1"/>
  <c r="I186" i="1"/>
  <c r="H186" i="1"/>
  <c r="G186" i="1"/>
  <c r="F186" i="1"/>
  <c r="M184" i="1"/>
  <c r="L184" i="1"/>
  <c r="K184" i="1"/>
  <c r="J184" i="1"/>
  <c r="I184" i="1"/>
  <c r="H184" i="1"/>
  <c r="G184" i="1"/>
  <c r="F184" i="1"/>
  <c r="M183" i="1"/>
  <c r="L183" i="1"/>
  <c r="K183" i="1"/>
  <c r="J183" i="1"/>
  <c r="I183" i="1"/>
  <c r="H183" i="1"/>
  <c r="G183" i="1"/>
  <c r="F183" i="1"/>
  <c r="M182" i="1"/>
  <c r="M180" i="1" s="1"/>
  <c r="L182" i="1"/>
  <c r="K182" i="1"/>
  <c r="K180" i="1" s="1"/>
  <c r="J182" i="1"/>
  <c r="I182" i="1"/>
  <c r="I180" i="1" s="1"/>
  <c r="H182" i="1"/>
  <c r="H180" i="1" s="1"/>
  <c r="G182" i="1"/>
  <c r="F182" i="1"/>
  <c r="Q180" i="1"/>
  <c r="P180" i="1"/>
  <c r="O180" i="1"/>
  <c r="N180" i="1"/>
  <c r="E180" i="1"/>
  <c r="M177" i="1"/>
  <c r="M176" i="1" s="1"/>
  <c r="L177" i="1"/>
  <c r="L176" i="1" s="1"/>
  <c r="K177" i="1"/>
  <c r="K176" i="1" s="1"/>
  <c r="J177" i="1"/>
  <c r="J176" i="1" s="1"/>
  <c r="I177" i="1"/>
  <c r="I176" i="1" s="1"/>
  <c r="H177" i="1"/>
  <c r="H176" i="1" s="1"/>
  <c r="G177" i="1"/>
  <c r="G176" i="1" s="1"/>
  <c r="F177" i="1"/>
  <c r="F178" i="1" s="1"/>
  <c r="R178" i="1" s="1"/>
  <c r="R176" i="1" s="1"/>
  <c r="Q176" i="1"/>
  <c r="P176" i="1"/>
  <c r="O176" i="1"/>
  <c r="N176" i="1"/>
  <c r="E176" i="1"/>
  <c r="M173" i="1"/>
  <c r="M172" i="1" s="1"/>
  <c r="L173" i="1"/>
  <c r="L172" i="1" s="1"/>
  <c r="K173" i="1"/>
  <c r="K172" i="1" s="1"/>
  <c r="J173" i="1"/>
  <c r="J172" i="1" s="1"/>
  <c r="I173" i="1"/>
  <c r="I172" i="1" s="1"/>
  <c r="H173" i="1"/>
  <c r="H172" i="1" s="1"/>
  <c r="G173" i="1"/>
  <c r="G172" i="1" s="1"/>
  <c r="F173" i="1"/>
  <c r="F174" i="1" s="1"/>
  <c r="R174" i="1" s="1"/>
  <c r="R172" i="1" s="1"/>
  <c r="Q172" i="1"/>
  <c r="P172" i="1"/>
  <c r="O172" i="1"/>
  <c r="N172" i="1"/>
  <c r="E172" i="1"/>
  <c r="M169" i="1"/>
  <c r="M168" i="1" s="1"/>
  <c r="L169" i="1"/>
  <c r="L168" i="1" s="1"/>
  <c r="K169" i="1"/>
  <c r="K168" i="1" s="1"/>
  <c r="J169" i="1"/>
  <c r="J168" i="1" s="1"/>
  <c r="I169" i="1"/>
  <c r="I168" i="1" s="1"/>
  <c r="H169" i="1"/>
  <c r="H168" i="1" s="1"/>
  <c r="G169" i="1"/>
  <c r="G168" i="1" s="1"/>
  <c r="F169" i="1"/>
  <c r="F170" i="1" s="1"/>
  <c r="R170" i="1" s="1"/>
  <c r="R168" i="1" s="1"/>
  <c r="Q168" i="1"/>
  <c r="P168" i="1"/>
  <c r="O168" i="1"/>
  <c r="N168" i="1"/>
  <c r="E168" i="1"/>
  <c r="S165" i="1"/>
  <c r="F165" i="1" s="1"/>
  <c r="I165" i="1"/>
  <c r="H165" i="1"/>
  <c r="G165" i="1"/>
  <c r="S164" i="1"/>
  <c r="F164" i="1" s="1"/>
  <c r="I164" i="1"/>
  <c r="H164" i="1"/>
  <c r="G164" i="1"/>
  <c r="S161" i="1"/>
  <c r="F161" i="1" s="1"/>
  <c r="I161" i="1"/>
  <c r="H161" i="1"/>
  <c r="G161" i="1"/>
  <c r="S160" i="1"/>
  <c r="F160" i="1" s="1"/>
  <c r="I160" i="1"/>
  <c r="H160" i="1"/>
  <c r="G160" i="1"/>
  <c r="S159" i="1"/>
  <c r="F159" i="1" s="1"/>
  <c r="I159" i="1"/>
  <c r="H159" i="1"/>
  <c r="G159" i="1"/>
  <c r="S158" i="1"/>
  <c r="F158" i="1" s="1"/>
  <c r="I158" i="1"/>
  <c r="H158" i="1"/>
  <c r="G158" i="1"/>
  <c r="Q156" i="1"/>
  <c r="P156" i="1"/>
  <c r="O156" i="1"/>
  <c r="N156" i="1"/>
  <c r="M156" i="1"/>
  <c r="L156" i="1"/>
  <c r="K156" i="1"/>
  <c r="J156" i="1"/>
  <c r="E156" i="1"/>
  <c r="M153" i="1"/>
  <c r="L153" i="1"/>
  <c r="K153" i="1"/>
  <c r="J153" i="1"/>
  <c r="I153" i="1"/>
  <c r="H153" i="1"/>
  <c r="G153" i="1"/>
  <c r="F153" i="1"/>
  <c r="M151" i="1"/>
  <c r="L151" i="1"/>
  <c r="K151" i="1"/>
  <c r="J151" i="1"/>
  <c r="I151" i="1"/>
  <c r="H151" i="1"/>
  <c r="G151" i="1"/>
  <c r="F151" i="1"/>
  <c r="M150" i="1"/>
  <c r="L150" i="1"/>
  <c r="K150" i="1"/>
  <c r="J150" i="1"/>
  <c r="I150" i="1"/>
  <c r="H150" i="1"/>
  <c r="G150" i="1"/>
  <c r="F150" i="1"/>
  <c r="M149" i="1"/>
  <c r="L149" i="1"/>
  <c r="K149" i="1"/>
  <c r="J149" i="1"/>
  <c r="I149" i="1"/>
  <c r="H149" i="1"/>
  <c r="G149" i="1"/>
  <c r="F149" i="1"/>
  <c r="M148" i="1"/>
  <c r="L148" i="1"/>
  <c r="K148" i="1"/>
  <c r="J148" i="1"/>
  <c r="I148" i="1"/>
  <c r="H148" i="1"/>
  <c r="G148" i="1"/>
  <c r="F148" i="1"/>
  <c r="M147" i="1"/>
  <c r="L147" i="1"/>
  <c r="K147" i="1"/>
  <c r="J147" i="1"/>
  <c r="I147" i="1"/>
  <c r="H147" i="1"/>
  <c r="G147" i="1"/>
  <c r="F147" i="1"/>
  <c r="M146" i="1"/>
  <c r="L146" i="1"/>
  <c r="K146" i="1"/>
  <c r="J146" i="1"/>
  <c r="I146" i="1"/>
  <c r="H146" i="1"/>
  <c r="G146" i="1"/>
  <c r="F146" i="1"/>
  <c r="M145" i="1"/>
  <c r="L145" i="1"/>
  <c r="K145" i="1"/>
  <c r="J145" i="1"/>
  <c r="I145" i="1"/>
  <c r="H145" i="1"/>
  <c r="G145" i="1"/>
  <c r="F145" i="1"/>
  <c r="M144" i="1"/>
  <c r="L144" i="1"/>
  <c r="K144" i="1"/>
  <c r="J144" i="1"/>
  <c r="I144" i="1"/>
  <c r="H144" i="1"/>
  <c r="G144" i="1"/>
  <c r="F144" i="1"/>
  <c r="M143" i="1"/>
  <c r="L143" i="1"/>
  <c r="K143" i="1"/>
  <c r="J143" i="1"/>
  <c r="I143" i="1"/>
  <c r="H143" i="1"/>
  <c r="G143" i="1"/>
  <c r="F143" i="1"/>
  <c r="M142" i="1"/>
  <c r="L142" i="1"/>
  <c r="K142" i="1"/>
  <c r="J142" i="1"/>
  <c r="I142" i="1"/>
  <c r="H142" i="1"/>
  <c r="G142" i="1"/>
  <c r="F142" i="1"/>
  <c r="M141" i="1"/>
  <c r="L141" i="1"/>
  <c r="K141" i="1"/>
  <c r="J141" i="1"/>
  <c r="I141" i="1"/>
  <c r="H141" i="1"/>
  <c r="G141" i="1"/>
  <c r="F141" i="1"/>
  <c r="M138" i="1"/>
  <c r="L138" i="1"/>
  <c r="K138" i="1"/>
  <c r="J138" i="1"/>
  <c r="I138" i="1"/>
  <c r="H138" i="1"/>
  <c r="G138" i="1"/>
  <c r="F138" i="1"/>
  <c r="M137" i="1"/>
  <c r="L137" i="1"/>
  <c r="K137" i="1"/>
  <c r="J137" i="1"/>
  <c r="I137" i="1"/>
  <c r="H137" i="1"/>
  <c r="G137" i="1"/>
  <c r="F137" i="1"/>
  <c r="M136" i="1"/>
  <c r="L136" i="1"/>
  <c r="K136" i="1"/>
  <c r="J136" i="1"/>
  <c r="I136" i="1"/>
  <c r="H136" i="1"/>
  <c r="G136" i="1"/>
  <c r="F136" i="1"/>
  <c r="M135" i="1"/>
  <c r="L135" i="1"/>
  <c r="K135" i="1"/>
  <c r="J135" i="1"/>
  <c r="I135" i="1"/>
  <c r="H135" i="1"/>
  <c r="G135" i="1"/>
  <c r="F135" i="1"/>
  <c r="Q133" i="1"/>
  <c r="P133" i="1"/>
  <c r="O133" i="1"/>
  <c r="N133" i="1"/>
  <c r="E133" i="1"/>
  <c r="M129" i="1"/>
  <c r="L129" i="1"/>
  <c r="K129" i="1"/>
  <c r="J129" i="1"/>
  <c r="I129" i="1"/>
  <c r="H129" i="1"/>
  <c r="G129" i="1"/>
  <c r="F129" i="1"/>
  <c r="M128" i="1"/>
  <c r="M126" i="1" s="1"/>
  <c r="L128" i="1"/>
  <c r="K128" i="1"/>
  <c r="K126" i="1" s="1"/>
  <c r="J128" i="1"/>
  <c r="I128" i="1"/>
  <c r="I126" i="1" s="1"/>
  <c r="H128" i="1"/>
  <c r="G128" i="1"/>
  <c r="F128" i="1"/>
  <c r="Q126" i="1"/>
  <c r="P126" i="1"/>
  <c r="O126" i="1"/>
  <c r="N126" i="1"/>
  <c r="E126" i="1"/>
  <c r="M123" i="1"/>
  <c r="L123" i="1"/>
  <c r="K123" i="1"/>
  <c r="J123" i="1"/>
  <c r="I123" i="1"/>
  <c r="H123" i="1"/>
  <c r="G123" i="1"/>
  <c r="F123" i="1"/>
  <c r="M122" i="1"/>
  <c r="L122" i="1"/>
  <c r="K122" i="1"/>
  <c r="J122" i="1"/>
  <c r="I122" i="1"/>
  <c r="H122" i="1"/>
  <c r="G122" i="1"/>
  <c r="F122" i="1"/>
  <c r="M121" i="1"/>
  <c r="L121" i="1"/>
  <c r="L119" i="1" s="1"/>
  <c r="K121" i="1"/>
  <c r="J121" i="1"/>
  <c r="J119" i="1" s="1"/>
  <c r="I121" i="1"/>
  <c r="I119" i="1" s="1"/>
  <c r="H121" i="1"/>
  <c r="H119" i="1" s="1"/>
  <c r="G121" i="1"/>
  <c r="F121" i="1"/>
  <c r="Q119" i="1"/>
  <c r="P119" i="1"/>
  <c r="O119" i="1"/>
  <c r="N119" i="1"/>
  <c r="E119" i="1"/>
  <c r="M117" i="1"/>
  <c r="L117" i="1"/>
  <c r="K117" i="1"/>
  <c r="J117" i="1"/>
  <c r="I117" i="1"/>
  <c r="H117" i="1"/>
  <c r="G117" i="1"/>
  <c r="F117" i="1"/>
  <c r="M115" i="1"/>
  <c r="M113" i="1" s="1"/>
  <c r="L115" i="1"/>
  <c r="K115" i="1"/>
  <c r="K113" i="1" s="1"/>
  <c r="J115" i="1"/>
  <c r="I115" i="1"/>
  <c r="I113" i="1" s="1"/>
  <c r="H115" i="1"/>
  <c r="H113" i="1" s="1"/>
  <c r="G115" i="1"/>
  <c r="G113" i="1" s="1"/>
  <c r="F115" i="1"/>
  <c r="Q113" i="1"/>
  <c r="P113" i="1"/>
  <c r="O113" i="1"/>
  <c r="N113" i="1"/>
  <c r="E113" i="1"/>
  <c r="M111" i="1"/>
  <c r="L111" i="1"/>
  <c r="K111" i="1"/>
  <c r="J111" i="1"/>
  <c r="I111" i="1"/>
  <c r="H111" i="1"/>
  <c r="G111" i="1"/>
  <c r="F111" i="1"/>
  <c r="M110" i="1"/>
  <c r="L110" i="1"/>
  <c r="K110" i="1"/>
  <c r="J110" i="1"/>
  <c r="I110" i="1"/>
  <c r="H110" i="1"/>
  <c r="G110" i="1"/>
  <c r="F110" i="1"/>
  <c r="M109" i="1"/>
  <c r="L109" i="1"/>
  <c r="K109" i="1"/>
  <c r="J109" i="1"/>
  <c r="I109" i="1"/>
  <c r="H109" i="1"/>
  <c r="G109" i="1"/>
  <c r="F109" i="1"/>
  <c r="M108" i="1"/>
  <c r="L108" i="1"/>
  <c r="K108" i="1"/>
  <c r="J108" i="1"/>
  <c r="I108" i="1"/>
  <c r="H108" i="1"/>
  <c r="G108" i="1"/>
  <c r="F108" i="1"/>
  <c r="F112" i="1" s="1"/>
  <c r="Q106" i="1"/>
  <c r="P106" i="1"/>
  <c r="O106" i="1"/>
  <c r="N106" i="1"/>
  <c r="E106" i="1"/>
  <c r="M104" i="1"/>
  <c r="L104" i="1"/>
  <c r="K104" i="1"/>
  <c r="J104" i="1"/>
  <c r="I104" i="1"/>
  <c r="H104" i="1"/>
  <c r="G104" i="1"/>
  <c r="F104" i="1"/>
  <c r="M101" i="1"/>
  <c r="L101" i="1"/>
  <c r="K101" i="1"/>
  <c r="J101" i="1"/>
  <c r="I101" i="1"/>
  <c r="H101" i="1"/>
  <c r="G101" i="1"/>
  <c r="F101" i="1"/>
  <c r="M100" i="1"/>
  <c r="L100" i="1"/>
  <c r="K100" i="1"/>
  <c r="J100" i="1"/>
  <c r="J98" i="1" s="1"/>
  <c r="I100" i="1"/>
  <c r="H100" i="1"/>
  <c r="G100" i="1"/>
  <c r="G98" i="1" s="1"/>
  <c r="F100" i="1"/>
  <c r="F105" i="1" s="1"/>
  <c r="Q98" i="1"/>
  <c r="P98" i="1"/>
  <c r="O98" i="1"/>
  <c r="N98" i="1"/>
  <c r="E98" i="1"/>
  <c r="M96" i="1"/>
  <c r="L96" i="1"/>
  <c r="K96" i="1"/>
  <c r="J96" i="1"/>
  <c r="I96" i="1"/>
  <c r="H96" i="1"/>
  <c r="G96" i="1"/>
  <c r="F96" i="1"/>
  <c r="M94" i="1"/>
  <c r="L94" i="1"/>
  <c r="K94" i="1"/>
  <c r="J94" i="1"/>
  <c r="I94" i="1"/>
  <c r="H94" i="1"/>
  <c r="G94" i="1"/>
  <c r="F94" i="1"/>
  <c r="M93" i="1"/>
  <c r="L93" i="1"/>
  <c r="K93" i="1"/>
  <c r="J93" i="1"/>
  <c r="I93" i="1"/>
  <c r="H93" i="1"/>
  <c r="G93" i="1"/>
  <c r="F93" i="1"/>
  <c r="M92" i="1"/>
  <c r="L92" i="1"/>
  <c r="K92" i="1"/>
  <c r="J92" i="1"/>
  <c r="I92" i="1"/>
  <c r="H92" i="1"/>
  <c r="G92" i="1"/>
  <c r="F92" i="1"/>
  <c r="M91" i="1"/>
  <c r="L91" i="1"/>
  <c r="K91" i="1"/>
  <c r="J91" i="1"/>
  <c r="I91" i="1"/>
  <c r="H91" i="1"/>
  <c r="G91" i="1"/>
  <c r="F91" i="1"/>
  <c r="M90" i="1"/>
  <c r="L90" i="1"/>
  <c r="K90" i="1"/>
  <c r="J90" i="1"/>
  <c r="I90" i="1"/>
  <c r="H90" i="1"/>
  <c r="G90" i="1"/>
  <c r="F90" i="1"/>
  <c r="Q88" i="1"/>
  <c r="P88" i="1"/>
  <c r="O88" i="1"/>
  <c r="N88" i="1"/>
  <c r="E88" i="1"/>
  <c r="E86" i="1"/>
  <c r="F85" i="1"/>
  <c r="M83" i="1"/>
  <c r="L83" i="1"/>
  <c r="K83" i="1"/>
  <c r="J83" i="1"/>
  <c r="I83" i="1"/>
  <c r="H83" i="1"/>
  <c r="G83" i="1"/>
  <c r="F83" i="1"/>
  <c r="M81" i="1"/>
  <c r="L81" i="1"/>
  <c r="K81" i="1"/>
  <c r="J81" i="1"/>
  <c r="I81" i="1"/>
  <c r="G81" i="1"/>
  <c r="Q79" i="1"/>
  <c r="P79" i="1"/>
  <c r="O79" i="1"/>
  <c r="N79" i="1"/>
  <c r="M77" i="1"/>
  <c r="L77" i="1"/>
  <c r="K77" i="1"/>
  <c r="J77" i="1"/>
  <c r="I77" i="1"/>
  <c r="H77" i="1"/>
  <c r="G77" i="1"/>
  <c r="F77" i="1"/>
  <c r="M75" i="1"/>
  <c r="L75" i="1"/>
  <c r="K75" i="1"/>
  <c r="J75" i="1"/>
  <c r="I75" i="1"/>
  <c r="H75" i="1"/>
  <c r="G75" i="1"/>
  <c r="F75" i="1"/>
  <c r="M74" i="1"/>
  <c r="L74" i="1"/>
  <c r="K74" i="1"/>
  <c r="J74" i="1"/>
  <c r="I74" i="1"/>
  <c r="H74" i="1"/>
  <c r="G74" i="1"/>
  <c r="F74" i="1"/>
  <c r="M73" i="1"/>
  <c r="L73" i="1"/>
  <c r="K73" i="1"/>
  <c r="J73" i="1"/>
  <c r="I73" i="1"/>
  <c r="H73" i="1"/>
  <c r="G73" i="1"/>
  <c r="F73" i="1"/>
  <c r="M72" i="1"/>
  <c r="L72" i="1"/>
  <c r="K72" i="1"/>
  <c r="J72" i="1"/>
  <c r="I72" i="1"/>
  <c r="H72" i="1"/>
  <c r="G72" i="1"/>
  <c r="F72" i="1"/>
  <c r="M71" i="1"/>
  <c r="L71" i="1"/>
  <c r="K71" i="1"/>
  <c r="J71" i="1"/>
  <c r="I71" i="1"/>
  <c r="H71" i="1"/>
  <c r="G71" i="1"/>
  <c r="F71" i="1"/>
  <c r="M70" i="1"/>
  <c r="L70" i="1"/>
  <c r="K70" i="1"/>
  <c r="J70" i="1"/>
  <c r="I70" i="1"/>
  <c r="H70" i="1"/>
  <c r="G70" i="1"/>
  <c r="F70" i="1"/>
  <c r="Q68" i="1"/>
  <c r="P68" i="1"/>
  <c r="O68" i="1"/>
  <c r="N68" i="1"/>
  <c r="E68" i="1"/>
  <c r="M66" i="1"/>
  <c r="L66" i="1"/>
  <c r="K66" i="1"/>
  <c r="J66" i="1"/>
  <c r="I66" i="1"/>
  <c r="H66" i="1"/>
  <c r="G66" i="1"/>
  <c r="F66" i="1"/>
  <c r="M65" i="1"/>
  <c r="L65" i="1"/>
  <c r="K65" i="1"/>
  <c r="J65" i="1"/>
  <c r="I65" i="1"/>
  <c r="H65" i="1"/>
  <c r="G65" i="1"/>
  <c r="F65" i="1"/>
  <c r="M64" i="1"/>
  <c r="L64" i="1"/>
  <c r="K64" i="1"/>
  <c r="J64" i="1"/>
  <c r="I64" i="1"/>
  <c r="H64" i="1"/>
  <c r="G64" i="1"/>
  <c r="F64" i="1"/>
  <c r="M63" i="1"/>
  <c r="L63" i="1"/>
  <c r="K63" i="1"/>
  <c r="J63" i="1"/>
  <c r="I63" i="1"/>
  <c r="H63" i="1"/>
  <c r="G63" i="1"/>
  <c r="F63" i="1"/>
  <c r="M61" i="1"/>
  <c r="L61" i="1"/>
  <c r="K61" i="1"/>
  <c r="J61" i="1"/>
  <c r="I61" i="1"/>
  <c r="H61" i="1"/>
  <c r="G61" i="1"/>
  <c r="F61" i="1"/>
  <c r="M60" i="1"/>
  <c r="L60" i="1"/>
  <c r="K60" i="1"/>
  <c r="J60" i="1"/>
  <c r="I60" i="1"/>
  <c r="H60" i="1"/>
  <c r="G60" i="1"/>
  <c r="F60" i="1"/>
  <c r="M59" i="1"/>
  <c r="L59" i="1"/>
  <c r="K59" i="1"/>
  <c r="J59" i="1"/>
  <c r="I59" i="1"/>
  <c r="H59" i="1"/>
  <c r="G59" i="1"/>
  <c r="F59" i="1"/>
  <c r="M58" i="1"/>
  <c r="L58" i="1"/>
  <c r="K58" i="1"/>
  <c r="J58" i="1"/>
  <c r="I58" i="1"/>
  <c r="H58" i="1"/>
  <c r="G58" i="1"/>
  <c r="F58" i="1"/>
  <c r="M57" i="1"/>
  <c r="L57" i="1"/>
  <c r="K57" i="1"/>
  <c r="J57" i="1"/>
  <c r="I57" i="1"/>
  <c r="H57" i="1"/>
  <c r="G57" i="1"/>
  <c r="F57" i="1"/>
  <c r="M56" i="1"/>
  <c r="L56" i="1"/>
  <c r="K56" i="1"/>
  <c r="J56" i="1"/>
  <c r="I56" i="1"/>
  <c r="H56" i="1"/>
  <c r="G56" i="1"/>
  <c r="F56" i="1"/>
  <c r="M55" i="1"/>
  <c r="L55" i="1"/>
  <c r="K55" i="1"/>
  <c r="J55" i="1"/>
  <c r="I55" i="1"/>
  <c r="H55" i="1"/>
  <c r="G55" i="1"/>
  <c r="F55" i="1"/>
  <c r="M54" i="1"/>
  <c r="L54" i="1"/>
  <c r="K54" i="1"/>
  <c r="J54" i="1"/>
  <c r="I54" i="1"/>
  <c r="H54" i="1"/>
  <c r="G54" i="1"/>
  <c r="F54" i="1"/>
  <c r="M53" i="1"/>
  <c r="L53" i="1"/>
  <c r="K53" i="1"/>
  <c r="J53" i="1"/>
  <c r="I53" i="1"/>
  <c r="H53" i="1"/>
  <c r="G53" i="1"/>
  <c r="F53" i="1"/>
  <c r="Q51" i="1"/>
  <c r="P51" i="1"/>
  <c r="O51" i="1"/>
  <c r="N51" i="1"/>
  <c r="E51" i="1"/>
  <c r="M47" i="1"/>
  <c r="L47" i="1"/>
  <c r="K47" i="1"/>
  <c r="J47" i="1"/>
  <c r="I47" i="1"/>
  <c r="H47" i="1"/>
  <c r="G47" i="1"/>
  <c r="F47" i="1"/>
  <c r="M46" i="1"/>
  <c r="L46" i="1"/>
  <c r="K46" i="1"/>
  <c r="J46" i="1"/>
  <c r="I46" i="1"/>
  <c r="I44" i="1" s="1"/>
  <c r="H46" i="1"/>
  <c r="G46" i="1"/>
  <c r="F46" i="1"/>
  <c r="Q44" i="1"/>
  <c r="P44" i="1"/>
  <c r="O44" i="1"/>
  <c r="N44" i="1"/>
  <c r="E44" i="1"/>
  <c r="M41" i="1"/>
  <c r="L41" i="1"/>
  <c r="K41" i="1"/>
  <c r="J41" i="1"/>
  <c r="I41" i="1"/>
  <c r="H41" i="1"/>
  <c r="G41" i="1"/>
  <c r="F41" i="1"/>
  <c r="M40" i="1"/>
  <c r="M38" i="1" s="1"/>
  <c r="L40" i="1"/>
  <c r="L38" i="1" s="1"/>
  <c r="K40" i="1"/>
  <c r="J40" i="1"/>
  <c r="I40" i="1"/>
  <c r="H40" i="1"/>
  <c r="H38" i="1" s="1"/>
  <c r="G40" i="1"/>
  <c r="G38" i="1" s="1"/>
  <c r="F40" i="1"/>
  <c r="F43" i="1" s="1"/>
  <c r="E38" i="1"/>
  <c r="M34" i="1"/>
  <c r="L34" i="1"/>
  <c r="K34" i="1"/>
  <c r="J34" i="1"/>
  <c r="I34" i="1"/>
  <c r="H34" i="1"/>
  <c r="G34" i="1"/>
  <c r="F34" i="1"/>
  <c r="M33" i="1"/>
  <c r="L33" i="1"/>
  <c r="K33" i="1"/>
  <c r="J33" i="1"/>
  <c r="I33" i="1"/>
  <c r="H33" i="1"/>
  <c r="G33" i="1"/>
  <c r="F33" i="1"/>
  <c r="M32" i="1"/>
  <c r="L32" i="1"/>
  <c r="K32" i="1"/>
  <c r="J32" i="1"/>
  <c r="I32" i="1"/>
  <c r="H32" i="1"/>
  <c r="G32" i="1"/>
  <c r="F32" i="1"/>
  <c r="M31" i="1"/>
  <c r="L31" i="1"/>
  <c r="K31" i="1"/>
  <c r="J31" i="1"/>
  <c r="I31" i="1"/>
  <c r="H31" i="1"/>
  <c r="G31" i="1"/>
  <c r="F31" i="1"/>
  <c r="M30" i="1"/>
  <c r="L30" i="1"/>
  <c r="K30" i="1"/>
  <c r="J30" i="1"/>
  <c r="I30" i="1"/>
  <c r="H30" i="1"/>
  <c r="G30" i="1"/>
  <c r="F30" i="1"/>
  <c r="M29" i="1"/>
  <c r="L29" i="1"/>
  <c r="K29" i="1"/>
  <c r="J29" i="1"/>
  <c r="I29" i="1"/>
  <c r="H29" i="1"/>
  <c r="G29" i="1"/>
  <c r="F29" i="1"/>
  <c r="M28" i="1"/>
  <c r="L28" i="1"/>
  <c r="K28" i="1"/>
  <c r="J28" i="1"/>
  <c r="I28" i="1"/>
  <c r="H28" i="1"/>
  <c r="G28" i="1"/>
  <c r="F28" i="1"/>
  <c r="M27" i="1"/>
  <c r="L27" i="1"/>
  <c r="K27" i="1"/>
  <c r="J27" i="1"/>
  <c r="I27" i="1"/>
  <c r="H27" i="1"/>
  <c r="G27" i="1"/>
  <c r="F27" i="1"/>
  <c r="M24" i="1"/>
  <c r="L24" i="1"/>
  <c r="K24" i="1"/>
  <c r="J24" i="1"/>
  <c r="I24" i="1"/>
  <c r="H24" i="1"/>
  <c r="G24" i="1"/>
  <c r="F24" i="1"/>
  <c r="F35" i="1" s="1"/>
  <c r="Q22" i="1"/>
  <c r="P22" i="1"/>
  <c r="O22" i="1"/>
  <c r="N22" i="1"/>
  <c r="E22" i="1"/>
  <c r="I38" i="1" l="1"/>
  <c r="M44" i="1"/>
  <c r="J113" i="1"/>
  <c r="G106" i="1"/>
  <c r="J239" i="1"/>
  <c r="M210" i="1"/>
  <c r="K38" i="1"/>
  <c r="K37" i="1" s="1"/>
  <c r="G180" i="1"/>
  <c r="L239" i="1"/>
  <c r="K44" i="1"/>
  <c r="J126" i="1"/>
  <c r="M68" i="1"/>
  <c r="G119" i="1"/>
  <c r="H239" i="1"/>
  <c r="M195" i="1"/>
  <c r="J180" i="1"/>
  <c r="H44" i="1"/>
  <c r="H37" i="1" s="1"/>
  <c r="J38" i="1"/>
  <c r="K195" i="1"/>
  <c r="G126" i="1"/>
  <c r="L106" i="1"/>
  <c r="F97" i="1"/>
  <c r="F88" i="1" s="1"/>
  <c r="M22" i="1"/>
  <c r="K119" i="1"/>
  <c r="M106" i="1"/>
  <c r="G133" i="1"/>
  <c r="J195" i="1"/>
  <c r="L195" i="1"/>
  <c r="L44" i="1"/>
  <c r="L37" i="1" s="1"/>
  <c r="I239" i="1"/>
  <c r="M239" i="1"/>
  <c r="J210" i="1"/>
  <c r="K98" i="1"/>
  <c r="F78" i="1"/>
  <c r="F68" i="1" s="1"/>
  <c r="J44" i="1"/>
  <c r="M359" i="1"/>
  <c r="M345" i="1" s="1"/>
  <c r="I106" i="1"/>
  <c r="M133" i="1"/>
  <c r="M132" i="1" s="1"/>
  <c r="F22" i="1"/>
  <c r="J106" i="1"/>
  <c r="G68" i="1"/>
  <c r="L126" i="1"/>
  <c r="G44" i="1"/>
  <c r="F263" i="1"/>
  <c r="R273" i="1"/>
  <c r="R263" i="1" s="1"/>
  <c r="J260" i="1"/>
  <c r="H98" i="1"/>
  <c r="M88" i="1"/>
  <c r="L180" i="1"/>
  <c r="G189" i="1"/>
  <c r="I68" i="1"/>
  <c r="J88" i="1"/>
  <c r="I210" i="1"/>
  <c r="K22" i="1"/>
  <c r="G210" i="1"/>
  <c r="K51" i="1"/>
  <c r="L88" i="1"/>
  <c r="K68" i="1"/>
  <c r="K133" i="1"/>
  <c r="H88" i="1"/>
  <c r="H51" i="1"/>
  <c r="F67" i="1"/>
  <c r="F51" i="1" s="1"/>
  <c r="J133" i="1"/>
  <c r="J132" i="1" s="1"/>
  <c r="I133" i="1"/>
  <c r="N345" i="1"/>
  <c r="I22" i="1"/>
  <c r="K189" i="1"/>
  <c r="L98" i="1"/>
  <c r="K88" i="1"/>
  <c r="L133" i="1"/>
  <c r="J51" i="1"/>
  <c r="L113" i="1"/>
  <c r="G88" i="1"/>
  <c r="G51" i="1"/>
  <c r="G195" i="1"/>
  <c r="H195" i="1"/>
  <c r="L51" i="1"/>
  <c r="H133" i="1"/>
  <c r="P37" i="1"/>
  <c r="H359" i="1"/>
  <c r="H345" i="1" s="1"/>
  <c r="M98" i="1"/>
  <c r="I51" i="1"/>
  <c r="H106" i="1"/>
  <c r="G79" i="1"/>
  <c r="E79" i="1"/>
  <c r="E50" i="1" s="1"/>
  <c r="J79" i="1"/>
  <c r="F187" i="1"/>
  <c r="R187" i="1" s="1"/>
  <c r="R180" i="1" s="1"/>
  <c r="G22" i="1"/>
  <c r="E132" i="1"/>
  <c r="H126" i="1"/>
  <c r="L317" i="1"/>
  <c r="H79" i="1"/>
  <c r="F193" i="1"/>
  <c r="R193" i="1" s="1"/>
  <c r="R189" i="1" s="1"/>
  <c r="L68" i="1"/>
  <c r="M119" i="1"/>
  <c r="G317" i="1"/>
  <c r="G345" i="1"/>
  <c r="L22" i="1"/>
  <c r="N37" i="1"/>
  <c r="O345" i="1"/>
  <c r="I37" i="1"/>
  <c r="M51" i="1"/>
  <c r="J347" i="1"/>
  <c r="J345" i="1" s="1"/>
  <c r="O317" i="1"/>
  <c r="H317" i="1"/>
  <c r="P317" i="1"/>
  <c r="F328" i="1"/>
  <c r="R328" i="1" s="1"/>
  <c r="R319" i="1" s="1"/>
  <c r="M317" i="1"/>
  <c r="Q345" i="1"/>
  <c r="I189" i="1"/>
  <c r="I98" i="1"/>
  <c r="L304" i="1"/>
  <c r="K359" i="1"/>
  <c r="K345" i="1" s="1"/>
  <c r="H22" i="1"/>
  <c r="L210" i="1"/>
  <c r="F357" i="1"/>
  <c r="R357" i="1" s="1"/>
  <c r="R347" i="1" s="1"/>
  <c r="F375" i="1"/>
  <c r="R375" i="1" s="1"/>
  <c r="R359" i="1" s="1"/>
  <c r="Q37" i="1"/>
  <c r="E345" i="1"/>
  <c r="K210" i="1"/>
  <c r="I156" i="1"/>
  <c r="G304" i="1"/>
  <c r="O304" i="1"/>
  <c r="O50" i="1"/>
  <c r="N317" i="1"/>
  <c r="F154" i="1"/>
  <c r="R154" i="1" s="1"/>
  <c r="R133" i="1" s="1"/>
  <c r="O37" i="1"/>
  <c r="H68" i="1"/>
  <c r="K106" i="1"/>
  <c r="J68" i="1"/>
  <c r="N132" i="1"/>
  <c r="F166" i="1"/>
  <c r="R166" i="1" s="1"/>
  <c r="R156" i="1" s="1"/>
  <c r="K239" i="1"/>
  <c r="E37" i="1"/>
  <c r="I88" i="1"/>
  <c r="O132" i="1"/>
  <c r="I317" i="1"/>
  <c r="Q317" i="1"/>
  <c r="I345" i="1"/>
  <c r="N50" i="1"/>
  <c r="F86" i="1"/>
  <c r="F87" i="1" s="1"/>
  <c r="R87" i="1" s="1"/>
  <c r="R79" i="1" s="1"/>
  <c r="J317" i="1"/>
  <c r="Q132" i="1"/>
  <c r="J22" i="1"/>
  <c r="P50" i="1"/>
  <c r="Q50" i="1"/>
  <c r="H210" i="1"/>
  <c r="K304" i="1"/>
  <c r="P345" i="1"/>
  <c r="M37" i="1"/>
  <c r="H156" i="1"/>
  <c r="P132" i="1"/>
  <c r="I195" i="1"/>
  <c r="K317" i="1"/>
  <c r="G156" i="1"/>
  <c r="F208" i="1"/>
  <c r="F195" i="1" s="1"/>
  <c r="F237" i="1"/>
  <c r="R237" i="1" s="1"/>
  <c r="R210" i="1" s="1"/>
  <c r="F259" i="1"/>
  <c r="F239" i="1" s="1"/>
  <c r="M304" i="1"/>
  <c r="H304" i="1"/>
  <c r="F304" i="1"/>
  <c r="N304" i="1"/>
  <c r="P304" i="1"/>
  <c r="J304" i="1"/>
  <c r="R304" i="1"/>
  <c r="I304" i="1"/>
  <c r="Q304" i="1"/>
  <c r="K79" i="1"/>
  <c r="L345" i="1"/>
  <c r="L79" i="1"/>
  <c r="F344" i="1"/>
  <c r="R344" i="1" s="1"/>
  <c r="R330" i="1" s="1"/>
  <c r="M79" i="1"/>
  <c r="F168" i="1"/>
  <c r="S168" i="1" s="1"/>
  <c r="F172" i="1"/>
  <c r="S172" i="1" s="1"/>
  <c r="F176" i="1"/>
  <c r="S176" i="1" s="1"/>
  <c r="R43" i="1"/>
  <c r="R38" i="1" s="1"/>
  <c r="F48" i="1"/>
  <c r="R48" i="1" s="1"/>
  <c r="R44" i="1" s="1"/>
  <c r="R105" i="1"/>
  <c r="R98" i="1" s="1"/>
  <c r="R112" i="1"/>
  <c r="R106" i="1" s="1"/>
  <c r="F118" i="1"/>
  <c r="R118" i="1" s="1"/>
  <c r="R113" i="1" s="1"/>
  <c r="F124" i="1"/>
  <c r="R124" i="1" s="1"/>
  <c r="R119" i="1" s="1"/>
  <c r="F130" i="1"/>
  <c r="R130" i="1" s="1"/>
  <c r="R126" i="1" s="1"/>
  <c r="I79" i="1"/>
  <c r="J37" i="1" l="1"/>
  <c r="R97" i="1"/>
  <c r="R88" i="1" s="1"/>
  <c r="S88" i="1" s="1"/>
  <c r="R78" i="1"/>
  <c r="R68" i="1" s="1"/>
  <c r="S68" i="1" s="1"/>
  <c r="F180" i="1"/>
  <c r="S180" i="1" s="1"/>
  <c r="G37" i="1"/>
  <c r="R67" i="1"/>
  <c r="R51" i="1" s="1"/>
  <c r="G132" i="1"/>
  <c r="L132" i="1"/>
  <c r="F262" i="1"/>
  <c r="F260" i="1" s="1"/>
  <c r="S263" i="1"/>
  <c r="R262" i="1"/>
  <c r="R260" i="1" s="1"/>
  <c r="K132" i="1"/>
  <c r="H132" i="1"/>
  <c r="G50" i="1"/>
  <c r="N20" i="1"/>
  <c r="N15" i="1" s="1"/>
  <c r="F133" i="1"/>
  <c r="L50" i="1"/>
  <c r="R345" i="1"/>
  <c r="O20" i="1"/>
  <c r="O15" i="1" s="1"/>
  <c r="F156" i="1"/>
  <c r="S156" i="1" s="1"/>
  <c r="F189" i="1"/>
  <c r="S189" i="1" s="1"/>
  <c r="I132" i="1"/>
  <c r="R317" i="1"/>
  <c r="F347" i="1"/>
  <c r="S347" i="1" s="1"/>
  <c r="M50" i="1"/>
  <c r="M20" i="1" s="1"/>
  <c r="M15" i="1" s="1"/>
  <c r="F319" i="1"/>
  <c r="I50" i="1"/>
  <c r="R208" i="1"/>
  <c r="R195" i="1" s="1"/>
  <c r="S195" i="1" s="1"/>
  <c r="E20" i="1"/>
  <c r="E15" i="1" s="1"/>
  <c r="F359" i="1"/>
  <c r="S359" i="1" s="1"/>
  <c r="J50" i="1"/>
  <c r="P20" i="1"/>
  <c r="P15" i="1" s="1"/>
  <c r="Q20" i="1"/>
  <c r="Q15" i="1" s="1"/>
  <c r="H50" i="1"/>
  <c r="K50" i="1"/>
  <c r="R37" i="1"/>
  <c r="R259" i="1"/>
  <c r="R239" i="1" s="1"/>
  <c r="S239" i="1" s="1"/>
  <c r="F79" i="1"/>
  <c r="S79" i="1" s="1"/>
  <c r="F44" i="1"/>
  <c r="F330" i="1"/>
  <c r="R132" i="1"/>
  <c r="F210" i="1"/>
  <c r="S210" i="1" s="1"/>
  <c r="F119" i="1"/>
  <c r="S119" i="1" s="1"/>
  <c r="F17" i="1"/>
  <c r="R35" i="1"/>
  <c r="R22" i="1" s="1"/>
  <c r="S22" i="1" s="1"/>
  <c r="F113" i="1"/>
  <c r="S113" i="1" s="1"/>
  <c r="F106" i="1"/>
  <c r="S106" i="1" s="1"/>
  <c r="F98" i="1"/>
  <c r="S98" i="1" s="1"/>
  <c r="F126" i="1"/>
  <c r="S126" i="1" s="1"/>
  <c r="F38" i="1"/>
  <c r="J20" i="1" l="1"/>
  <c r="J15" i="1" s="1"/>
  <c r="R50" i="1"/>
  <c r="R20" i="1" s="1"/>
  <c r="R15" i="1" s="1"/>
  <c r="K20" i="1"/>
  <c r="K15" i="1" s="1"/>
  <c r="L20" i="1"/>
  <c r="L15" i="1" s="1"/>
  <c r="S51" i="1"/>
  <c r="G20" i="1"/>
  <c r="G15" i="1" s="1"/>
  <c r="H20" i="1"/>
  <c r="H15" i="1" s="1"/>
  <c r="F132" i="1"/>
  <c r="S132" i="1" s="1"/>
  <c r="S133" i="1"/>
  <c r="S262" i="1"/>
  <c r="I20" i="1"/>
  <c r="I15" i="1" s="1"/>
  <c r="F317" i="1"/>
  <c r="S317" i="1" s="1"/>
  <c r="F345" i="1"/>
  <c r="S345" i="1" s="1"/>
  <c r="F37" i="1"/>
  <c r="S37" i="1" s="1"/>
  <c r="F50" i="1"/>
  <c r="F15" i="1" l="1"/>
  <c r="F16" i="1" s="1"/>
  <c r="S50" i="1"/>
  <c r="S15" i="1"/>
  <c r="S16" i="1" s="1"/>
  <c r="F20" i="1"/>
</calcChain>
</file>

<file path=xl/sharedStrings.xml><?xml version="1.0" encoding="utf-8"?>
<sst xmlns="http://schemas.openxmlformats.org/spreadsheetml/2006/main" count="353" uniqueCount="129">
  <si>
    <t>REPROGRAMACIÓN  DEL RENGLÓN 031 "JORNALES"</t>
  </si>
  <si>
    <t>(1) ENTIDAD: MINISTERIO DE CULTURA Y DEPORTES</t>
  </si>
  <si>
    <t xml:space="preserve">(2) FUENTE DE FINANCIAMIENTO: </t>
  </si>
  <si>
    <t>UNIDAD EJECUTORA 103 DIRECCION GENERAL DEL PATRIMONIO CULTURAL Y NATURAL</t>
  </si>
  <si>
    <t>(3) Categoria Programática y Partida Presupuestaria y Naturaleza de los servicios</t>
  </si>
  <si>
    <t>(4) JORNAL DIARIO</t>
  </si>
  <si>
    <t>(5) NÚMERO DE CONTRATOS</t>
  </si>
  <si>
    <t>(6) TOTAL</t>
  </si>
  <si>
    <t>(7) PROGRAMACION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</si>
  <si>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</si>
  <si>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</si>
  <si>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</si>
  <si>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</si>
  <si>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</si>
  <si>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</si>
  <si>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</si>
  <si>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</si>
  <si>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</si>
  <si>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</si>
  <si>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</si>
  <si>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</si>
  <si>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Jornales al Año</t>
  </si>
  <si>
    <t>Ministerio de Cultura y Deportes</t>
  </si>
  <si>
    <t>TOTAL UE</t>
  </si>
  <si>
    <t>PROGRAMADO</t>
  </si>
  <si>
    <t>PENDIENTE DE PROGRAMAR</t>
  </si>
  <si>
    <t>TRANSFERENCIA</t>
  </si>
  <si>
    <t>FUENTE 11</t>
  </si>
  <si>
    <t>DIRECCIÓN Y COORDINACIÓN</t>
  </si>
  <si>
    <t>Modificado</t>
  </si>
  <si>
    <t>AUXILIAR MISCELÁNEO</t>
  </si>
  <si>
    <t>JARDINERO II</t>
  </si>
  <si>
    <t>TALLERISTA</t>
  </si>
  <si>
    <t>CONSERJE</t>
  </si>
  <si>
    <t>MAESTRO DE OBRAS</t>
  </si>
  <si>
    <t>MENSAJERO I</t>
  </si>
  <si>
    <t>MENSAJERO II</t>
  </si>
  <si>
    <t>PEÓN VIGILANTE V</t>
  </si>
  <si>
    <t>PILOTO I DE VEHÍCULOS LIVIANOS</t>
  </si>
  <si>
    <t>Pendiente de Programar</t>
  </si>
  <si>
    <t>SERVICIOS DE INVESTIGACIÓN, CATALOGACIÓN Y REGISTRO DE BIENES CULTURALES</t>
  </si>
  <si>
    <t>ALBAÑIL I</t>
  </si>
  <si>
    <t>SERVICIOS DE ADMINISTRACIÓN Y PROTECCIÓN DE PARQUES, SITIOS ARQUEOLÓGICOS Y ZONAS DE RESCATE CULTURAL Y NATURAL</t>
  </si>
  <si>
    <t>AUXILIAR DE BODEGA</t>
  </si>
  <si>
    <t>AUXILIAR DE TOPOGRAFÍA III</t>
  </si>
  <si>
    <t>BODEGUERO II</t>
  </si>
  <si>
    <t>CAPORAL</t>
  </si>
  <si>
    <t>CONDUCTOR DE VEHÍCULOS LIVIANOS</t>
  </si>
  <si>
    <t>PEÓN</t>
  </si>
  <si>
    <t>PEÓN VIGILANTE II</t>
  </si>
  <si>
    <t>PEÓN VIVANDERA</t>
  </si>
  <si>
    <t>PERFORADOR DE SUELOS</t>
  </si>
  <si>
    <t>ALBAÑIL II</t>
  </si>
  <si>
    <t>ALBAÑIL III</t>
  </si>
  <si>
    <t>PEÓN VIGILANTE I</t>
  </si>
  <si>
    <t>CARPINTERO I</t>
  </si>
  <si>
    <t>SERVICIOS DE ADMINISTRACION DE MUSEOS</t>
  </si>
  <si>
    <t>ALBAÑIL V</t>
  </si>
  <si>
    <t>AUXIIAR MISCELANEO</t>
  </si>
  <si>
    <t>CARPINTERO II</t>
  </si>
  <si>
    <t>CARPINTERO V</t>
  </si>
  <si>
    <t>ELECTRICISTA III</t>
  </si>
  <si>
    <t>JARDINERO I</t>
  </si>
  <si>
    <t>EMBALADOR</t>
  </si>
  <si>
    <t xml:space="preserve">ALBAÑIL I </t>
  </si>
  <si>
    <t>SERVICIOS DE ADMINISTRACIÓN DEL PATRIMONIO BIBLIOGRÁFICO Y DOCUMENTAL</t>
  </si>
  <si>
    <t>BODEGUERO I</t>
  </si>
  <si>
    <t>ENCUADERNADOR</t>
  </si>
  <si>
    <t>PEON VIGILANTE I</t>
  </si>
  <si>
    <t>SERVICIOS DE CONSERVACIÓN Y RESTAURACIÓN DE BIENES CULTURALES</t>
  </si>
  <si>
    <t xml:space="preserve">ALBAÑIL II </t>
  </si>
  <si>
    <t>AUXILIAR DE ALBAÑILERÍA</t>
  </si>
  <si>
    <t>AUXILIAR DE CARPINTERÍA</t>
  </si>
  <si>
    <t>AUXILIAR DE ELECTRICIDAD</t>
  </si>
  <si>
    <t>ELECTRICISTA I</t>
  </si>
  <si>
    <t>SERVICIOS DE RESCATE Y CONSERVACIÓN DE SITIOS ARQUEOLÓGICOS Y PREHISPÁNICOS</t>
  </si>
  <si>
    <t>COCINERO</t>
  </si>
  <si>
    <t>OPERADOR DE EQUIPO</t>
  </si>
  <si>
    <t>FUENTE 29</t>
  </si>
  <si>
    <t>2021-11130015-103-12-00-000-003-000-031-29-0101-0005</t>
  </si>
  <si>
    <t>2021-1113-0015-103-12-00-000-003-000-031-0101-29-0101-0005</t>
  </si>
  <si>
    <t>2021-1113-0015-103-12-00-000-003-000-031-0403-29-0101-0005</t>
  </si>
  <si>
    <t>2021-1113-0015-103-12-00-000-003-000-031-0406-29-0101-0005</t>
  </si>
  <si>
    <t>2021-1113-0015-103-12-00-000-003-000-031-1301-29-0101-0005</t>
  </si>
  <si>
    <t>2021-1113-0015-103-12-00-000-003-000-031-1401-29-0101-0005</t>
  </si>
  <si>
    <t>2021-1113-0015-103-12-00-000-003-000-031-1701-29-0101-0005</t>
  </si>
  <si>
    <t>2021-1113-0015-103-12-00-000-004-000-031-0301-29-0101-0005</t>
  </si>
  <si>
    <t>FUENTE 31</t>
  </si>
  <si>
    <t>2021-1113-0015-103-12-00-000-003-000-031-1805-31-0000-0000</t>
  </si>
  <si>
    <t>MODIFICADO</t>
  </si>
  <si>
    <t>2021-1113-0015-103-12-00-000-004-000-031-0301-31-0000-0000</t>
  </si>
  <si>
    <t>ADMINISTRACION DEL PARQUE NACIONAL TIKAL</t>
  </si>
  <si>
    <t>2021-1113-0015-103-12-00-000-007-000-031-1701-31-0000-0000</t>
  </si>
  <si>
    <t>FUENTE 32</t>
  </si>
  <si>
    <t>AUXILIAR DE MECÁNICA</t>
  </si>
  <si>
    <t>AUXILIAR DE TOPOGRAFÍA  IV</t>
  </si>
  <si>
    <t>BODEGUERO IV</t>
  </si>
  <si>
    <t>PILOTO II DE VEHÍCULOS PESADOS</t>
  </si>
  <si>
    <t>EJERCICIO FISCAL 2022</t>
  </si>
  <si>
    <t xml:space="preserve">REPROGRAMACION DE PUESTOS RENGLON 031 "JORNALES" </t>
  </si>
  <si>
    <t>2022-1113-0015-103-12-00-000-001-000-031-0101-11-0000-0000</t>
  </si>
  <si>
    <t>2022-11130015-103-12-00-000-002-000-031-11-0000-0000</t>
  </si>
  <si>
    <t>2022-1113-0015-103-12-00-000-002-000-031-0101-11-0000-0000</t>
  </si>
  <si>
    <t>2022-1113-0015-103-12-00-000-002-000-031-1708-11-0000-0000</t>
  </si>
  <si>
    <t>2022-11130015-103-12-00-000-003-000-031-11-0000-0000</t>
  </si>
  <si>
    <t>2022-1113-0015-103-12-00-000-003-000-031-1109-11-0000-0000</t>
  </si>
  <si>
    <t>2022-1113-0015-103-12-00-000-003-000-031-1701-11-0000-0000</t>
  </si>
  <si>
    <t>2022-1113-0015-103-12-00-000-003-000-031-0101-11-0000-0000</t>
  </si>
  <si>
    <t>2022-1113-0015-103-12-00-000-003-000-031-0403-11-0000-0000</t>
  </si>
  <si>
    <t>2022-1113-0015-103-12-00-000-003-000-031-1301-11-0000-0000</t>
  </si>
  <si>
    <t>2022-1113-0015-103-12-00-000-003-000-031-0406-11-0000-0000</t>
  </si>
  <si>
    <t>2022-1113-0015-103-12-00-000-003-000-031-1401-11-0000-0000</t>
  </si>
  <si>
    <t>2022-1113-0015-103-12-00-000-003-000-031-1704-11-0000-0000</t>
  </si>
  <si>
    <t>2022-1113-0015-103-12-00-000-003-000-031-1710-11-0000-0000</t>
  </si>
  <si>
    <t>2022-11130015-103-12-00-000-004-000-031-11-0000-0000</t>
  </si>
  <si>
    <t>2022-1113-0015-103-12-00-000-004-000-031-0101-11-0000-0000</t>
  </si>
  <si>
    <t>2022-1113-0015-103-12-00-000-004-000-031-0301-11-0000-0000</t>
  </si>
  <si>
    <t>2022-1113-0015-103-12-00-000-004-000-031-0306-11-0000-0000</t>
  </si>
  <si>
    <t>2022-1113-0015-103-12-00-000-004-000-031-0503-11-0000-0000</t>
  </si>
  <si>
    <t>2022-1113-0015-103-12-00-000-004-000-031-1401-11-0000-0000</t>
  </si>
  <si>
    <t>2022-1113-0015-103-12-00-000-004-000-031-1701-11-0000-0000</t>
  </si>
  <si>
    <t>2022-1113-0015-103-12-00-000-004-000-031-1708-11-0000-0000</t>
  </si>
  <si>
    <t>2022-11130015-103-12-00-000-006-000-031-0101-11-0000-0000</t>
  </si>
  <si>
    <t>2022-11130015-103-12-00-000-008-000-031-0101-11-0000-0000</t>
  </si>
  <si>
    <t>2022-1113-0015-103-12-00-000-009-000-031-1701-11-0000-0000</t>
  </si>
  <si>
    <t>2022-1113-0015-103-12-00-000-003-000-031-1805-32-0000-0000</t>
  </si>
  <si>
    <t>2022-1113-0015-103-12-00-000-007-000-031-1701-31-0000-0000</t>
  </si>
  <si>
    <t>LAVANDERA II</t>
  </si>
  <si>
    <t xml:space="preserve">AUXILIAR DE BODEGA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</si>
</sst>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.00"/>
    <numFmt numFmtId="165" formatCode="_(* #,##0.00_);_(* \(#,##0.00\);_(* &quot;-&quot;??_);_(@_)"/>
    <numFmt numFmtId="166" formatCode="_(&quot;Q&quot;* #,##0.00_);_(&quot;Q&quot;* \(#,##0.00\);_(&quot;Q&quot;* &quot;-&quot;??_);_(@_)"/>
    <numFmt numFmtId="167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color rgb="FF00000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000000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0" fontId="1" fillId="0" borderId="0"/>
  </cellStyleXfs>
  <cellXfs count="389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5" fillId="0" borderId="0" xfId="3" applyFont="1" applyAlignment="1">
      <alignment horizontal="left"/>
    </xf>
    <xf numFmtId="0" fontId="6" fillId="0" borderId="0" xfId="3" applyFont="1"/>
    <xf numFmtId="0" fontId="5" fillId="0" borderId="0" xfId="3" applyFont="1"/>
    <xf numFmtId="4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0" fontId="8" fillId="3" borderId="4" xfId="3" applyFont="1" applyFill="1" applyBorder="1" applyAlignment="1">
      <alignment horizontal="center" wrapText="1"/>
    </xf>
    <xf numFmtId="0" fontId="8" fillId="3" borderId="7" xfId="3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left" vertical="center" wrapText="1"/>
    </xf>
    <xf numFmtId="0" fontId="11" fillId="3" borderId="8" xfId="3" applyFont="1" applyFill="1" applyBorder="1" applyAlignment="1">
      <alignment horizontal="center" vertical="center" wrapText="1"/>
    </xf>
    <xf numFmtId="0" fontId="11" fillId="3" borderId="8" xfId="3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4" fontId="12" fillId="3" borderId="8" xfId="0" applyNumberFormat="1" applyFont="1" applyFill="1" applyBorder="1" applyAlignment="1">
      <alignment horizontal="center" vertical="center"/>
    </xf>
    <xf numFmtId="165" fontId="9" fillId="3" borderId="8" xfId="1" applyFont="1" applyFill="1" applyBorder="1" applyAlignment="1">
      <alignment horizontal="center" vertical="center"/>
    </xf>
    <xf numFmtId="4" fontId="0" fillId="3" borderId="8" xfId="0" applyNumberFormat="1" applyFill="1" applyBorder="1"/>
    <xf numFmtId="4" fontId="0" fillId="3" borderId="0" xfId="0" applyNumberFormat="1" applyFill="1"/>
    <xf numFmtId="4" fontId="12" fillId="3" borderId="9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8" fillId="3" borderId="10" xfId="3" applyFont="1" applyFill="1" applyBorder="1" applyAlignment="1">
      <alignment horizontal="center" vertical="center"/>
    </xf>
    <xf numFmtId="0" fontId="13" fillId="3" borderId="11" xfId="4" applyFont="1" applyFill="1" applyBorder="1" applyAlignment="1">
      <alignment horizontal="right" vertical="center" wrapText="1"/>
    </xf>
    <xf numFmtId="0" fontId="14" fillId="3" borderId="11" xfId="3" applyFont="1" applyFill="1" applyBorder="1" applyAlignment="1">
      <alignment horizontal="center" vertical="center" wrapText="1"/>
    </xf>
    <xf numFmtId="1" fontId="10" fillId="3" borderId="11" xfId="3" applyNumberFormat="1" applyFont="1" applyFill="1" applyBorder="1" applyAlignment="1">
      <alignment horizontal="center" vertical="center"/>
    </xf>
    <xf numFmtId="4" fontId="10" fillId="3" borderId="11" xfId="3" applyNumberFormat="1" applyFont="1" applyFill="1" applyBorder="1" applyAlignment="1">
      <alignment vertical="center"/>
    </xf>
    <xf numFmtId="44" fontId="0" fillId="0" borderId="0" xfId="0" applyNumberFormat="1" applyAlignment="1">
      <alignment horizontal="center" vertical="center"/>
    </xf>
    <xf numFmtId="44" fontId="0" fillId="0" borderId="0" xfId="0" applyNumberFormat="1"/>
    <xf numFmtId="166" fontId="0" fillId="0" borderId="0" xfId="2" applyFont="1"/>
    <xf numFmtId="0" fontId="8" fillId="4" borderId="13" xfId="3" applyFont="1" applyFill="1" applyBorder="1" applyAlignment="1">
      <alignment horizontal="center" vertical="center"/>
    </xf>
    <xf numFmtId="0" fontId="13" fillId="4" borderId="14" xfId="4" applyFont="1" applyFill="1" applyBorder="1" applyAlignment="1">
      <alignment horizontal="right" vertical="center" wrapText="1"/>
    </xf>
    <xf numFmtId="0" fontId="11" fillId="4" borderId="15" xfId="3" applyFont="1" applyFill="1" applyBorder="1" applyAlignment="1">
      <alignment horizontal="center" vertical="center" wrapText="1"/>
    </xf>
    <xf numFmtId="1" fontId="8" fillId="4" borderId="16" xfId="3" applyNumberFormat="1" applyFont="1" applyFill="1" applyBorder="1" applyAlignment="1">
      <alignment horizontal="center" vertical="center"/>
    </xf>
    <xf numFmtId="4" fontId="8" fillId="4" borderId="8" xfId="3" applyNumberFormat="1" applyFont="1" applyFill="1" applyBorder="1" applyAlignment="1">
      <alignment vertical="center"/>
    </xf>
    <xf numFmtId="4" fontId="8" fillId="4" borderId="16" xfId="3" applyNumberFormat="1" applyFont="1" applyFill="1" applyBorder="1" applyAlignment="1">
      <alignment vertical="center"/>
    </xf>
    <xf numFmtId="4" fontId="8" fillId="4" borderId="17" xfId="3" applyNumberFormat="1" applyFont="1" applyFill="1" applyBorder="1" applyAlignment="1">
      <alignment vertical="center"/>
    </xf>
    <xf numFmtId="0" fontId="0" fillId="0" borderId="18" xfId="0" applyBorder="1"/>
    <xf numFmtId="0" fontId="8" fillId="4" borderId="15" xfId="3" applyFont="1" applyFill="1" applyBorder="1" applyAlignment="1">
      <alignment horizontal="center" vertical="center"/>
    </xf>
    <xf numFmtId="4" fontId="8" fillId="4" borderId="19" xfId="3" applyNumberFormat="1" applyFont="1" applyFill="1" applyBorder="1" applyAlignment="1">
      <alignment vertical="center"/>
    </xf>
    <xf numFmtId="0" fontId="13" fillId="5" borderId="8" xfId="4" applyFont="1" applyFill="1" applyBorder="1" applyAlignment="1">
      <alignment horizontal="right" vertical="center" wrapText="1"/>
    </xf>
    <xf numFmtId="0" fontId="15" fillId="5" borderId="20" xfId="3" applyFont="1" applyFill="1" applyBorder="1" applyAlignment="1">
      <alignment horizontal="center" vertical="center" wrapText="1"/>
    </xf>
    <xf numFmtId="1" fontId="6" fillId="5" borderId="21" xfId="3" applyNumberFormat="1" applyFont="1" applyFill="1" applyBorder="1" applyAlignment="1">
      <alignment horizontal="center" vertical="center"/>
    </xf>
    <xf numFmtId="4" fontId="6" fillId="5" borderId="21" xfId="3" applyNumberFormat="1" applyFont="1" applyFill="1" applyBorder="1" applyAlignment="1">
      <alignment vertical="center"/>
    </xf>
    <xf numFmtId="4" fontId="8" fillId="4" borderId="21" xfId="3" applyNumberFormat="1" applyFont="1" applyFill="1" applyBorder="1" applyAlignment="1">
      <alignment vertical="center"/>
    </xf>
    <xf numFmtId="4" fontId="8" fillId="4" borderId="9" xfId="3" applyNumberFormat="1" applyFont="1" applyFill="1" applyBorder="1" applyAlignment="1">
      <alignment vertical="center"/>
    </xf>
    <xf numFmtId="0" fontId="8" fillId="0" borderId="22" xfId="3" applyFont="1" applyBorder="1" applyAlignment="1">
      <alignment horizontal="center" vertical="center"/>
    </xf>
    <xf numFmtId="0" fontId="8" fillId="0" borderId="21" xfId="3" applyFont="1" applyBorder="1" applyAlignment="1">
      <alignment horizontal="left" vertical="center" wrapText="1"/>
    </xf>
    <xf numFmtId="0" fontId="11" fillId="0" borderId="21" xfId="3" applyFont="1" applyBorder="1" applyAlignment="1">
      <alignment horizontal="center" vertical="center" wrapText="1"/>
    </xf>
    <xf numFmtId="1" fontId="8" fillId="0" borderId="21" xfId="3" applyNumberFormat="1" applyFont="1" applyBorder="1" applyAlignment="1">
      <alignment horizontal="center" vertical="center"/>
    </xf>
    <xf numFmtId="4" fontId="8" fillId="0" borderId="21" xfId="3" applyNumberFormat="1" applyFont="1" applyBorder="1" applyAlignment="1">
      <alignment vertical="center"/>
    </xf>
    <xf numFmtId="4" fontId="8" fillId="0" borderId="12" xfId="3" applyNumberFormat="1" applyFont="1" applyBorder="1" applyAlignment="1">
      <alignment vertical="center"/>
    </xf>
    <xf numFmtId="0" fontId="10" fillId="6" borderId="23" xfId="3" applyFont="1" applyFill="1" applyBorder="1" applyAlignment="1">
      <alignment horizontal="center" vertical="center"/>
    </xf>
    <xf numFmtId="0" fontId="10" fillId="7" borderId="5" xfId="3" applyFont="1" applyFill="1" applyBorder="1" applyAlignment="1">
      <alignment horizontal="left" wrapText="1"/>
    </xf>
    <xf numFmtId="0" fontId="8" fillId="7" borderId="5" xfId="3" applyFont="1" applyFill="1" applyBorder="1"/>
    <xf numFmtId="1" fontId="10" fillId="7" borderId="5" xfId="3" applyNumberFormat="1" applyFont="1" applyFill="1" applyBorder="1" applyAlignment="1">
      <alignment horizontal="center"/>
    </xf>
    <xf numFmtId="4" fontId="10" fillId="7" borderId="5" xfId="3" applyNumberFormat="1" applyFont="1" applyFill="1" applyBorder="1"/>
    <xf numFmtId="4" fontId="10" fillId="7" borderId="6" xfId="3" applyNumberFormat="1" applyFont="1" applyFill="1" applyBorder="1"/>
    <xf numFmtId="0" fontId="8" fillId="3" borderId="24" xfId="3" applyFont="1" applyFill="1" applyBorder="1" applyAlignment="1">
      <alignment horizontal="center"/>
    </xf>
    <xf numFmtId="0" fontId="10" fillId="3" borderId="8" xfId="3" applyFont="1" applyFill="1" applyBorder="1" applyAlignment="1">
      <alignment horizontal="left" vertical="center" wrapText="1"/>
    </xf>
    <xf numFmtId="0" fontId="8" fillId="3" borderId="8" xfId="3" applyFont="1" applyFill="1" applyBorder="1"/>
    <xf numFmtId="43" fontId="8" fillId="3" borderId="8" xfId="3" applyNumberFormat="1" applyFont="1" applyFill="1" applyBorder="1"/>
    <xf numFmtId="4" fontId="8" fillId="3" borderId="8" xfId="3" applyNumberFormat="1" applyFont="1" applyFill="1" applyBorder="1"/>
    <xf numFmtId="4" fontId="8" fillId="3" borderId="9" xfId="3" applyNumberFormat="1" applyFont="1" applyFill="1" applyBorder="1"/>
    <xf numFmtId="0" fontId="8" fillId="3" borderId="20" xfId="3" applyFont="1" applyFill="1" applyBorder="1" applyAlignment="1">
      <alignment vertical="center"/>
    </xf>
    <xf numFmtId="1" fontId="10" fillId="8" borderId="21" xfId="3" applyNumberFormat="1" applyFont="1" applyFill="1" applyBorder="1" applyAlignment="1">
      <alignment horizontal="center" vertical="center"/>
    </xf>
    <xf numFmtId="43" fontId="10" fillId="8" borderId="21" xfId="1" applyNumberFormat="1" applyFont="1" applyFill="1" applyBorder="1" applyAlignment="1">
      <alignment vertical="center"/>
    </xf>
    <xf numFmtId="43" fontId="10" fillId="8" borderId="8" xfId="1" applyNumberFormat="1" applyFont="1" applyFill="1" applyBorder="1" applyAlignment="1">
      <alignment vertical="center"/>
    </xf>
    <xf numFmtId="43" fontId="10" fillId="8" borderId="25" xfId="1" applyNumberFormat="1" applyFont="1" applyFill="1" applyBorder="1" applyAlignment="1">
      <alignment vertical="center"/>
    </xf>
    <xf numFmtId="0" fontId="8" fillId="6" borderId="24" xfId="3" applyFont="1" applyFill="1" applyBorder="1" applyAlignment="1">
      <alignment vertical="center"/>
    </xf>
    <xf numFmtId="0" fontId="10" fillId="7" borderId="8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wrapText="1"/>
    </xf>
    <xf numFmtId="43" fontId="10" fillId="0" borderId="8" xfId="3" applyNumberFormat="1" applyFont="1" applyFill="1" applyBorder="1" applyAlignment="1">
      <alignment horizontal="center" vertical="center"/>
    </xf>
    <xf numFmtId="43" fontId="10" fillId="7" borderId="8" xfId="1" applyNumberFormat="1" applyFont="1" applyFill="1" applyBorder="1" applyAlignment="1">
      <alignment vertical="center"/>
    </xf>
    <xf numFmtId="43" fontId="10" fillId="0" borderId="8" xfId="1" applyNumberFormat="1" applyFont="1" applyFill="1" applyBorder="1" applyAlignment="1">
      <alignment vertical="center"/>
    </xf>
    <xf numFmtId="43" fontId="10" fillId="7" borderId="9" xfId="1" applyNumberFormat="1" applyFont="1" applyFill="1" applyBorder="1" applyAlignment="1">
      <alignment vertical="center"/>
    </xf>
    <xf numFmtId="0" fontId="8" fillId="0" borderId="24" xfId="3" applyFont="1" applyBorder="1" applyAlignment="1">
      <alignment horizontal="center"/>
    </xf>
    <xf numFmtId="0" fontId="8" fillId="0" borderId="8" xfId="3" applyFont="1" applyBorder="1" applyAlignment="1">
      <alignment horizontal="left" wrapText="1"/>
    </xf>
    <xf numFmtId="164" fontId="8" fillId="0" borderId="8" xfId="3" applyNumberFormat="1" applyFont="1" applyBorder="1"/>
    <xf numFmtId="0" fontId="8" fillId="0" borderId="8" xfId="3" applyFont="1" applyFill="1" applyBorder="1" applyAlignment="1">
      <alignment horizontal="center" vertical="center"/>
    </xf>
    <xf numFmtId="165" fontId="8" fillId="0" borderId="8" xfId="3" applyNumberFormat="1" applyFont="1" applyBorder="1" applyAlignment="1">
      <alignment horizontal="right"/>
    </xf>
    <xf numFmtId="4" fontId="8" fillId="0" borderId="8" xfId="3" applyNumberFormat="1" applyFont="1" applyBorder="1"/>
    <xf numFmtId="4" fontId="8" fillId="0" borderId="8" xfId="3" applyNumberFormat="1" applyFont="1" applyBorder="1" applyAlignment="1">
      <alignment horizontal="right"/>
    </xf>
    <xf numFmtId="4" fontId="8" fillId="0" borderId="9" xfId="3" applyNumberFormat="1" applyFont="1" applyBorder="1"/>
    <xf numFmtId="165" fontId="8" fillId="0" borderId="8" xfId="3" applyNumberFormat="1" applyFont="1" applyBorder="1"/>
    <xf numFmtId="0" fontId="8" fillId="0" borderId="20" xfId="3" applyFont="1" applyBorder="1" applyAlignment="1">
      <alignment horizontal="center"/>
    </xf>
    <xf numFmtId="0" fontId="8" fillId="0" borderId="21" xfId="3" applyFont="1" applyBorder="1" applyAlignment="1">
      <alignment horizontal="left" wrapText="1"/>
    </xf>
    <xf numFmtId="164" fontId="8" fillId="0" borderId="21" xfId="3" applyNumberFormat="1" applyFont="1" applyBorder="1"/>
    <xf numFmtId="0" fontId="8" fillId="0" borderId="21" xfId="3" applyFont="1" applyFill="1" applyBorder="1" applyAlignment="1">
      <alignment horizontal="center" vertical="center"/>
    </xf>
    <xf numFmtId="0" fontId="8" fillId="0" borderId="21" xfId="3" applyFont="1" applyBorder="1"/>
    <xf numFmtId="4" fontId="10" fillId="0" borderId="21" xfId="3" applyNumberFormat="1" applyFont="1" applyBorder="1" applyAlignment="1">
      <alignment horizontal="center"/>
    </xf>
    <xf numFmtId="4" fontId="8" fillId="0" borderId="21" xfId="3" applyNumberFormat="1" applyFont="1" applyBorder="1"/>
    <xf numFmtId="165" fontId="8" fillId="0" borderId="21" xfId="3" applyNumberFormat="1" applyFont="1" applyBorder="1" applyAlignment="1">
      <alignment horizontal="right"/>
    </xf>
    <xf numFmtId="4" fontId="8" fillId="0" borderId="25" xfId="3" applyNumberFormat="1" applyFont="1" applyBorder="1"/>
    <xf numFmtId="0" fontId="8" fillId="3" borderId="23" xfId="3" applyFont="1" applyFill="1" applyBorder="1" applyAlignment="1">
      <alignment horizontal="center"/>
    </xf>
    <xf numFmtId="0" fontId="8" fillId="3" borderId="5" xfId="3" applyFont="1" applyFill="1" applyBorder="1"/>
    <xf numFmtId="4" fontId="8" fillId="3" borderId="5" xfId="3" applyNumberFormat="1" applyFont="1" applyFill="1" applyBorder="1"/>
    <xf numFmtId="4" fontId="10" fillId="3" borderId="5" xfId="3" applyNumberFormat="1" applyFont="1" applyFill="1" applyBorder="1" applyAlignment="1">
      <alignment horizontal="center"/>
    </xf>
    <xf numFmtId="4" fontId="8" fillId="3" borderId="6" xfId="3" applyNumberFormat="1" applyFont="1" applyFill="1" applyBorder="1"/>
    <xf numFmtId="0" fontId="8" fillId="3" borderId="20" xfId="3" applyFont="1" applyFill="1" applyBorder="1" applyAlignment="1">
      <alignment horizontal="center" vertical="center"/>
    </xf>
    <xf numFmtId="1" fontId="10" fillId="8" borderId="8" xfId="3" applyNumberFormat="1" applyFont="1" applyFill="1" applyBorder="1" applyAlignment="1">
      <alignment horizontal="center" vertical="center"/>
    </xf>
    <xf numFmtId="4" fontId="10" fillId="8" borderId="8" xfId="3" applyNumberFormat="1" applyFont="1" applyFill="1" applyBorder="1" applyAlignment="1">
      <alignment vertical="center"/>
    </xf>
    <xf numFmtId="4" fontId="10" fillId="8" borderId="9" xfId="3" applyNumberFormat="1" applyFont="1" applyFill="1" applyBorder="1" applyAlignment="1">
      <alignment vertical="center"/>
    </xf>
    <xf numFmtId="1" fontId="10" fillId="0" borderId="14" xfId="3" applyNumberFormat="1" applyFont="1" applyBorder="1" applyAlignment="1">
      <alignment horizontal="center"/>
    </xf>
    <xf numFmtId="43" fontId="10" fillId="0" borderId="14" xfId="1" applyNumberFormat="1" applyFont="1" applyFill="1" applyBorder="1"/>
    <xf numFmtId="43" fontId="10" fillId="0" borderId="19" xfId="1" applyNumberFormat="1" applyFont="1" applyFill="1" applyBorder="1"/>
    <xf numFmtId="0" fontId="8" fillId="0" borderId="15" xfId="3" applyFont="1" applyBorder="1" applyAlignment="1">
      <alignment horizontal="center"/>
    </xf>
    <xf numFmtId="0" fontId="10" fillId="0" borderId="21" xfId="3" applyFont="1" applyBorder="1" applyAlignment="1">
      <alignment horizontal="center" wrapText="1"/>
    </xf>
    <xf numFmtId="43" fontId="10" fillId="0" borderId="16" xfId="1" applyNumberFormat="1" applyFont="1" applyFill="1" applyBorder="1"/>
    <xf numFmtId="43" fontId="10" fillId="0" borderId="17" xfId="1" applyNumberFormat="1" applyFont="1" applyFill="1" applyBorder="1"/>
    <xf numFmtId="165" fontId="8" fillId="0" borderId="21" xfId="3" applyNumberFormat="1" applyFont="1" applyFill="1" applyBorder="1"/>
    <xf numFmtId="4" fontId="8" fillId="0" borderId="21" xfId="3" applyNumberFormat="1" applyFont="1" applyBorder="1" applyAlignment="1">
      <alignment horizontal="right"/>
    </xf>
    <xf numFmtId="0" fontId="8" fillId="0" borderId="8" xfId="3" applyFont="1" applyBorder="1" applyAlignment="1">
      <alignment horizontal="center" vertical="center"/>
    </xf>
    <xf numFmtId="0" fontId="8" fillId="0" borderId="8" xfId="3" quotePrefix="1" applyFont="1" applyBorder="1" applyAlignment="1">
      <alignment horizontal="left" wrapText="1"/>
    </xf>
    <xf numFmtId="0" fontId="8" fillId="0" borderId="8" xfId="3" applyFont="1" applyBorder="1"/>
    <xf numFmtId="4" fontId="8" fillId="0" borderId="9" xfId="3" applyNumberFormat="1" applyFont="1" applyBorder="1" applyAlignment="1">
      <alignment horizontal="right"/>
    </xf>
    <xf numFmtId="1" fontId="10" fillId="0" borderId="8" xfId="3" applyNumberFormat="1" applyFont="1" applyBorder="1" applyAlignment="1">
      <alignment horizontal="center"/>
    </xf>
    <xf numFmtId="43" fontId="10" fillId="0" borderId="8" xfId="1" applyNumberFormat="1" applyFont="1" applyFill="1" applyBorder="1"/>
    <xf numFmtId="43" fontId="10" fillId="0" borderId="9" xfId="1" applyNumberFormat="1" applyFont="1" applyFill="1" applyBorder="1"/>
    <xf numFmtId="0" fontId="10" fillId="0" borderId="8" xfId="3" applyFont="1" applyBorder="1" applyAlignment="1">
      <alignment horizontal="center" wrapText="1"/>
    </xf>
    <xf numFmtId="43" fontId="10" fillId="0" borderId="0" xfId="1" applyNumberFormat="1" applyFont="1" applyFill="1" applyBorder="1" applyAlignment="1">
      <alignment horizontal="center" vertical="center"/>
    </xf>
    <xf numFmtId="165" fontId="8" fillId="0" borderId="8" xfId="3" applyNumberFormat="1" applyFont="1" applyFill="1" applyBorder="1"/>
    <xf numFmtId="4" fontId="10" fillId="0" borderId="8" xfId="3" applyNumberFormat="1" applyFont="1" applyBorder="1" applyAlignment="1">
      <alignment horizontal="center"/>
    </xf>
    <xf numFmtId="165" fontId="8" fillId="0" borderId="9" xfId="3" applyNumberFormat="1" applyFont="1" applyBorder="1"/>
    <xf numFmtId="0" fontId="8" fillId="3" borderId="26" xfId="3" applyFont="1" applyFill="1" applyBorder="1" applyAlignment="1">
      <alignment horizontal="center"/>
    </xf>
    <xf numFmtId="0" fontId="8" fillId="3" borderId="14" xfId="3" applyFont="1" applyFill="1" applyBorder="1"/>
    <xf numFmtId="4" fontId="8" fillId="3" borderId="14" xfId="3" applyNumberFormat="1" applyFont="1" applyFill="1" applyBorder="1"/>
    <xf numFmtId="4" fontId="8" fillId="3" borderId="27" xfId="3" applyNumberFormat="1" applyFont="1" applyFill="1" applyBorder="1"/>
    <xf numFmtId="167" fontId="0" fillId="3" borderId="9" xfId="0" applyNumberFormat="1" applyFill="1" applyBorder="1"/>
    <xf numFmtId="0" fontId="0" fillId="0" borderId="0" xfId="0" applyBorder="1" applyAlignment="1">
      <alignment horizontal="center" vertical="center"/>
    </xf>
    <xf numFmtId="0" fontId="8" fillId="3" borderId="22" xfId="3" applyFont="1" applyFill="1" applyBorder="1" applyAlignment="1">
      <alignment horizontal="center" vertical="center"/>
    </xf>
    <xf numFmtId="1" fontId="10" fillId="8" borderId="11" xfId="3" applyNumberFormat="1" applyFont="1" applyFill="1" applyBorder="1" applyAlignment="1">
      <alignment horizontal="center" vertical="center"/>
    </xf>
    <xf numFmtId="43" fontId="10" fillId="8" borderId="11" xfId="3" applyNumberFormat="1" applyFont="1" applyFill="1" applyBorder="1" applyAlignment="1">
      <alignment vertical="center"/>
    </xf>
    <xf numFmtId="43" fontId="10" fillId="8" borderId="28" xfId="3" applyNumberFormat="1" applyFont="1" applyFill="1" applyBorder="1" applyAlignment="1">
      <alignment vertical="center"/>
    </xf>
    <xf numFmtId="43" fontId="10" fillId="8" borderId="12" xfId="3" applyNumberFormat="1" applyFont="1" applyFill="1" applyBorder="1" applyAlignment="1">
      <alignment vertical="center"/>
    </xf>
    <xf numFmtId="0" fontId="8" fillId="6" borderId="26" xfId="3" applyFont="1" applyFill="1" applyBorder="1" applyAlignment="1">
      <alignment horizontal="center"/>
    </xf>
    <xf numFmtId="1" fontId="10" fillId="0" borderId="14" xfId="3" applyNumberFormat="1" applyFont="1" applyFill="1" applyBorder="1" applyAlignment="1">
      <alignment horizontal="center"/>
    </xf>
    <xf numFmtId="165" fontId="10" fillId="6" borderId="14" xfId="1" applyFont="1" applyFill="1" applyBorder="1" applyAlignment="1"/>
    <xf numFmtId="165" fontId="10" fillId="0" borderId="14" xfId="1" applyFont="1" applyFill="1" applyBorder="1"/>
    <xf numFmtId="165" fontId="10" fillId="6" borderId="14" xfId="1" applyFont="1" applyFill="1" applyBorder="1"/>
    <xf numFmtId="165" fontId="10" fillId="6" borderId="19" xfId="1" applyFont="1" applyFill="1" applyBorder="1"/>
    <xf numFmtId="44" fontId="8" fillId="0" borderId="0" xfId="3" applyNumberFormat="1" applyFont="1"/>
    <xf numFmtId="165" fontId="10" fillId="0" borderId="8" xfId="1" applyFont="1" applyFill="1" applyBorder="1" applyAlignment="1"/>
    <xf numFmtId="165" fontId="10" fillId="0" borderId="9" xfId="1" applyFont="1" applyFill="1" applyBorder="1" applyAlignment="1"/>
    <xf numFmtId="0" fontId="8" fillId="0" borderId="15" xfId="3" applyFont="1" applyBorder="1" applyAlignment="1">
      <alignment horizontal="center" vertical="center"/>
    </xf>
    <xf numFmtId="0" fontId="8" fillId="0" borderId="0" xfId="3" applyFont="1"/>
    <xf numFmtId="0" fontId="8" fillId="0" borderId="26" xfId="3" applyFont="1" applyBorder="1" applyAlignment="1">
      <alignment horizontal="center"/>
    </xf>
    <xf numFmtId="0" fontId="8" fillId="0" borderId="14" xfId="3" applyFont="1" applyBorder="1" applyAlignment="1">
      <alignment horizontal="left" wrapText="1"/>
    </xf>
    <xf numFmtId="164" fontId="8" fillId="0" borderId="14" xfId="3" applyNumberFormat="1" applyFont="1" applyFill="1" applyBorder="1"/>
    <xf numFmtId="0" fontId="8" fillId="0" borderId="14" xfId="3" applyFont="1" applyFill="1" applyBorder="1" applyAlignment="1">
      <alignment horizontal="center" vertical="center"/>
    </xf>
    <xf numFmtId="165" fontId="8" fillId="0" borderId="14" xfId="3" applyNumberFormat="1" applyFont="1" applyFill="1" applyBorder="1"/>
    <xf numFmtId="4" fontId="8" fillId="0" borderId="14" xfId="3" applyNumberFormat="1" applyFont="1" applyFill="1" applyBorder="1"/>
    <xf numFmtId="4" fontId="8" fillId="0" borderId="14" xfId="3" applyNumberFormat="1" applyFont="1" applyFill="1" applyBorder="1" applyAlignment="1">
      <alignment horizontal="right"/>
    </xf>
    <xf numFmtId="4" fontId="8" fillId="0" borderId="8" xfId="3" applyNumberFormat="1" applyFont="1" applyFill="1" applyBorder="1"/>
    <xf numFmtId="4" fontId="8" fillId="0" borderId="9" xfId="3" applyNumberFormat="1" applyFont="1" applyFill="1" applyBorder="1"/>
    <xf numFmtId="0" fontId="0" fillId="0" borderId="18" xfId="0" applyFill="1" applyBorder="1"/>
    <xf numFmtId="0" fontId="8" fillId="0" borderId="24" xfId="3" applyFont="1" applyFill="1" applyBorder="1" applyAlignment="1">
      <alignment horizontal="center"/>
    </xf>
    <xf numFmtId="0" fontId="8" fillId="0" borderId="8" xfId="3" applyFont="1" applyFill="1" applyBorder="1" applyAlignment="1">
      <alignment horizontal="left" wrapText="1"/>
    </xf>
    <xf numFmtId="164" fontId="8" fillId="0" borderId="8" xfId="3" applyNumberFormat="1" applyFont="1" applyFill="1" applyBorder="1"/>
    <xf numFmtId="0" fontId="8" fillId="0" borderId="0" xfId="3" applyFont="1" applyFill="1"/>
    <xf numFmtId="0" fontId="0" fillId="0" borderId="0" xfId="0" applyFill="1"/>
    <xf numFmtId="0" fontId="4" fillId="0" borderId="8" xfId="3" applyFont="1" applyFill="1" applyBorder="1" applyAlignment="1">
      <alignment horizontal="center" vertical="center"/>
    </xf>
    <xf numFmtId="165" fontId="4" fillId="0" borderId="8" xfId="3" applyNumberFormat="1" applyFont="1" applyFill="1" applyBorder="1"/>
    <xf numFmtId="0" fontId="8" fillId="0" borderId="0" xfId="3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10" fillId="0" borderId="8" xfId="3" applyNumberFormat="1" applyFont="1" applyFill="1" applyBorder="1" applyAlignment="1">
      <alignment horizontal="center"/>
    </xf>
    <xf numFmtId="165" fontId="10" fillId="6" borderId="8" xfId="1" applyFont="1" applyFill="1" applyBorder="1" applyAlignment="1"/>
    <xf numFmtId="2" fontId="0" fillId="0" borderId="8" xfId="0" applyNumberFormat="1" applyBorder="1"/>
    <xf numFmtId="4" fontId="0" fillId="0" borderId="0" xfId="0" applyNumberFormat="1" applyBorder="1"/>
    <xf numFmtId="165" fontId="8" fillId="0" borderId="9" xfId="3" applyNumberFormat="1" applyFont="1" applyBorder="1" applyAlignment="1">
      <alignment horizontal="right"/>
    </xf>
    <xf numFmtId="43" fontId="8" fillId="0" borderId="15" xfId="3" applyNumberFormat="1" applyFont="1" applyBorder="1" applyAlignment="1">
      <alignment horizontal="center" vertical="center"/>
    </xf>
    <xf numFmtId="167" fontId="8" fillId="0" borderId="8" xfId="3" applyNumberFormat="1" applyFont="1" applyFill="1" applyBorder="1"/>
    <xf numFmtId="4" fontId="0" fillId="0" borderId="0" xfId="0" applyNumberFormat="1" applyFill="1" applyBorder="1"/>
    <xf numFmtId="165" fontId="10" fillId="0" borderId="8" xfId="1" applyFont="1" applyFill="1" applyBorder="1" applyAlignment="1">
      <alignment horizontal="right"/>
    </xf>
    <xf numFmtId="165" fontId="8" fillId="0" borderId="8" xfId="3" applyNumberFormat="1" applyFont="1" applyFill="1" applyBorder="1" applyAlignment="1">
      <alignment horizontal="right"/>
    </xf>
    <xf numFmtId="0" fontId="0" fillId="0" borderId="8" xfId="0" applyBorder="1"/>
    <xf numFmtId="167" fontId="8" fillId="0" borderId="8" xfId="3" applyNumberFormat="1" applyFont="1" applyBorder="1"/>
    <xf numFmtId="165" fontId="10" fillId="0" borderId="8" xfId="1" applyFont="1" applyFill="1" applyBorder="1"/>
    <xf numFmtId="165" fontId="10" fillId="0" borderId="9" xfId="1" applyFont="1" applyFill="1" applyBorder="1"/>
    <xf numFmtId="0" fontId="8" fillId="0" borderId="26" xfId="3" applyFont="1" applyBorder="1" applyAlignment="1">
      <alignment horizontal="center" vertical="center"/>
    </xf>
    <xf numFmtId="165" fontId="10" fillId="0" borderId="8" xfId="1" applyFont="1" applyFill="1" applyBorder="1" applyAlignment="1">
      <alignment horizontal="center"/>
    </xf>
    <xf numFmtId="165" fontId="10" fillId="0" borderId="9" xfId="1" applyFont="1" applyFill="1" applyBorder="1" applyAlignment="1">
      <alignment horizontal="right"/>
    </xf>
    <xf numFmtId="165" fontId="10" fillId="6" borderId="8" xfId="1" applyFont="1" applyFill="1" applyBorder="1" applyAlignment="1">
      <alignment horizontal="right"/>
    </xf>
    <xf numFmtId="4" fontId="8" fillId="0" borderId="14" xfId="3" applyNumberFormat="1" applyFont="1" applyBorder="1"/>
    <xf numFmtId="0" fontId="8" fillId="0" borderId="8" xfId="3" applyFont="1" applyFill="1" applyBorder="1"/>
    <xf numFmtId="4" fontId="8" fillId="0" borderId="8" xfId="3" applyNumberFormat="1" applyFont="1" applyFill="1" applyBorder="1" applyAlignment="1">
      <alignment horizontal="right"/>
    </xf>
    <xf numFmtId="0" fontId="10" fillId="0" borderId="15" xfId="3" applyFont="1" applyBorder="1" applyAlignment="1">
      <alignment horizontal="center" vertical="center"/>
    </xf>
    <xf numFmtId="165" fontId="8" fillId="0" borderId="12" xfId="3" applyNumberFormat="1" applyFont="1" applyBorder="1" applyAlignment="1">
      <alignment horizontal="right"/>
    </xf>
    <xf numFmtId="0" fontId="8" fillId="3" borderId="29" xfId="3" applyFont="1" applyFill="1" applyBorder="1" applyAlignment="1">
      <alignment horizontal="center"/>
    </xf>
    <xf numFmtId="0" fontId="10" fillId="3" borderId="13" xfId="3" applyFont="1" applyFill="1" applyBorder="1" applyAlignment="1">
      <alignment horizontal="left" vertical="center" wrapText="1"/>
    </xf>
    <xf numFmtId="0" fontId="8" fillId="3" borderId="30" xfId="3" applyFont="1" applyFill="1" applyBorder="1"/>
    <xf numFmtId="4" fontId="8" fillId="3" borderId="30" xfId="3" applyNumberFormat="1" applyFont="1" applyFill="1" applyBorder="1"/>
    <xf numFmtId="4" fontId="10" fillId="3" borderId="30" xfId="3" applyNumberFormat="1" applyFont="1" applyFill="1" applyBorder="1" applyAlignment="1">
      <alignment horizontal="center"/>
    </xf>
    <xf numFmtId="4" fontId="8" fillId="3" borderId="31" xfId="3" applyNumberFormat="1" applyFont="1" applyFill="1" applyBorder="1"/>
    <xf numFmtId="165" fontId="10" fillId="8" borderId="11" xfId="3" applyNumberFormat="1" applyFont="1" applyFill="1" applyBorder="1" applyAlignment="1">
      <alignment vertical="center"/>
    </xf>
    <xf numFmtId="165" fontId="10" fillId="8" borderId="12" xfId="3" applyNumberFormat="1" applyFont="1" applyFill="1" applyBorder="1" applyAlignment="1">
      <alignment vertical="center"/>
    </xf>
    <xf numFmtId="1" fontId="10" fillId="6" borderId="14" xfId="3" applyNumberFormat="1" applyFont="1" applyFill="1" applyBorder="1" applyAlignment="1">
      <alignment horizontal="center"/>
    </xf>
    <xf numFmtId="43" fontId="10" fillId="6" borderId="14" xfId="1" applyNumberFormat="1" applyFont="1" applyFill="1" applyBorder="1" applyAlignment="1"/>
    <xf numFmtId="43" fontId="10" fillId="0" borderId="14" xfId="1" applyNumberFormat="1" applyFont="1" applyFill="1" applyBorder="1" applyAlignment="1"/>
    <xf numFmtId="43" fontId="10" fillId="6" borderId="19" xfId="1" applyNumberFormat="1" applyFont="1" applyFill="1" applyBorder="1" applyAlignment="1"/>
    <xf numFmtId="2" fontId="16" fillId="0" borderId="8" xfId="1" applyNumberFormat="1" applyFont="1" applyFill="1" applyBorder="1" applyAlignment="1"/>
    <xf numFmtId="164" fontId="10" fillId="0" borderId="8" xfId="2" applyNumberFormat="1" applyFont="1" applyFill="1" applyBorder="1" applyAlignment="1"/>
    <xf numFmtId="4" fontId="0" fillId="0" borderId="0" xfId="0" applyNumberFormat="1" applyFill="1"/>
    <xf numFmtId="164" fontId="8" fillId="0" borderId="14" xfId="3" applyNumberFormat="1" applyFont="1" applyBorder="1"/>
    <xf numFmtId="0" fontId="8" fillId="0" borderId="14" xfId="3" applyFont="1" applyFill="1" applyBorder="1" applyAlignment="1">
      <alignment horizontal="center"/>
    </xf>
    <xf numFmtId="4" fontId="8" fillId="0" borderId="14" xfId="3" applyNumberFormat="1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4" fontId="8" fillId="0" borderId="16" xfId="3" applyNumberFormat="1" applyFont="1" applyBorder="1"/>
    <xf numFmtId="4" fontId="8" fillId="0" borderId="16" xfId="3" applyNumberFormat="1" applyFont="1" applyBorder="1" applyAlignment="1">
      <alignment horizontal="right"/>
    </xf>
    <xf numFmtId="0" fontId="2" fillId="0" borderId="18" xfId="0" applyFont="1" applyFill="1" applyBorder="1"/>
    <xf numFmtId="0" fontId="2" fillId="0" borderId="0" xfId="0" applyFont="1" applyFill="1"/>
    <xf numFmtId="0" fontId="10" fillId="0" borderId="8" xfId="3" applyFont="1" applyFill="1" applyBorder="1" applyAlignment="1">
      <alignment horizontal="center" vertical="center" wrapText="1"/>
    </xf>
    <xf numFmtId="43" fontId="10" fillId="6" borderId="9" xfId="1" applyNumberFormat="1" applyFont="1" applyFill="1" applyBorder="1"/>
    <xf numFmtId="0" fontId="8" fillId="0" borderId="21" xfId="3" applyFont="1" applyBorder="1" applyAlignment="1">
      <alignment horizontal="center" vertical="center"/>
    </xf>
    <xf numFmtId="0" fontId="10" fillId="8" borderId="11" xfId="3" applyFont="1" applyFill="1" applyBorder="1" applyAlignment="1">
      <alignment horizontal="center" vertical="center"/>
    </xf>
    <xf numFmtId="4" fontId="10" fillId="8" borderId="11" xfId="3" applyNumberFormat="1" applyFont="1" applyFill="1" applyBorder="1" applyAlignment="1">
      <alignment vertical="center"/>
    </xf>
    <xf numFmtId="43" fontId="10" fillId="8" borderId="11" xfId="1" applyNumberFormat="1" applyFont="1" applyFill="1" applyBorder="1"/>
    <xf numFmtId="4" fontId="10" fillId="8" borderId="12" xfId="3" applyNumberFormat="1" applyFont="1" applyFill="1" applyBorder="1" applyAlignment="1">
      <alignment vertical="center"/>
    </xf>
    <xf numFmtId="2" fontId="10" fillId="0" borderId="8" xfId="2" applyNumberFormat="1" applyFont="1" applyFill="1" applyBorder="1" applyAlignment="1"/>
    <xf numFmtId="0" fontId="8" fillId="0" borderId="26" xfId="3" applyFont="1" applyFill="1" applyBorder="1" applyAlignment="1">
      <alignment horizontal="center"/>
    </xf>
    <xf numFmtId="0" fontId="8" fillId="0" borderId="14" xfId="3" applyFont="1" applyFill="1" applyBorder="1" applyAlignment="1">
      <alignment horizontal="left" wrapText="1"/>
    </xf>
    <xf numFmtId="0" fontId="8" fillId="0" borderId="22" xfId="3" applyFont="1" applyBorder="1" applyAlignment="1">
      <alignment horizontal="center"/>
    </xf>
    <xf numFmtId="0" fontId="8" fillId="0" borderId="11" xfId="3" applyFont="1" applyBorder="1" applyAlignment="1">
      <alignment horizontal="left" wrapText="1"/>
    </xf>
    <xf numFmtId="164" fontId="8" fillId="0" borderId="11" xfId="3" applyNumberFormat="1" applyFont="1" applyBorder="1"/>
    <xf numFmtId="0" fontId="8" fillId="0" borderId="11" xfId="3" applyFont="1" applyBorder="1" applyAlignment="1">
      <alignment horizontal="center" vertical="center"/>
    </xf>
    <xf numFmtId="165" fontId="8" fillId="0" borderId="11" xfId="3" applyNumberFormat="1" applyFont="1" applyBorder="1"/>
    <xf numFmtId="4" fontId="8" fillId="0" borderId="11" xfId="3" applyNumberFormat="1" applyFont="1" applyBorder="1" applyAlignment="1">
      <alignment horizontal="right"/>
    </xf>
    <xf numFmtId="0" fontId="8" fillId="0" borderId="11" xfId="3" applyFont="1" applyBorder="1"/>
    <xf numFmtId="4" fontId="8" fillId="0" borderId="11" xfId="3" applyNumberFormat="1" applyFont="1" applyBorder="1"/>
    <xf numFmtId="165" fontId="8" fillId="0" borderId="12" xfId="3" applyNumberFormat="1" applyFont="1" applyBorder="1"/>
    <xf numFmtId="43" fontId="0" fillId="0" borderId="0" xfId="0" applyNumberFormat="1" applyAlignment="1">
      <alignment horizontal="center" vertical="center"/>
    </xf>
    <xf numFmtId="0" fontId="8" fillId="3" borderId="22" xfId="3" applyFont="1" applyFill="1" applyBorder="1" applyAlignment="1">
      <alignment horizontal="center"/>
    </xf>
    <xf numFmtId="0" fontId="10" fillId="8" borderId="11" xfId="3" applyFont="1" applyFill="1" applyBorder="1" applyAlignment="1">
      <alignment horizontal="center"/>
    </xf>
    <xf numFmtId="4" fontId="10" fillId="8" borderId="11" xfId="3" applyNumberFormat="1" applyFont="1" applyFill="1" applyBorder="1"/>
    <xf numFmtId="4" fontId="10" fillId="8" borderId="12" xfId="3" applyNumberFormat="1" applyFont="1" applyFill="1" applyBorder="1"/>
    <xf numFmtId="0" fontId="8" fillId="0" borderId="8" xfId="3" applyFont="1" applyFill="1" applyBorder="1" applyAlignment="1">
      <alignment horizontal="center"/>
    </xf>
    <xf numFmtId="4" fontId="8" fillId="0" borderId="21" xfId="3" applyNumberFormat="1" applyFont="1" applyFill="1" applyBorder="1"/>
    <xf numFmtId="165" fontId="8" fillId="0" borderId="21" xfId="3" applyNumberFormat="1" applyFont="1" applyBorder="1"/>
    <xf numFmtId="4" fontId="8" fillId="0" borderId="25" xfId="3" applyNumberFormat="1" applyFont="1" applyFill="1" applyBorder="1"/>
    <xf numFmtId="0" fontId="10" fillId="3" borderId="5" xfId="3" applyFont="1" applyFill="1" applyBorder="1" applyAlignment="1">
      <alignment horizontal="left" wrapText="1"/>
    </xf>
    <xf numFmtId="164" fontId="10" fillId="3" borderId="5" xfId="3" applyNumberFormat="1" applyFont="1" applyFill="1" applyBorder="1"/>
    <xf numFmtId="1" fontId="17" fillId="3" borderId="5" xfId="3" applyNumberFormat="1" applyFont="1" applyFill="1" applyBorder="1" applyAlignment="1">
      <alignment horizontal="center"/>
    </xf>
    <xf numFmtId="4" fontId="17" fillId="3" borderId="5" xfId="3" applyNumberFormat="1" applyFont="1" applyFill="1" applyBorder="1"/>
    <xf numFmtId="0" fontId="10" fillId="8" borderId="11" xfId="1" applyNumberFormat="1" applyFont="1" applyFill="1" applyBorder="1" applyAlignment="1">
      <alignment horizontal="center"/>
    </xf>
    <xf numFmtId="43" fontId="10" fillId="8" borderId="11" xfId="1" applyNumberFormat="1" applyFont="1" applyFill="1" applyBorder="1" applyAlignment="1">
      <alignment horizontal="center"/>
    </xf>
    <xf numFmtId="4" fontId="10" fillId="3" borderId="12" xfId="3" applyNumberFormat="1" applyFont="1" applyFill="1" applyBorder="1"/>
    <xf numFmtId="165" fontId="10" fillId="0" borderId="19" xfId="1" applyFont="1" applyFill="1" applyBorder="1" applyAlignment="1"/>
    <xf numFmtId="164" fontId="10" fillId="7" borderId="30" xfId="3" applyNumberFormat="1" applyFont="1" applyFill="1" applyBorder="1"/>
    <xf numFmtId="1" fontId="10" fillId="7" borderId="30" xfId="3" applyNumberFormat="1" applyFont="1" applyFill="1" applyBorder="1" applyAlignment="1">
      <alignment horizontal="center"/>
    </xf>
    <xf numFmtId="4" fontId="10" fillId="7" borderId="30" xfId="3" applyNumberFormat="1" applyFont="1" applyFill="1" applyBorder="1"/>
    <xf numFmtId="4" fontId="10" fillId="7" borderId="31" xfId="3" applyNumberFormat="1" applyFont="1" applyFill="1" applyBorder="1"/>
    <xf numFmtId="3" fontId="10" fillId="3" borderId="5" xfId="3" applyNumberFormat="1" applyFont="1" applyFill="1" applyBorder="1" applyAlignment="1">
      <alignment horizontal="center"/>
    </xf>
    <xf numFmtId="4" fontId="10" fillId="3" borderId="5" xfId="3" applyNumberFormat="1" applyFont="1" applyFill="1" applyBorder="1"/>
    <xf numFmtId="4" fontId="10" fillId="3" borderId="6" xfId="3" applyNumberFormat="1" applyFont="1" applyFill="1" applyBorder="1"/>
    <xf numFmtId="3" fontId="10" fillId="8" borderId="11" xfId="3" applyNumberFormat="1" applyFont="1" applyFill="1" applyBorder="1" applyAlignment="1">
      <alignment horizontal="center"/>
    </xf>
    <xf numFmtId="0" fontId="8" fillId="0" borderId="23" xfId="3" applyFont="1" applyBorder="1" applyAlignment="1">
      <alignment horizontal="center"/>
    </xf>
    <xf numFmtId="1" fontId="8" fillId="0" borderId="14" xfId="3" applyNumberFormat="1" applyFont="1" applyFill="1" applyBorder="1" applyAlignment="1">
      <alignment horizontal="center"/>
    </xf>
    <xf numFmtId="43" fontId="8" fillId="0" borderId="14" xfId="1" applyNumberFormat="1" applyFont="1" applyFill="1" applyBorder="1"/>
    <xf numFmtId="43" fontId="8" fillId="0" borderId="19" xfId="1" applyNumberFormat="1" applyFont="1" applyFill="1" applyBorder="1"/>
    <xf numFmtId="0" fontId="0" fillId="0" borderId="24" xfId="0" applyBorder="1"/>
    <xf numFmtId="0" fontId="10" fillId="0" borderId="24" xfId="3" applyFont="1" applyBorder="1" applyAlignment="1">
      <alignment horizontal="left" wrapText="1"/>
    </xf>
    <xf numFmtId="0" fontId="10" fillId="7" borderId="8" xfId="3" applyFont="1" applyFill="1" applyBorder="1" applyAlignment="1">
      <alignment horizontal="left" wrapText="1"/>
    </xf>
    <xf numFmtId="1" fontId="10" fillId="7" borderId="8" xfId="3" applyNumberFormat="1" applyFont="1" applyFill="1" applyBorder="1" applyAlignment="1">
      <alignment horizontal="center"/>
    </xf>
    <xf numFmtId="43" fontId="10" fillId="7" borderId="8" xfId="1" applyNumberFormat="1" applyFont="1" applyFill="1" applyBorder="1"/>
    <xf numFmtId="0" fontId="8" fillId="0" borderId="24" xfId="3" applyFont="1" applyBorder="1" applyAlignment="1">
      <alignment horizontal="left" wrapText="1"/>
    </xf>
    <xf numFmtId="1" fontId="8" fillId="6" borderId="16" xfId="3" applyNumberFormat="1" applyFont="1" applyFill="1" applyBorder="1" applyAlignment="1">
      <alignment horizontal="center"/>
    </xf>
    <xf numFmtId="43" fontId="8" fillId="0" borderId="16" xfId="1" applyNumberFormat="1" applyFont="1" applyFill="1" applyBorder="1"/>
    <xf numFmtId="43" fontId="8" fillId="0" borderId="17" xfId="1" applyNumberFormat="1" applyFont="1" applyFill="1" applyBorder="1"/>
    <xf numFmtId="0" fontId="8" fillId="0" borderId="16" xfId="3" applyFont="1" applyBorder="1" applyAlignment="1">
      <alignment horizontal="center" vertical="center"/>
    </xf>
    <xf numFmtId="4" fontId="8" fillId="0" borderId="17" xfId="3" applyNumberFormat="1" applyFont="1" applyBorder="1"/>
    <xf numFmtId="1" fontId="8" fillId="0" borderId="16" xfId="3" applyNumberFormat="1" applyFont="1" applyBorder="1" applyAlignment="1">
      <alignment horizontal="center"/>
    </xf>
    <xf numFmtId="0" fontId="8" fillId="0" borderId="15" xfId="3" applyFont="1" applyBorder="1" applyAlignment="1">
      <alignment horizontal="left" wrapText="1"/>
    </xf>
    <xf numFmtId="164" fontId="8" fillId="0" borderId="16" xfId="3" applyNumberFormat="1" applyFont="1" applyBorder="1"/>
    <xf numFmtId="4" fontId="10" fillId="0" borderId="16" xfId="3" applyNumberFormat="1" applyFont="1" applyBorder="1" applyAlignment="1">
      <alignment horizontal="center"/>
    </xf>
    <xf numFmtId="165" fontId="8" fillId="0" borderId="16" xfId="3" applyNumberFormat="1" applyFont="1" applyBorder="1"/>
    <xf numFmtId="164" fontId="8" fillId="3" borderId="30" xfId="3" applyNumberFormat="1" applyFont="1" applyFill="1" applyBorder="1"/>
    <xf numFmtId="0" fontId="8" fillId="3" borderId="30" xfId="3" applyFont="1" applyFill="1" applyBorder="1" applyAlignment="1">
      <alignment horizontal="center" vertical="center"/>
    </xf>
    <xf numFmtId="165" fontId="8" fillId="3" borderId="30" xfId="3" applyNumberFormat="1" applyFont="1" applyFill="1" applyBorder="1"/>
    <xf numFmtId="4" fontId="8" fillId="3" borderId="30" xfId="3" applyNumberFormat="1" applyFont="1" applyFill="1" applyBorder="1" applyAlignment="1">
      <alignment horizontal="right"/>
    </xf>
    <xf numFmtId="0" fontId="8" fillId="3" borderId="38" xfId="3" applyFont="1" applyFill="1" applyBorder="1" applyAlignment="1">
      <alignment horizontal="center"/>
    </xf>
    <xf numFmtId="1" fontId="10" fillId="8" borderId="11" xfId="3" applyNumberFormat="1" applyFont="1" applyFill="1" applyBorder="1" applyAlignment="1">
      <alignment horizontal="center"/>
    </xf>
    <xf numFmtId="43" fontId="10" fillId="8" borderId="12" xfId="1" applyNumberFormat="1" applyFont="1" applyFill="1" applyBorder="1"/>
    <xf numFmtId="0" fontId="10" fillId="0" borderId="0" xfId="3" applyFont="1" applyBorder="1" applyAlignment="1">
      <alignment horizontal="left" wrapText="1"/>
    </xf>
    <xf numFmtId="0" fontId="10" fillId="7" borderId="15" xfId="3" applyFont="1" applyFill="1" applyBorder="1" applyAlignment="1">
      <alignment horizontal="left" wrapText="1"/>
    </xf>
    <xf numFmtId="1" fontId="10" fillId="7" borderId="16" xfId="3" applyNumberFormat="1" applyFont="1" applyFill="1" applyBorder="1" applyAlignment="1">
      <alignment horizontal="center"/>
    </xf>
    <xf numFmtId="43" fontId="10" fillId="7" borderId="16" xfId="1" applyNumberFormat="1" applyFont="1" applyFill="1" applyBorder="1"/>
    <xf numFmtId="0" fontId="8" fillId="0" borderId="32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10" fillId="7" borderId="39" xfId="3" applyFont="1" applyFill="1" applyBorder="1" applyAlignment="1">
      <alignment horizontal="left" wrapText="1"/>
    </xf>
    <xf numFmtId="0" fontId="10" fillId="3" borderId="30" xfId="3" applyFont="1" applyFill="1" applyBorder="1" applyAlignment="1">
      <alignment horizontal="center"/>
    </xf>
    <xf numFmtId="4" fontId="10" fillId="3" borderId="30" xfId="3" applyNumberFormat="1" applyFont="1" applyFill="1" applyBorder="1"/>
    <xf numFmtId="4" fontId="10" fillId="3" borderId="31" xfId="3" applyNumberFormat="1" applyFont="1" applyFill="1" applyBorder="1"/>
    <xf numFmtId="0" fontId="10" fillId="0" borderId="14" xfId="3" applyFont="1" applyBorder="1" applyAlignment="1">
      <alignment horizontal="left" wrapText="1"/>
    </xf>
    <xf numFmtId="0" fontId="10" fillId="7" borderId="14" xfId="3" applyFont="1" applyFill="1" applyBorder="1" applyAlignment="1">
      <alignment horizontal="left" wrapText="1"/>
    </xf>
    <xf numFmtId="1" fontId="10" fillId="7" borderId="14" xfId="3" applyNumberFormat="1" applyFont="1" applyFill="1" applyBorder="1" applyAlignment="1">
      <alignment horizontal="center"/>
    </xf>
    <xf numFmtId="43" fontId="10" fillId="7" borderId="14" xfId="1" applyNumberFormat="1" applyFont="1" applyFill="1" applyBorder="1"/>
    <xf numFmtId="0" fontId="10" fillId="3" borderId="35" xfId="3" applyFont="1" applyFill="1" applyBorder="1" applyAlignment="1">
      <alignment horizontal="left" wrapText="1"/>
    </xf>
    <xf numFmtId="0" fontId="8" fillId="0" borderId="29" xfId="3" applyFont="1" applyBorder="1" applyAlignment="1">
      <alignment horizontal="center"/>
    </xf>
    <xf numFmtId="4" fontId="8" fillId="0" borderId="12" xfId="3" applyNumberFormat="1" applyFont="1" applyBorder="1"/>
    <xf numFmtId="0" fontId="10" fillId="3" borderId="13" xfId="3" applyFont="1" applyFill="1" applyBorder="1" applyAlignment="1">
      <alignment horizontal="left" wrapText="1"/>
    </xf>
    <xf numFmtId="166" fontId="0" fillId="0" borderId="0" xfId="2" applyFont="1" applyFill="1"/>
    <xf numFmtId="0" fontId="8" fillId="0" borderId="8" xfId="3" quotePrefix="1" applyFont="1" applyFill="1" applyBorder="1" applyAlignment="1">
      <alignment horizontal="left" wrapText="1"/>
    </xf>
    <xf numFmtId="0" fontId="18" fillId="0" borderId="18" xfId="0" applyFont="1" applyFill="1" applyBorder="1"/>
    <xf numFmtId="0" fontId="4" fillId="0" borderId="24" xfId="3" applyFont="1" applyFill="1" applyBorder="1" applyAlignment="1">
      <alignment horizontal="center"/>
    </xf>
    <xf numFmtId="0" fontId="4" fillId="0" borderId="8" xfId="3" applyFont="1" applyFill="1" applyBorder="1" applyAlignment="1">
      <alignment horizontal="left" wrapText="1"/>
    </xf>
    <xf numFmtId="164" fontId="4" fillId="0" borderId="8" xfId="3" applyNumberFormat="1" applyFont="1" applyFill="1" applyBorder="1"/>
    <xf numFmtId="4" fontId="4" fillId="0" borderId="8" xfId="3" applyNumberFormat="1" applyFont="1" applyFill="1" applyBorder="1"/>
    <xf numFmtId="0" fontId="18" fillId="0" borderId="0" xfId="0" applyFont="1" applyFill="1"/>
    <xf numFmtId="4" fontId="0" fillId="0" borderId="0" xfId="0" applyNumberFormat="1" applyBorder="1" applyAlignment="1">
      <alignment horizontal="center" vertical="center"/>
    </xf>
    <xf numFmtId="4" fontId="8" fillId="0" borderId="12" xfId="3" applyNumberFormat="1" applyFont="1" applyFill="1" applyBorder="1"/>
    <xf numFmtId="0" fontId="8" fillId="0" borderId="24" xfId="3" applyFont="1" applyBorder="1" applyAlignment="1">
      <alignment horizontal="left" wrapText="1"/>
    </xf>
    <xf numFmtId="0" fontId="8" fillId="0" borderId="24" xfId="3" applyFont="1" applyBorder="1" applyAlignment="1">
      <alignment horizontal="center"/>
    </xf>
    <xf numFmtId="0" fontId="10" fillId="0" borderId="8" xfId="3" applyFont="1" applyBorder="1" applyAlignment="1">
      <alignment horizontal="center" wrapText="1"/>
    </xf>
    <xf numFmtId="0" fontId="10" fillId="0" borderId="8" xfId="3" applyFont="1" applyFill="1" applyBorder="1" applyAlignment="1">
      <alignment horizontal="center" wrapText="1"/>
    </xf>
    <xf numFmtId="0" fontId="8" fillId="0" borderId="24" xfId="3" applyFont="1" applyBorder="1" applyAlignment="1">
      <alignment horizontal="center"/>
    </xf>
    <xf numFmtId="43" fontId="10" fillId="5" borderId="8" xfId="3" applyNumberFormat="1" applyFont="1" applyFill="1" applyBorder="1" applyAlignment="1">
      <alignment horizontal="center" vertical="center"/>
    </xf>
    <xf numFmtId="165" fontId="10" fillId="5" borderId="8" xfId="1" applyFont="1" applyFill="1" applyBorder="1" applyAlignment="1">
      <alignment horizontal="right"/>
    </xf>
    <xf numFmtId="165" fontId="10" fillId="5" borderId="8" xfId="1" applyFont="1" applyFill="1" applyBorder="1" applyAlignment="1">
      <alignment horizontal="right" vertical="center"/>
    </xf>
    <xf numFmtId="0" fontId="10" fillId="7" borderId="39" xfId="3" applyFont="1" applyFill="1" applyBorder="1" applyAlignment="1">
      <alignment horizontal="left" vertical="center" wrapText="1"/>
    </xf>
    <xf numFmtId="0" fontId="8" fillId="0" borderId="8" xfId="3" applyFont="1" applyBorder="1" applyAlignment="1">
      <alignment horizontal="left" wrapText="1"/>
    </xf>
    <xf numFmtId="0" fontId="8" fillId="0" borderId="24" xfId="3" applyFont="1" applyBorder="1" applyAlignment="1">
      <alignment horizontal="center"/>
    </xf>
    <xf numFmtId="0" fontId="8" fillId="0" borderId="8" xfId="3" applyFont="1" applyFill="1" applyBorder="1" applyAlignment="1">
      <alignment horizontal="left" wrapText="1"/>
    </xf>
    <xf numFmtId="43" fontId="0" fillId="0" borderId="0" xfId="0" applyNumberFormat="1" applyFill="1" applyBorder="1" applyAlignment="1">
      <alignment horizontal="center" vertical="center"/>
    </xf>
    <xf numFmtId="4" fontId="10" fillId="3" borderId="12" xfId="3" applyNumberFormat="1" applyFont="1" applyFill="1" applyBorder="1" applyAlignment="1">
      <alignment vertical="center"/>
    </xf>
    <xf numFmtId="43" fontId="10" fillId="8" borderId="12" xfId="1" applyNumberFormat="1" applyFont="1" applyFill="1" applyBorder="1" applyAlignment="1">
      <alignment horizontal="center"/>
    </xf>
    <xf numFmtId="0" fontId="8" fillId="0" borderId="8" xfId="3" applyFont="1" applyFill="1" applyBorder="1" applyAlignment="1">
      <alignment horizontal="left" wrapText="1"/>
    </xf>
    <xf numFmtId="0" fontId="8" fillId="0" borderId="8" xfId="3" applyFont="1" applyBorder="1" applyAlignment="1">
      <alignment horizontal="left" wrapText="1"/>
    </xf>
    <xf numFmtId="0" fontId="8" fillId="0" borderId="24" xfId="3" applyFont="1" applyBorder="1" applyAlignment="1">
      <alignment horizontal="center"/>
    </xf>
    <xf numFmtId="0" fontId="8" fillId="0" borderId="24" xfId="3" applyFont="1" applyBorder="1" applyAlignment="1">
      <alignment horizontal="center"/>
    </xf>
    <xf numFmtId="0" fontId="8" fillId="0" borderId="8" xfId="3" applyFont="1" applyBorder="1" applyAlignment="1">
      <alignment horizontal="left" wrapText="1"/>
    </xf>
    <xf numFmtId="0" fontId="8" fillId="0" borderId="8" xfId="3" applyFont="1" applyFill="1" applyBorder="1" applyAlignment="1">
      <alignment horizontal="left" wrapText="1"/>
    </xf>
    <xf numFmtId="0" fontId="8" fillId="0" borderId="14" xfId="3" applyFont="1" applyBorder="1" applyAlignment="1">
      <alignment horizontal="left" vertical="center" wrapText="1"/>
    </xf>
    <xf numFmtId="0" fontId="8" fillId="0" borderId="8" xfId="3" applyFont="1" applyBorder="1" applyAlignment="1">
      <alignment horizontal="left" vertical="center" wrapText="1"/>
    </xf>
    <xf numFmtId="0" fontId="8" fillId="0" borderId="8" xfId="3" quotePrefix="1" applyFont="1" applyFill="1" applyBorder="1" applyAlignment="1">
      <alignment horizontal="left" vertical="center" wrapText="1"/>
    </xf>
    <xf numFmtId="0" fontId="8" fillId="0" borderId="8" xfId="3" applyFont="1" applyFill="1" applyBorder="1" applyAlignment="1">
      <alignment horizontal="left" vertical="center" wrapText="1"/>
    </xf>
    <xf numFmtId="0" fontId="10" fillId="8" borderId="11" xfId="3" applyFont="1" applyFill="1" applyBorder="1" applyAlignment="1">
      <alignment horizontal="center" vertical="center" wrapText="1"/>
    </xf>
    <xf numFmtId="0" fontId="10" fillId="3" borderId="14" xfId="3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2" borderId="1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left" vertical="center" wrapText="1"/>
    </xf>
    <xf numFmtId="0" fontId="8" fillId="3" borderId="8" xfId="3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165" fontId="10" fillId="3" borderId="5" xfId="3" applyNumberFormat="1" applyFont="1" applyFill="1" applyBorder="1" applyAlignment="1">
      <alignment horizontal="center" vertical="center" wrapText="1"/>
    </xf>
    <xf numFmtId="165" fontId="10" fillId="3" borderId="8" xfId="3" applyNumberFormat="1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wrapText="1"/>
    </xf>
    <xf numFmtId="0" fontId="10" fillId="3" borderId="6" xfId="3" applyFont="1" applyFill="1" applyBorder="1" applyAlignment="1">
      <alignment horizontal="center" wrapText="1"/>
    </xf>
    <xf numFmtId="0" fontId="10" fillId="8" borderId="21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left" wrapText="1"/>
    </xf>
    <xf numFmtId="0" fontId="10" fillId="8" borderId="8" xfId="3" applyFont="1" applyFill="1" applyBorder="1" applyAlignment="1">
      <alignment horizontal="center" vertical="center" wrapText="1"/>
    </xf>
    <xf numFmtId="0" fontId="10" fillId="0" borderId="14" xfId="3" applyFont="1" applyBorder="1" applyAlignment="1">
      <alignment horizontal="center" wrapText="1"/>
    </xf>
    <xf numFmtId="0" fontId="10" fillId="0" borderId="8" xfId="3" applyFont="1" applyBorder="1" applyAlignment="1">
      <alignment horizontal="center" wrapText="1"/>
    </xf>
    <xf numFmtId="0" fontId="10" fillId="0" borderId="8" xfId="3" applyFont="1" applyFill="1" applyBorder="1" applyAlignment="1">
      <alignment horizontal="center" wrapText="1"/>
    </xf>
    <xf numFmtId="0" fontId="10" fillId="6" borderId="14" xfId="3" applyFont="1" applyFill="1" applyBorder="1" applyAlignment="1">
      <alignment horizontal="center" wrapText="1"/>
    </xf>
    <xf numFmtId="0" fontId="10" fillId="8" borderId="11" xfId="3" applyFont="1" applyFill="1" applyBorder="1" applyAlignment="1">
      <alignment horizontal="left" wrapText="1"/>
    </xf>
    <xf numFmtId="0" fontId="8" fillId="0" borderId="37" xfId="3" applyFont="1" applyBorder="1" applyAlignment="1">
      <alignment horizontal="left" wrapText="1"/>
    </xf>
    <xf numFmtId="0" fontId="8" fillId="0" borderId="24" xfId="3" applyFont="1" applyBorder="1" applyAlignment="1">
      <alignment horizontal="left" wrapText="1"/>
    </xf>
    <xf numFmtId="0" fontId="8" fillId="0" borderId="36" xfId="3" applyFont="1" applyBorder="1" applyAlignment="1">
      <alignment horizontal="center" vertical="center" wrapText="1"/>
    </xf>
    <xf numFmtId="0" fontId="8" fillId="0" borderId="20" xfId="3" applyFont="1" applyBorder="1" applyAlignment="1">
      <alignment horizontal="center" vertical="center" wrapText="1"/>
    </xf>
    <xf numFmtId="0" fontId="8" fillId="0" borderId="27" xfId="3" applyFont="1" applyBorder="1" applyAlignment="1">
      <alignment horizontal="center" vertical="center" wrapText="1"/>
    </xf>
    <xf numFmtId="0" fontId="8" fillId="0" borderId="26" xfId="3" applyFont="1" applyBorder="1" applyAlignment="1">
      <alignment horizontal="center" vertical="center" wrapText="1"/>
    </xf>
    <xf numFmtId="0" fontId="8" fillId="0" borderId="36" xfId="3" applyFont="1" applyBorder="1" applyAlignment="1">
      <alignment horizontal="center" wrapText="1"/>
    </xf>
    <xf numFmtId="0" fontId="8" fillId="0" borderId="20" xfId="3" applyFont="1" applyBorder="1" applyAlignment="1">
      <alignment horizontal="center" wrapText="1"/>
    </xf>
    <xf numFmtId="0" fontId="8" fillId="0" borderId="27" xfId="3" applyFont="1" applyBorder="1" applyAlignment="1">
      <alignment horizontal="center" wrapText="1"/>
    </xf>
    <xf numFmtId="0" fontId="8" fillId="0" borderId="26" xfId="3" applyFont="1" applyBorder="1" applyAlignment="1">
      <alignment horizontal="center" wrapText="1"/>
    </xf>
    <xf numFmtId="0" fontId="8" fillId="0" borderId="32" xfId="3" applyFont="1" applyBorder="1" applyAlignment="1">
      <alignment horizontal="center"/>
    </xf>
    <xf numFmtId="0" fontId="8" fillId="0" borderId="24" xfId="3" applyFont="1" applyBorder="1" applyAlignment="1">
      <alignment horizontal="center"/>
    </xf>
    <xf numFmtId="0" fontId="8" fillId="0" borderId="8" xfId="3" applyFont="1" applyBorder="1" applyAlignment="1">
      <alignment horizontal="left" wrapText="1"/>
    </xf>
    <xf numFmtId="0" fontId="10" fillId="3" borderId="33" xfId="3" applyFont="1" applyFill="1" applyBorder="1" applyAlignment="1">
      <alignment horizontal="left" vertical="center" wrapText="1"/>
    </xf>
    <xf numFmtId="0" fontId="10" fillId="3" borderId="23" xfId="3" applyFont="1" applyFill="1" applyBorder="1" applyAlignment="1">
      <alignment horizontal="left" vertical="center" wrapText="1"/>
    </xf>
    <xf numFmtId="0" fontId="10" fillId="3" borderId="34" xfId="3" applyFont="1" applyFill="1" applyBorder="1" applyAlignment="1">
      <alignment horizontal="left" wrapText="1"/>
    </xf>
    <xf numFmtId="0" fontId="10" fillId="3" borderId="35" xfId="3" applyFont="1" applyFill="1" applyBorder="1" applyAlignment="1">
      <alignment horizontal="left" wrapText="1"/>
    </xf>
    <xf numFmtId="0" fontId="8" fillId="0" borderId="8" xfId="3" applyFont="1" applyFill="1" applyBorder="1" applyAlignment="1">
      <alignment horizontal="left" wrapText="1"/>
    </xf>
    <xf numFmtId="0" fontId="10" fillId="3" borderId="29" xfId="3" applyFont="1" applyFill="1" applyBorder="1" applyAlignment="1">
      <alignment horizontal="left" wrapText="1"/>
    </xf>
    <xf numFmtId="0" fontId="10" fillId="3" borderId="40" xfId="3" applyFont="1" applyFill="1" applyBorder="1" applyAlignment="1">
      <alignment horizontal="left" wrapText="1"/>
    </xf>
    <xf numFmtId="0" fontId="10" fillId="3" borderId="23" xfId="3" applyFont="1" applyFill="1" applyBorder="1" applyAlignment="1">
      <alignment horizontal="left" wrapText="1"/>
    </xf>
    <xf numFmtId="0" fontId="10" fillId="8" borderId="41" xfId="3" applyFont="1" applyFill="1" applyBorder="1" applyAlignment="1">
      <alignment horizontal="left" wrapText="1"/>
    </xf>
    <xf numFmtId="0" fontId="10" fillId="8" borderId="22" xfId="3" applyFont="1" applyFill="1" applyBorder="1" applyAlignment="1">
      <alignment horizontal="left" wrapText="1"/>
    </xf>
    <xf numFmtId="0" fontId="8" fillId="0" borderId="40" xfId="3" applyFont="1" applyBorder="1" applyAlignment="1">
      <alignment horizontal="left" wrapText="1"/>
    </xf>
    <xf numFmtId="0" fontId="8" fillId="0" borderId="23" xfId="3" applyFont="1" applyBorder="1" applyAlignment="1">
      <alignment horizontal="left" wrapText="1"/>
    </xf>
    <xf numFmtId="0" fontId="10" fillId="3" borderId="40" xfId="3" applyFont="1" applyFill="1" applyBorder="1" applyAlignment="1">
      <alignment horizontal="center" vertical="center" wrapText="1"/>
    </xf>
    <xf numFmtId="0" fontId="10" fillId="3" borderId="23" xfId="3" applyFont="1" applyFill="1" applyBorder="1" applyAlignment="1">
      <alignment horizontal="center" vertical="center" wrapText="1"/>
    </xf>
  </cellXfs>
  <cellStyles count="5">
    <cellStyle name="Millares" xfId="1" builtinId="3"/>
    <cellStyle name="Moneda" xfId="2" builtinId="4"/>
    <cellStyle name="Normal" xfId="0" builtinId="0"/>
    <cellStyle name="Normal 2" xfId="3"/>
    <cellStyle name="Normal 4" xfId="4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271821</xdr:colOff>
      <xdr:row>0</xdr:row>
      <xdr:rowOff>46433</xdr:rowOff>
    </xdr:from>
    <xdr:to>
      <xdr:col>3</xdr:col>
      <xdr:colOff>145677</xdr:colOff>
      <xdr:row>4</xdr:row>
      <xdr:rowOff>149623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2262" y="46433"/>
          <a:ext cx="1745238" cy="1022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76"/>
  <sheetViews>
    <sheetView tabSelected="1" zoomScale="85" zoomScaleNormal="85" zoomScaleSheetLayoutView="55" workbookViewId="0">
      <selection activeCell="A11" sqref="A1:XFD11"/>
    </sheetView>
  </sheetViews>
  <sheetFormatPr baseColWidth="10" defaultRowHeight="15" x14ac:dyDescent="0.25"/>
  <cols>
    <col min="1" max="1" width="1.28515625" customWidth="1"/>
    <col min="2" max="2" width="10.5703125" customWidth="1"/>
    <col min="3" max="3" width="28" customWidth="1"/>
    <col min="4" max="4" width="12.42578125" customWidth="1"/>
    <col min="5" max="5" width="13.7109375" customWidth="1"/>
    <col min="6" max="6" width="20.140625" customWidth="1"/>
    <col min="7" max="7" width="15.7109375" customWidth="1"/>
    <col min="8" max="8" width="15.5703125" customWidth="1"/>
    <col min="9" max="9" width="16.7109375" customWidth="1"/>
    <col min="10" max="11" width="17.42578125" customWidth="1"/>
    <col min="12" max="12" width="17.140625" customWidth="1"/>
    <col min="13" max="13" width="17.28515625" customWidth="1"/>
    <col min="14" max="14" width="18.140625" bestFit="1" customWidth="1"/>
    <col min="15" max="15" width="18.5703125" bestFit="1" customWidth="1"/>
    <col min="16" max="16" width="17.42578125" bestFit="1" customWidth="1"/>
    <col min="17" max="17" width="17.42578125" customWidth="1"/>
    <col min="18" max="18" width="18.7109375" customWidth="1"/>
    <col min="19" max="19" width="15.85546875" style="2" hidden="1" customWidth="1"/>
    <col min="20" max="20" width="17.140625" customWidth="1"/>
    <col min="21" max="21" width="15.28515625" customWidth="1"/>
    <col min="22" max="22" width="16.42578125" customWidth="1"/>
    <col min="23" max="23" width="15.42578125" customWidth="1"/>
    <col min="24" max="26" width="11.5703125" customWidth="1"/>
    <col min="27" max="27" width="32.85546875" bestFit="1" customWidth="1"/>
  </cols>
  <sheetData>
    <row r="2" spans="1:27" x14ac:dyDescent="0.25">
      <c r="F2" s="1"/>
      <c r="G2" s="1"/>
      <c r="H2" s="1"/>
      <c r="I2" s="1"/>
      <c r="J2" s="1"/>
      <c r="K2" s="1"/>
      <c r="L2" s="1"/>
      <c r="M2" s="1"/>
      <c r="N2" s="1"/>
      <c r="O2" s="1"/>
    </row>
    <row r="3" spans="1:27" ht="21" x14ac:dyDescent="0.35">
      <c r="B3" s="341" t="s">
        <v>0</v>
      </c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</row>
    <row r="4" spans="1:27" ht="21" x14ac:dyDescent="0.35">
      <c r="B4" s="341" t="s">
        <v>98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</row>
    <row r="6" spans="1:27" ht="15.75" x14ac:dyDescent="0.25">
      <c r="C6" s="3" t="s">
        <v>99</v>
      </c>
      <c r="D6" s="4"/>
      <c r="E6" s="3"/>
      <c r="F6" s="4"/>
    </row>
    <row r="7" spans="1:27" ht="15.75" x14ac:dyDescent="0.25">
      <c r="C7" s="3" t="s">
        <v>98</v>
      </c>
      <c r="D7" s="5"/>
      <c r="E7" s="3"/>
      <c r="F7" s="5"/>
    </row>
    <row r="8" spans="1:27" ht="15.75" x14ac:dyDescent="0.25">
      <c r="C8" s="3" t="s">
        <v>1</v>
      </c>
      <c r="D8" s="5"/>
      <c r="E8" s="3"/>
      <c r="F8" s="5"/>
      <c r="I8" s="6"/>
      <c r="L8" s="7"/>
      <c r="M8" s="6"/>
      <c r="N8" s="8"/>
    </row>
    <row r="9" spans="1:27" ht="15.75" x14ac:dyDescent="0.25">
      <c r="C9" s="3" t="s">
        <v>2</v>
      </c>
      <c r="D9" s="5"/>
      <c r="E9" s="3"/>
      <c r="F9" s="5"/>
      <c r="H9" s="7"/>
    </row>
    <row r="10" spans="1:27" ht="16.5" thickBot="1" x14ac:dyDescent="0.3">
      <c r="C10" s="3"/>
      <c r="D10" s="5"/>
      <c r="E10" s="3"/>
      <c r="F10" s="5"/>
      <c r="G10" s="7"/>
      <c r="H10" s="7"/>
      <c r="M10" s="7"/>
      <c r="Q10" s="7"/>
      <c r="R10" s="7"/>
    </row>
    <row r="11" spans="1:27" ht="66" customHeight="1" thickBot="1" x14ac:dyDescent="0.3">
      <c r="A11" s="9"/>
      <c r="B11" s="343" t="s">
        <v>3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5"/>
      <c r="V11" s="10"/>
      <c r="AA11" s="11"/>
    </row>
    <row r="12" spans="1:27" x14ac:dyDescent="0.25">
      <c r="A12" s="9"/>
      <c r="B12" s="12"/>
      <c r="C12" s="346" t="s">
        <v>4</v>
      </c>
      <c r="D12" s="348" t="s">
        <v>5</v>
      </c>
      <c r="E12" s="348" t="s">
        <v>6</v>
      </c>
      <c r="F12" s="350" t="s">
        <v>7</v>
      </c>
      <c r="G12" s="352" t="s">
        <v>8</v>
      </c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3"/>
    </row>
    <row r="13" spans="1:27" ht="23.25" customHeight="1" x14ac:dyDescent="0.25">
      <c r="A13" s="9"/>
      <c r="B13" s="13"/>
      <c r="C13" s="347"/>
      <c r="D13" s="349"/>
      <c r="E13" s="349"/>
      <c r="F13" s="351"/>
      <c r="G13" s="14" t="s">
        <v>9</v>
      </c>
      <c r="H13" s="14" t="s">
        <v>10</v>
      </c>
      <c r="I13" s="14" t="s">
        <v>11</v>
      </c>
      <c r="J13" s="14" t="s">
        <v>12</v>
      </c>
      <c r="K13" s="14" t="s">
        <v>13</v>
      </c>
      <c r="L13" s="14" t="s">
        <v>14</v>
      </c>
      <c r="M13" s="14" t="s">
        <v>15</v>
      </c>
      <c r="N13" s="14" t="s">
        <v>16</v>
      </c>
      <c r="O13" s="14" t="s">
        <v>17</v>
      </c>
      <c r="P13" s="14" t="s">
        <v>18</v>
      </c>
      <c r="Q13" s="14" t="s">
        <v>19</v>
      </c>
      <c r="R13" s="15" t="s">
        <v>20</v>
      </c>
      <c r="S13" s="2" t="s">
        <v>21</v>
      </c>
    </row>
    <row r="14" spans="1:27" ht="15" customHeight="1" x14ac:dyDescent="0.25">
      <c r="A14" s="9"/>
      <c r="B14" s="13"/>
      <c r="C14" s="16" t="s">
        <v>22</v>
      </c>
      <c r="D14" s="17"/>
      <c r="E14" s="18"/>
      <c r="F14" s="17"/>
      <c r="G14" s="19"/>
      <c r="H14" s="19"/>
      <c r="I14" s="19"/>
      <c r="J14" s="19"/>
      <c r="K14" s="19"/>
      <c r="L14" s="20"/>
      <c r="M14" s="19"/>
      <c r="N14" s="21"/>
      <c r="O14" s="19"/>
      <c r="P14" s="22"/>
      <c r="Q14" s="23"/>
      <c r="R14" s="24"/>
      <c r="S14" s="25"/>
      <c r="T14" s="7"/>
    </row>
    <row r="15" spans="1:27" ht="15.75" thickBot="1" x14ac:dyDescent="0.3">
      <c r="A15" s="9"/>
      <c r="B15" s="26"/>
      <c r="C15" s="27" t="s">
        <v>23</v>
      </c>
      <c r="D15" s="28"/>
      <c r="E15" s="29">
        <f>E20+E260+E304+E317+E345</f>
        <v>1079</v>
      </c>
      <c r="F15" s="30">
        <f>F22+F37+F50+F132+F195+F330+F210+F239+F262+F301+F306+F310+F314+F319+F359+F347</f>
        <v>30522447</v>
      </c>
      <c r="G15" s="30">
        <f t="shared" ref="G15:R15" si="0">G20+G260+G304+G317+G345</f>
        <v>2323739.85</v>
      </c>
      <c r="H15" s="30">
        <f t="shared" si="0"/>
        <v>2196656.29</v>
      </c>
      <c r="I15" s="30">
        <f t="shared" si="0"/>
        <v>2393921.6800000002</v>
      </c>
      <c r="J15" s="30">
        <f t="shared" si="0"/>
        <v>2201235.9000000004</v>
      </c>
      <c r="K15" s="30">
        <f t="shared" si="0"/>
        <v>2274610.4300000006</v>
      </c>
      <c r="L15" s="30">
        <f t="shared" si="0"/>
        <v>2201235.9000000004</v>
      </c>
      <c r="M15" s="30">
        <f t="shared" si="0"/>
        <v>2274610.4300000006</v>
      </c>
      <c r="N15" s="30">
        <f t="shared" si="0"/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327">
        <f t="shared" si="0"/>
        <v>14656436.519999998</v>
      </c>
      <c r="S15" s="31">
        <f>SUM(G15:R15)</f>
        <v>30522447</v>
      </c>
      <c r="T15" s="32"/>
      <c r="V15" s="33"/>
    </row>
    <row r="16" spans="1:27" x14ac:dyDescent="0.25">
      <c r="A16" s="9"/>
      <c r="B16" s="34"/>
      <c r="C16" s="35" t="s">
        <v>24</v>
      </c>
      <c r="D16" s="36"/>
      <c r="E16" s="37"/>
      <c r="F16" s="38">
        <f>F15-F17</f>
        <v>16452105.08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31">
        <f>+S15-F18</f>
        <v>29412075</v>
      </c>
      <c r="V16" s="33"/>
    </row>
    <row r="17" spans="1:24" x14ac:dyDescent="0.25">
      <c r="A17" s="41"/>
      <c r="B17" s="42"/>
      <c r="C17" s="35" t="s">
        <v>25</v>
      </c>
      <c r="D17" s="36"/>
      <c r="E17" s="37"/>
      <c r="F17" s="38">
        <f>F35+F43+F48+F67+F78+F87+F97+F105+F112+F118+F124+F130+F154+F166+F187+F193+F208+F344+F237+F259+F299+F279+F283+F287+F291+F295+F303+F308+F312+F316+F328+F375+F357</f>
        <v>14070341.92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3"/>
      <c r="T17" s="32"/>
      <c r="V17" s="33"/>
    </row>
    <row r="18" spans="1:24" x14ac:dyDescent="0.25">
      <c r="A18" s="41"/>
      <c r="B18" s="42"/>
      <c r="C18" s="44" t="s">
        <v>26</v>
      </c>
      <c r="D18" s="45"/>
      <c r="E18" s="46"/>
      <c r="F18" s="47">
        <f>F23+F39+F69+F80+F89+F99+F107+F114+F134+F157+F181+F196+F331+F240+F52+F211+F127+F120+F320+F348+F360+F264</f>
        <v>1110372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9"/>
      <c r="T18" s="32"/>
      <c r="V18" s="33"/>
    </row>
    <row r="19" spans="1:24" ht="14.25" customHeight="1" thickBot="1" x14ac:dyDescent="0.3">
      <c r="A19" s="41"/>
      <c r="B19" s="50"/>
      <c r="C19" s="51"/>
      <c r="D19" s="52"/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  <c r="T19" s="32"/>
    </row>
    <row r="20" spans="1:24" x14ac:dyDescent="0.25">
      <c r="A20" s="41"/>
      <c r="B20" s="56"/>
      <c r="C20" s="57" t="s">
        <v>27</v>
      </c>
      <c r="D20" s="58"/>
      <c r="E20" s="59">
        <f>E22+E37+E50+E132+E195+E210+E239+E330</f>
        <v>830</v>
      </c>
      <c r="F20" s="60">
        <f t="shared" ref="F20:R20" si="1">F22+F37+F50+F132+F195+F210+F239</f>
        <v>21454556</v>
      </c>
      <c r="G20" s="60">
        <f t="shared" si="1"/>
        <v>1776654.6400000001</v>
      </c>
      <c r="H20" s="60">
        <f t="shared" si="1"/>
        <v>1697445.4100000001</v>
      </c>
      <c r="I20" s="60">
        <f t="shared" si="1"/>
        <v>1842409.6700000002</v>
      </c>
      <c r="J20" s="60">
        <f t="shared" si="1"/>
        <v>1669656.6</v>
      </c>
      <c r="K20" s="60">
        <f t="shared" si="1"/>
        <v>1725311.8200000003</v>
      </c>
      <c r="L20" s="60">
        <f t="shared" si="1"/>
        <v>1669656.6</v>
      </c>
      <c r="M20" s="60">
        <f t="shared" si="1"/>
        <v>1725311.8200000003</v>
      </c>
      <c r="N20" s="60">
        <f t="shared" si="1"/>
        <v>0</v>
      </c>
      <c r="O20" s="60">
        <f t="shared" si="1"/>
        <v>0</v>
      </c>
      <c r="P20" s="60">
        <f t="shared" si="1"/>
        <v>0</v>
      </c>
      <c r="Q20" s="60">
        <f t="shared" si="1"/>
        <v>0</v>
      </c>
      <c r="R20" s="61">
        <f t="shared" si="1"/>
        <v>9348109.4399999976</v>
      </c>
    </row>
    <row r="21" spans="1:24" ht="39.75" customHeight="1" x14ac:dyDescent="0.25">
      <c r="A21" s="41"/>
      <c r="B21" s="62"/>
      <c r="C21" s="63" t="s">
        <v>28</v>
      </c>
      <c r="D21" s="64"/>
      <c r="E21" s="64"/>
      <c r="F21" s="65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7"/>
      <c r="S21" s="25"/>
      <c r="X21" s="7"/>
    </row>
    <row r="22" spans="1:24" ht="26.25" customHeight="1" x14ac:dyDescent="0.25">
      <c r="A22" s="41"/>
      <c r="B22" s="68"/>
      <c r="C22" s="354" t="s">
        <v>100</v>
      </c>
      <c r="D22" s="354"/>
      <c r="E22" s="69">
        <f>SUM(E24:E34)</f>
        <v>32</v>
      </c>
      <c r="F22" s="70">
        <f>SUM(F24:F35)</f>
        <v>879464</v>
      </c>
      <c r="G22" s="70">
        <f t="shared" ref="G22:Q22" si="2">SUM(G24:G34)</f>
        <v>68881.38</v>
      </c>
      <c r="H22" s="70">
        <f t="shared" si="2"/>
        <v>64214.64</v>
      </c>
      <c r="I22" s="70">
        <f t="shared" si="2"/>
        <v>71094.78</v>
      </c>
      <c r="J22" s="70">
        <f t="shared" si="2"/>
        <v>68801.399999999994</v>
      </c>
      <c r="K22" s="70">
        <f t="shared" si="2"/>
        <v>71094.78</v>
      </c>
      <c r="L22" s="70">
        <f t="shared" si="2"/>
        <v>68801.399999999994</v>
      </c>
      <c r="M22" s="70">
        <f t="shared" si="2"/>
        <v>71094.78</v>
      </c>
      <c r="N22" s="70">
        <f t="shared" si="2"/>
        <v>0</v>
      </c>
      <c r="O22" s="71">
        <f t="shared" si="2"/>
        <v>0</v>
      </c>
      <c r="P22" s="70">
        <f t="shared" si="2"/>
        <v>0</v>
      </c>
      <c r="Q22" s="70">
        <f t="shared" si="2"/>
        <v>0</v>
      </c>
      <c r="R22" s="72">
        <f>SUM(R24:R35)</f>
        <v>395480.83999999997</v>
      </c>
      <c r="S22" s="326">
        <f>F22-SUM(G22:R22)</f>
        <v>0</v>
      </c>
      <c r="V22" s="6"/>
    </row>
    <row r="23" spans="1:24" x14ac:dyDescent="0.25">
      <c r="A23" s="41"/>
      <c r="B23" s="73"/>
      <c r="C23" s="74"/>
      <c r="D23" s="74"/>
      <c r="E23" s="75" t="s">
        <v>29</v>
      </c>
      <c r="F23" s="319">
        <v>-10880</v>
      </c>
      <c r="G23" s="77"/>
      <c r="H23" s="77"/>
      <c r="I23" s="77"/>
      <c r="J23" s="77"/>
      <c r="K23" s="77"/>
      <c r="L23" s="77"/>
      <c r="M23" s="77"/>
      <c r="N23" s="78"/>
      <c r="O23" s="7"/>
      <c r="P23" s="77"/>
      <c r="Q23" s="77"/>
      <c r="R23" s="79"/>
      <c r="V23" s="6"/>
    </row>
    <row r="24" spans="1:24" x14ac:dyDescent="0.25">
      <c r="A24" s="41"/>
      <c r="B24" s="80">
        <v>1</v>
      </c>
      <c r="C24" s="81" t="s">
        <v>30</v>
      </c>
      <c r="D24" s="82">
        <v>71.400000000000006</v>
      </c>
      <c r="E24" s="83">
        <v>10</v>
      </c>
      <c r="F24" s="84">
        <f t="shared" ref="F24:F34" si="3">+E24*S24*D24</f>
        <v>151368</v>
      </c>
      <c r="G24" s="85">
        <f t="shared" ref="G24:G34" si="4">E24*D24*31</f>
        <v>22134</v>
      </c>
      <c r="H24" s="86">
        <f>E24*D24*28</f>
        <v>19992</v>
      </c>
      <c r="I24" s="85">
        <f t="shared" ref="I24:I34" si="5">E24*D24*31</f>
        <v>22134</v>
      </c>
      <c r="J24" s="85">
        <f t="shared" ref="J24:J34" si="6">E24*D24*30</f>
        <v>21420</v>
      </c>
      <c r="K24" s="85">
        <f t="shared" ref="K24:K34" si="7">E24*D24*31</f>
        <v>22134</v>
      </c>
      <c r="L24" s="85">
        <f t="shared" ref="L24:L34" si="8">E24*D24*30</f>
        <v>21420</v>
      </c>
      <c r="M24" s="85">
        <f t="shared" ref="M24:M34" si="9">E24*D24*31</f>
        <v>22134</v>
      </c>
      <c r="N24" s="85">
        <v>0</v>
      </c>
      <c r="O24" s="85">
        <v>0</v>
      </c>
      <c r="P24" s="85">
        <v>0</v>
      </c>
      <c r="Q24" s="85">
        <v>0</v>
      </c>
      <c r="R24" s="87">
        <v>0</v>
      </c>
      <c r="S24" s="2">
        <v>212</v>
      </c>
    </row>
    <row r="25" spans="1:24" x14ac:dyDescent="0.25">
      <c r="A25" s="41"/>
      <c r="B25" s="331">
        <v>1</v>
      </c>
      <c r="C25" s="330" t="s">
        <v>30</v>
      </c>
      <c r="D25" s="82">
        <v>71.400000000000006</v>
      </c>
      <c r="E25" s="83">
        <v>1</v>
      </c>
      <c r="F25" s="84">
        <f t="shared" si="3"/>
        <v>0</v>
      </c>
      <c r="G25" s="85">
        <v>0</v>
      </c>
      <c r="H25" s="86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7">
        <v>0</v>
      </c>
      <c r="S25" s="2">
        <v>0</v>
      </c>
    </row>
    <row r="26" spans="1:24" x14ac:dyDescent="0.25">
      <c r="A26" s="41"/>
      <c r="B26" s="324">
        <v>1</v>
      </c>
      <c r="C26" s="323" t="s">
        <v>30</v>
      </c>
      <c r="D26" s="82">
        <v>71.400000000000006</v>
      </c>
      <c r="E26" s="83">
        <v>1</v>
      </c>
      <c r="F26" s="84">
        <f t="shared" ref="F26" si="10">+E26*S26*D26</f>
        <v>12923.400000000001</v>
      </c>
      <c r="G26" s="85">
        <v>0</v>
      </c>
      <c r="H26" s="86">
        <f>E26*D26*28</f>
        <v>1999.2000000000003</v>
      </c>
      <c r="I26" s="85">
        <f t="shared" ref="I26" si="11">E26*D26*31</f>
        <v>2213.4</v>
      </c>
      <c r="J26" s="85">
        <f t="shared" ref="J26" si="12">E26*D26*30</f>
        <v>2142</v>
      </c>
      <c r="K26" s="85">
        <f t="shared" ref="K26" si="13">E26*D26*31</f>
        <v>2213.4</v>
      </c>
      <c r="L26" s="85">
        <f t="shared" ref="L26" si="14">E26*D26*30</f>
        <v>2142</v>
      </c>
      <c r="M26" s="85">
        <f t="shared" ref="M26" si="15">E26*D26*31</f>
        <v>2213.4</v>
      </c>
      <c r="N26" s="85">
        <v>0</v>
      </c>
      <c r="O26" s="85">
        <v>0</v>
      </c>
      <c r="P26" s="85">
        <v>0</v>
      </c>
      <c r="Q26" s="85">
        <v>0</v>
      </c>
      <c r="R26" s="87">
        <v>0</v>
      </c>
      <c r="S26" s="2">
        <f>212-31</f>
        <v>181</v>
      </c>
    </row>
    <row r="27" spans="1:24" x14ac:dyDescent="0.25">
      <c r="A27" s="41"/>
      <c r="B27" s="80">
        <v>2</v>
      </c>
      <c r="C27" s="81" t="s">
        <v>31</v>
      </c>
      <c r="D27" s="82">
        <v>72.540000000000006</v>
      </c>
      <c r="E27" s="83">
        <v>1</v>
      </c>
      <c r="F27" s="84">
        <f t="shared" si="3"/>
        <v>15378.480000000001</v>
      </c>
      <c r="G27" s="85">
        <f t="shared" si="4"/>
        <v>2248.7400000000002</v>
      </c>
      <c r="H27" s="86">
        <f t="shared" ref="H27:H34" si="16">E27*D27*28</f>
        <v>2031.1200000000001</v>
      </c>
      <c r="I27" s="85">
        <f t="shared" si="5"/>
        <v>2248.7400000000002</v>
      </c>
      <c r="J27" s="85">
        <f t="shared" si="6"/>
        <v>2176.2000000000003</v>
      </c>
      <c r="K27" s="85">
        <f t="shared" si="7"/>
        <v>2248.7400000000002</v>
      </c>
      <c r="L27" s="85">
        <f t="shared" si="8"/>
        <v>2176.2000000000003</v>
      </c>
      <c r="M27" s="85">
        <f t="shared" si="9"/>
        <v>2248.7400000000002</v>
      </c>
      <c r="N27" s="85">
        <v>0</v>
      </c>
      <c r="O27" s="85">
        <v>0</v>
      </c>
      <c r="P27" s="85">
        <v>0</v>
      </c>
      <c r="Q27" s="85">
        <v>0</v>
      </c>
      <c r="R27" s="87">
        <v>0</v>
      </c>
      <c r="S27" s="2">
        <v>212</v>
      </c>
    </row>
    <row r="28" spans="1:24" x14ac:dyDescent="0.25">
      <c r="A28" s="41"/>
      <c r="B28" s="80">
        <v>3</v>
      </c>
      <c r="C28" s="81" t="s">
        <v>32</v>
      </c>
      <c r="D28" s="82">
        <v>80.86</v>
      </c>
      <c r="E28" s="83">
        <v>4</v>
      </c>
      <c r="F28" s="84">
        <f>+E28*S28*D28</f>
        <v>68569.279999999999</v>
      </c>
      <c r="G28" s="85">
        <f t="shared" si="4"/>
        <v>10026.64</v>
      </c>
      <c r="H28" s="86">
        <f t="shared" si="16"/>
        <v>9056.32</v>
      </c>
      <c r="I28" s="85">
        <f t="shared" si="5"/>
        <v>10026.64</v>
      </c>
      <c r="J28" s="85">
        <f t="shared" si="6"/>
        <v>9703.2000000000007</v>
      </c>
      <c r="K28" s="85">
        <f t="shared" si="7"/>
        <v>10026.64</v>
      </c>
      <c r="L28" s="85">
        <f t="shared" si="8"/>
        <v>9703.2000000000007</v>
      </c>
      <c r="M28" s="85">
        <f t="shared" si="9"/>
        <v>10026.64</v>
      </c>
      <c r="N28" s="85">
        <v>0</v>
      </c>
      <c r="O28" s="85">
        <v>0</v>
      </c>
      <c r="P28" s="85">
        <v>0</v>
      </c>
      <c r="Q28" s="85">
        <v>0</v>
      </c>
      <c r="R28" s="87">
        <v>0</v>
      </c>
      <c r="S28" s="2">
        <v>212</v>
      </c>
    </row>
    <row r="29" spans="1:24" x14ac:dyDescent="0.25">
      <c r="A29" s="41"/>
      <c r="B29" s="318">
        <v>4</v>
      </c>
      <c r="C29" s="81" t="s">
        <v>33</v>
      </c>
      <c r="D29" s="82">
        <v>71.400000000000006</v>
      </c>
      <c r="E29" s="83">
        <v>4</v>
      </c>
      <c r="F29" s="84">
        <f t="shared" si="3"/>
        <v>60547.200000000004</v>
      </c>
      <c r="G29" s="85">
        <f t="shared" si="4"/>
        <v>8853.6</v>
      </c>
      <c r="H29" s="86">
        <f t="shared" si="16"/>
        <v>7996.8000000000011</v>
      </c>
      <c r="I29" s="85">
        <f t="shared" si="5"/>
        <v>8853.6</v>
      </c>
      <c r="J29" s="85">
        <f t="shared" si="6"/>
        <v>8568</v>
      </c>
      <c r="K29" s="85">
        <f t="shared" si="7"/>
        <v>8853.6</v>
      </c>
      <c r="L29" s="85">
        <f t="shared" si="8"/>
        <v>8568</v>
      </c>
      <c r="M29" s="85">
        <f t="shared" si="9"/>
        <v>8853.6</v>
      </c>
      <c r="N29" s="85">
        <v>0</v>
      </c>
      <c r="O29" s="85">
        <v>0</v>
      </c>
      <c r="P29" s="85">
        <v>0</v>
      </c>
      <c r="Q29" s="85">
        <v>0</v>
      </c>
      <c r="R29" s="87">
        <v>0</v>
      </c>
      <c r="S29" s="2">
        <v>212</v>
      </c>
    </row>
    <row r="30" spans="1:24" x14ac:dyDescent="0.25">
      <c r="A30" s="41"/>
      <c r="B30" s="318">
        <v>5</v>
      </c>
      <c r="C30" s="81" t="s">
        <v>34</v>
      </c>
      <c r="D30" s="82">
        <v>78.25</v>
      </c>
      <c r="E30" s="83">
        <v>1</v>
      </c>
      <c r="F30" s="84">
        <f t="shared" si="3"/>
        <v>16589</v>
      </c>
      <c r="G30" s="85">
        <f t="shared" si="4"/>
        <v>2425.75</v>
      </c>
      <c r="H30" s="86">
        <f t="shared" si="16"/>
        <v>2191</v>
      </c>
      <c r="I30" s="85">
        <f t="shared" si="5"/>
        <v>2425.75</v>
      </c>
      <c r="J30" s="85">
        <f t="shared" si="6"/>
        <v>2347.5</v>
      </c>
      <c r="K30" s="85">
        <f t="shared" si="7"/>
        <v>2425.75</v>
      </c>
      <c r="L30" s="85">
        <f t="shared" si="8"/>
        <v>2347.5</v>
      </c>
      <c r="M30" s="85">
        <f t="shared" si="9"/>
        <v>2425.75</v>
      </c>
      <c r="N30" s="85">
        <v>0</v>
      </c>
      <c r="O30" s="85">
        <v>0</v>
      </c>
      <c r="P30" s="85">
        <v>0</v>
      </c>
      <c r="Q30" s="85">
        <v>0</v>
      </c>
      <c r="R30" s="87">
        <v>0</v>
      </c>
      <c r="S30" s="2">
        <v>212</v>
      </c>
    </row>
    <row r="31" spans="1:24" x14ac:dyDescent="0.25">
      <c r="A31" s="41"/>
      <c r="B31" s="318">
        <v>6</v>
      </c>
      <c r="C31" s="81" t="s">
        <v>35</v>
      </c>
      <c r="D31" s="82">
        <v>72.540000000000006</v>
      </c>
      <c r="E31" s="83">
        <v>2</v>
      </c>
      <c r="F31" s="84">
        <f t="shared" si="3"/>
        <v>30756.960000000003</v>
      </c>
      <c r="G31" s="85">
        <f t="shared" si="4"/>
        <v>4497.4800000000005</v>
      </c>
      <c r="H31" s="86">
        <f t="shared" si="16"/>
        <v>4062.2400000000002</v>
      </c>
      <c r="I31" s="85">
        <f t="shared" si="5"/>
        <v>4497.4800000000005</v>
      </c>
      <c r="J31" s="85">
        <f t="shared" si="6"/>
        <v>4352.4000000000005</v>
      </c>
      <c r="K31" s="85">
        <f t="shared" si="7"/>
        <v>4497.4800000000005</v>
      </c>
      <c r="L31" s="85">
        <f t="shared" si="8"/>
        <v>4352.4000000000005</v>
      </c>
      <c r="M31" s="85">
        <f t="shared" si="9"/>
        <v>4497.4800000000005</v>
      </c>
      <c r="N31" s="85">
        <v>0</v>
      </c>
      <c r="O31" s="85">
        <v>0</v>
      </c>
      <c r="P31" s="85">
        <v>0</v>
      </c>
      <c r="Q31" s="85">
        <v>0</v>
      </c>
      <c r="R31" s="87">
        <v>0</v>
      </c>
      <c r="S31" s="2">
        <v>212</v>
      </c>
    </row>
    <row r="32" spans="1:24" x14ac:dyDescent="0.25">
      <c r="A32" s="41"/>
      <c r="B32" s="318">
        <v>7</v>
      </c>
      <c r="C32" s="81" t="s">
        <v>36</v>
      </c>
      <c r="D32" s="82">
        <v>73.59</v>
      </c>
      <c r="E32" s="83">
        <v>1</v>
      </c>
      <c r="F32" s="84">
        <f t="shared" si="3"/>
        <v>15601.08</v>
      </c>
      <c r="G32" s="85">
        <f t="shared" si="4"/>
        <v>2281.29</v>
      </c>
      <c r="H32" s="86">
        <f t="shared" si="16"/>
        <v>2060.52</v>
      </c>
      <c r="I32" s="85">
        <f t="shared" si="5"/>
        <v>2281.29</v>
      </c>
      <c r="J32" s="85">
        <f t="shared" si="6"/>
        <v>2207.7000000000003</v>
      </c>
      <c r="K32" s="85">
        <f t="shared" si="7"/>
        <v>2281.29</v>
      </c>
      <c r="L32" s="85">
        <f t="shared" si="8"/>
        <v>2207.7000000000003</v>
      </c>
      <c r="M32" s="85">
        <f t="shared" si="9"/>
        <v>2281.29</v>
      </c>
      <c r="N32" s="85">
        <v>0</v>
      </c>
      <c r="O32" s="85">
        <v>0</v>
      </c>
      <c r="P32" s="85">
        <v>0</v>
      </c>
      <c r="Q32" s="85">
        <v>0</v>
      </c>
      <c r="R32" s="87">
        <v>0</v>
      </c>
      <c r="S32" s="2">
        <v>212</v>
      </c>
    </row>
    <row r="33" spans="1:22" x14ac:dyDescent="0.25">
      <c r="A33" s="41"/>
      <c r="B33" s="318">
        <v>8</v>
      </c>
      <c r="C33" s="81" t="s">
        <v>37</v>
      </c>
      <c r="D33" s="82">
        <v>75.64</v>
      </c>
      <c r="E33" s="83">
        <v>5</v>
      </c>
      <c r="F33" s="88">
        <f t="shared" si="3"/>
        <v>80178.399999999994</v>
      </c>
      <c r="G33" s="85">
        <f t="shared" si="4"/>
        <v>11724.199999999999</v>
      </c>
      <c r="H33" s="86">
        <f t="shared" si="16"/>
        <v>10589.6</v>
      </c>
      <c r="I33" s="85">
        <f t="shared" si="5"/>
        <v>11724.199999999999</v>
      </c>
      <c r="J33" s="85">
        <f t="shared" si="6"/>
        <v>11346</v>
      </c>
      <c r="K33" s="85">
        <f t="shared" si="7"/>
        <v>11724.199999999999</v>
      </c>
      <c r="L33" s="85">
        <f t="shared" si="8"/>
        <v>11346</v>
      </c>
      <c r="M33" s="85">
        <f t="shared" si="9"/>
        <v>11724.199999999999</v>
      </c>
      <c r="N33" s="85">
        <v>0</v>
      </c>
      <c r="O33" s="85">
        <v>0</v>
      </c>
      <c r="P33" s="85">
        <v>0</v>
      </c>
      <c r="Q33" s="85">
        <v>0</v>
      </c>
      <c r="R33" s="87">
        <v>0</v>
      </c>
      <c r="S33" s="2">
        <v>212</v>
      </c>
    </row>
    <row r="34" spans="1:22" ht="12.75" customHeight="1" x14ac:dyDescent="0.25">
      <c r="A34" s="41"/>
      <c r="B34" s="318">
        <v>9</v>
      </c>
      <c r="C34" s="81" t="s">
        <v>38</v>
      </c>
      <c r="D34" s="82">
        <v>75.64</v>
      </c>
      <c r="E34" s="83">
        <v>2</v>
      </c>
      <c r="F34" s="84">
        <f t="shared" si="3"/>
        <v>32071.360000000001</v>
      </c>
      <c r="G34" s="85">
        <f t="shared" si="4"/>
        <v>4689.68</v>
      </c>
      <c r="H34" s="86">
        <f t="shared" si="16"/>
        <v>4235.84</v>
      </c>
      <c r="I34" s="85">
        <f t="shared" si="5"/>
        <v>4689.68</v>
      </c>
      <c r="J34" s="85">
        <f t="shared" si="6"/>
        <v>4538.3999999999996</v>
      </c>
      <c r="K34" s="85">
        <f t="shared" si="7"/>
        <v>4689.68</v>
      </c>
      <c r="L34" s="85">
        <f t="shared" si="8"/>
        <v>4538.3999999999996</v>
      </c>
      <c r="M34" s="85">
        <f t="shared" si="9"/>
        <v>4689.68</v>
      </c>
      <c r="N34" s="85">
        <v>0</v>
      </c>
      <c r="O34" s="85">
        <v>0</v>
      </c>
      <c r="P34" s="85">
        <v>0</v>
      </c>
      <c r="Q34" s="85">
        <v>0</v>
      </c>
      <c r="R34" s="87">
        <v>0</v>
      </c>
      <c r="S34" s="2">
        <v>212</v>
      </c>
    </row>
    <row r="35" spans="1:22" ht="15.75" thickBot="1" x14ac:dyDescent="0.3">
      <c r="A35" s="41"/>
      <c r="B35" s="89"/>
      <c r="C35" s="90" t="s">
        <v>39</v>
      </c>
      <c r="D35" s="91"/>
      <c r="E35" s="92"/>
      <c r="F35" s="88">
        <f xml:space="preserve"> 890344-SUM(F24:F34)-10880</f>
        <v>395480.83999999997</v>
      </c>
      <c r="G35" s="93"/>
      <c r="H35" s="94"/>
      <c r="I35" s="95"/>
      <c r="J35" s="95"/>
      <c r="K35" s="96"/>
      <c r="L35" s="85"/>
      <c r="M35" s="95"/>
      <c r="N35" s="95"/>
      <c r="O35" s="95"/>
      <c r="P35" s="95"/>
      <c r="Q35" s="95"/>
      <c r="R35" s="97">
        <f>F35</f>
        <v>395480.83999999997</v>
      </c>
    </row>
    <row r="36" spans="1:22" x14ac:dyDescent="0.25">
      <c r="A36" s="41"/>
      <c r="B36" s="98"/>
      <c r="C36" s="355" t="s">
        <v>40</v>
      </c>
      <c r="D36" s="355"/>
      <c r="E36" s="99"/>
      <c r="F36" s="99"/>
      <c r="G36" s="100"/>
      <c r="H36" s="101"/>
      <c r="I36" s="100"/>
      <c r="J36" s="100"/>
      <c r="K36" s="100"/>
      <c r="L36" s="100"/>
      <c r="M36" s="100"/>
      <c r="N36" s="100"/>
      <c r="O36" s="100"/>
      <c r="P36" s="100"/>
      <c r="Q36" s="100"/>
      <c r="R36" s="102"/>
    </row>
    <row r="37" spans="1:22" ht="28.5" customHeight="1" x14ac:dyDescent="0.25">
      <c r="A37" s="41"/>
      <c r="B37" s="103"/>
      <c r="C37" s="356" t="s">
        <v>101</v>
      </c>
      <c r="D37" s="356"/>
      <c r="E37" s="104">
        <f t="shared" ref="E37:R37" si="17">E38+E44</f>
        <v>13</v>
      </c>
      <c r="F37" s="105">
        <f t="shared" si="17"/>
        <v>341712</v>
      </c>
      <c r="G37" s="105">
        <f t="shared" si="17"/>
        <v>26808.18</v>
      </c>
      <c r="H37" s="105">
        <f t="shared" si="17"/>
        <v>27284.040000000005</v>
      </c>
      <c r="I37" s="105">
        <f t="shared" si="17"/>
        <v>29021.58</v>
      </c>
      <c r="J37" s="105">
        <f t="shared" si="17"/>
        <v>25943.4</v>
      </c>
      <c r="K37" s="105">
        <f t="shared" si="17"/>
        <v>26808.18</v>
      </c>
      <c r="L37" s="105">
        <f>L38+L44</f>
        <v>25943.4</v>
      </c>
      <c r="M37" s="105">
        <f t="shared" si="17"/>
        <v>26808.18</v>
      </c>
      <c r="N37" s="105">
        <f t="shared" si="17"/>
        <v>0</v>
      </c>
      <c r="O37" s="105">
        <f t="shared" si="17"/>
        <v>0</v>
      </c>
      <c r="P37" s="105">
        <f>P38+P44</f>
        <v>0</v>
      </c>
      <c r="Q37" s="105">
        <f t="shared" si="17"/>
        <v>0</v>
      </c>
      <c r="R37" s="106">
        <f t="shared" si="17"/>
        <v>153095.03999999998</v>
      </c>
      <c r="S37" s="326">
        <f>F37-SUM(G37:R37)</f>
        <v>0</v>
      </c>
    </row>
    <row r="38" spans="1:22" ht="31.15" customHeight="1" x14ac:dyDescent="0.25">
      <c r="A38" s="41"/>
      <c r="B38" s="80"/>
      <c r="C38" s="357" t="s">
        <v>102</v>
      </c>
      <c r="D38" s="357"/>
      <c r="E38" s="107">
        <f>SUM(E40:E43)</f>
        <v>3</v>
      </c>
      <c r="F38" s="108">
        <f>SUM(F40:F43)</f>
        <v>78600</v>
      </c>
      <c r="G38" s="108">
        <f>SUM(G40:G42)</f>
        <v>4462.1400000000003</v>
      </c>
      <c r="H38" s="108">
        <f>SUM(H40:H42)</f>
        <v>7100.52</v>
      </c>
      <c r="I38" s="108">
        <f t="shared" ref="I38:Q38" si="18">SUM(I40:I42)</f>
        <v>6675.5400000000009</v>
      </c>
      <c r="J38" s="108">
        <f t="shared" si="18"/>
        <v>4318.2000000000007</v>
      </c>
      <c r="K38" s="108">
        <f t="shared" si="18"/>
        <v>4462.1400000000003</v>
      </c>
      <c r="L38" s="108">
        <f t="shared" si="18"/>
        <v>4318.2000000000007</v>
      </c>
      <c r="M38" s="108">
        <f t="shared" si="18"/>
        <v>4462.1400000000003</v>
      </c>
      <c r="N38" s="108">
        <f t="shared" si="18"/>
        <v>0</v>
      </c>
      <c r="O38" s="108">
        <f t="shared" si="18"/>
        <v>0</v>
      </c>
      <c r="P38" s="108">
        <f t="shared" si="18"/>
        <v>0</v>
      </c>
      <c r="Q38" s="108">
        <f t="shared" si="18"/>
        <v>0</v>
      </c>
      <c r="R38" s="108">
        <f>SUM(R40:R43)</f>
        <v>42801.119999999995</v>
      </c>
    </row>
    <row r="39" spans="1:22" ht="17.25" customHeight="1" x14ac:dyDescent="0.25">
      <c r="A39" s="41"/>
      <c r="B39" s="110"/>
      <c r="C39" s="111"/>
      <c r="D39" s="111"/>
      <c r="E39" s="317" t="s">
        <v>29</v>
      </c>
      <c r="F39" s="319">
        <v>26061</v>
      </c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3"/>
    </row>
    <row r="40" spans="1:22" x14ac:dyDescent="0.25">
      <c r="A40" s="41"/>
      <c r="B40" s="89">
        <v>1</v>
      </c>
      <c r="C40" s="90" t="s">
        <v>41</v>
      </c>
      <c r="D40" s="91">
        <v>72.540000000000006</v>
      </c>
      <c r="E40" s="92">
        <v>1</v>
      </c>
      <c r="F40" s="114">
        <f>+E40*S40*D40</f>
        <v>15378.480000000001</v>
      </c>
      <c r="G40" s="95">
        <f>E40*D40*31</f>
        <v>2248.7400000000002</v>
      </c>
      <c r="H40" s="115">
        <f>E40*D40*28</f>
        <v>2031.1200000000001</v>
      </c>
      <c r="I40" s="95">
        <f>E40*D40*31</f>
        <v>2248.7400000000002</v>
      </c>
      <c r="J40" s="95">
        <f>E40*D40*30</f>
        <v>2176.2000000000003</v>
      </c>
      <c r="K40" s="95">
        <f>E40*D40*31</f>
        <v>2248.7400000000002</v>
      </c>
      <c r="L40" s="95">
        <f>E40*D40*30</f>
        <v>2176.2000000000003</v>
      </c>
      <c r="M40" s="95">
        <f>E40*D40*31</f>
        <v>2248.7400000000002</v>
      </c>
      <c r="N40" s="85">
        <v>0</v>
      </c>
      <c r="O40" s="85">
        <v>0</v>
      </c>
      <c r="P40" s="85">
        <v>0</v>
      </c>
      <c r="Q40" s="85">
        <v>0</v>
      </c>
      <c r="R40" s="87">
        <v>0</v>
      </c>
      <c r="S40" s="2">
        <v>212</v>
      </c>
    </row>
    <row r="41" spans="1:22" x14ac:dyDescent="0.25">
      <c r="A41" s="41"/>
      <c r="B41" s="80">
        <v>2</v>
      </c>
      <c r="C41" s="81" t="s">
        <v>30</v>
      </c>
      <c r="D41" s="82">
        <v>71.400000000000006</v>
      </c>
      <c r="E41" s="116">
        <v>1</v>
      </c>
      <c r="F41" s="88">
        <f>+E41*S41*D41</f>
        <v>15136.800000000001</v>
      </c>
      <c r="G41" s="85">
        <f>E41*D41*31</f>
        <v>2213.4</v>
      </c>
      <c r="H41" s="86">
        <f>E41*D41*28</f>
        <v>1999.2000000000003</v>
      </c>
      <c r="I41" s="85">
        <f>E41*D41*31</f>
        <v>2213.4</v>
      </c>
      <c r="J41" s="85">
        <f>E41*D41*30</f>
        <v>2142</v>
      </c>
      <c r="K41" s="85">
        <f>E41*D41*31</f>
        <v>2213.4</v>
      </c>
      <c r="L41" s="85">
        <f>E41*D41*30</f>
        <v>2142</v>
      </c>
      <c r="M41" s="85">
        <f>E41*D41*31</f>
        <v>2213.4</v>
      </c>
      <c r="N41" s="85">
        <v>0</v>
      </c>
      <c r="O41" s="85">
        <v>0</v>
      </c>
      <c r="P41" s="85">
        <v>0</v>
      </c>
      <c r="Q41" s="85">
        <v>0</v>
      </c>
      <c r="R41" s="87">
        <v>0</v>
      </c>
      <c r="S41" s="2">
        <v>212</v>
      </c>
    </row>
    <row r="42" spans="1:22" s="164" customFormat="1" x14ac:dyDescent="0.25">
      <c r="A42" s="159"/>
      <c r="B42" s="160">
        <v>2</v>
      </c>
      <c r="C42" s="329" t="s">
        <v>33</v>
      </c>
      <c r="D42" s="162">
        <v>71.400000000000006</v>
      </c>
      <c r="E42" s="83">
        <v>1</v>
      </c>
      <c r="F42" s="125">
        <f>+E42*S42*D42</f>
        <v>5283.6</v>
      </c>
      <c r="G42" s="157">
        <v>0</v>
      </c>
      <c r="H42" s="189">
        <f>E42*D42*28+D42*E42*15</f>
        <v>3070.2000000000003</v>
      </c>
      <c r="I42" s="157">
        <f>E42*D42*31</f>
        <v>2213.4</v>
      </c>
      <c r="J42" s="157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57">
        <v>0</v>
      </c>
      <c r="Q42" s="157">
        <v>0</v>
      </c>
      <c r="R42" s="158">
        <v>0</v>
      </c>
      <c r="S42" s="210">
        <f>15+28+31</f>
        <v>74</v>
      </c>
    </row>
    <row r="43" spans="1:22" x14ac:dyDescent="0.25">
      <c r="A43" s="41"/>
      <c r="B43" s="80"/>
      <c r="C43" s="117" t="s">
        <v>39</v>
      </c>
      <c r="D43" s="82"/>
      <c r="E43" s="116"/>
      <c r="F43" s="86">
        <f xml:space="preserve"> 52539-SUM(F40:F42)+26061</f>
        <v>42801.119999999995</v>
      </c>
      <c r="G43" s="118"/>
      <c r="H43" s="86"/>
      <c r="I43" s="85"/>
      <c r="J43" s="85"/>
      <c r="K43" s="86"/>
      <c r="L43" s="86"/>
      <c r="M43" s="85"/>
      <c r="N43" s="85"/>
      <c r="O43" s="85"/>
      <c r="P43" s="85"/>
      <c r="Q43" s="85"/>
      <c r="R43" s="119">
        <f>F43</f>
        <v>42801.119999999995</v>
      </c>
    </row>
    <row r="44" spans="1:22" ht="27.6" customHeight="1" x14ac:dyDescent="0.25">
      <c r="A44" s="41"/>
      <c r="B44" s="80"/>
      <c r="C44" s="358" t="s">
        <v>103</v>
      </c>
      <c r="D44" s="358"/>
      <c r="E44" s="120">
        <f>SUM(E46:E47)</f>
        <v>10</v>
      </c>
      <c r="F44" s="121">
        <f>SUM(F46:F48)</f>
        <v>263112</v>
      </c>
      <c r="G44" s="121">
        <f t="shared" ref="G44:Q44" si="19">SUM(G46:G47)</f>
        <v>22346.04</v>
      </c>
      <c r="H44" s="121">
        <f t="shared" si="19"/>
        <v>20183.520000000004</v>
      </c>
      <c r="I44" s="121">
        <f t="shared" si="19"/>
        <v>22346.04</v>
      </c>
      <c r="J44" s="121">
        <f>SUM(J46:J47)</f>
        <v>21625.200000000001</v>
      </c>
      <c r="K44" s="121">
        <f t="shared" si="19"/>
        <v>22346.04</v>
      </c>
      <c r="L44" s="121">
        <f t="shared" si="19"/>
        <v>21625.200000000001</v>
      </c>
      <c r="M44" s="121">
        <f t="shared" si="19"/>
        <v>22346.04</v>
      </c>
      <c r="N44" s="121">
        <f t="shared" si="19"/>
        <v>0</v>
      </c>
      <c r="O44" s="121">
        <f t="shared" si="19"/>
        <v>0</v>
      </c>
      <c r="P44" s="121">
        <f t="shared" si="19"/>
        <v>0</v>
      </c>
      <c r="Q44" s="121">
        <f t="shared" si="19"/>
        <v>0</v>
      </c>
      <c r="R44" s="122">
        <f>SUM(R46:R48)</f>
        <v>110293.91999999998</v>
      </c>
      <c r="V44" s="6"/>
    </row>
    <row r="45" spans="1:22" ht="12.75" customHeight="1" x14ac:dyDescent="0.25">
      <c r="A45" s="41"/>
      <c r="B45" s="80"/>
      <c r="C45" s="123"/>
      <c r="D45" s="123"/>
      <c r="E45" s="75" t="s">
        <v>29</v>
      </c>
      <c r="F45" s="76">
        <v>0</v>
      </c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2"/>
      <c r="S45" s="124"/>
      <c r="V45" s="6"/>
    </row>
    <row r="46" spans="1:22" ht="33.75" customHeight="1" x14ac:dyDescent="0.25">
      <c r="A46" s="41"/>
      <c r="B46" s="80">
        <v>1</v>
      </c>
      <c r="C46" s="81" t="s">
        <v>41</v>
      </c>
      <c r="D46" s="82">
        <v>72.540000000000006</v>
      </c>
      <c r="E46" s="83">
        <v>6</v>
      </c>
      <c r="F46" s="125">
        <f>+E46*S46*D46</f>
        <v>92270.88</v>
      </c>
      <c r="G46" s="85">
        <f>E46*D46*31</f>
        <v>13492.44</v>
      </c>
      <c r="H46" s="86">
        <f>E46*D46*28</f>
        <v>12186.720000000001</v>
      </c>
      <c r="I46" s="85">
        <f>E46*D46*31</f>
        <v>13492.44</v>
      </c>
      <c r="J46" s="85">
        <f>E46*D46*30</f>
        <v>13057.2</v>
      </c>
      <c r="K46" s="85">
        <f>E46*D46*31</f>
        <v>13492.44</v>
      </c>
      <c r="L46" s="85">
        <f>E46*D46*30</f>
        <v>13057.2</v>
      </c>
      <c r="M46" s="85">
        <f>E46*D46*31</f>
        <v>13492.44</v>
      </c>
      <c r="N46" s="85">
        <v>0</v>
      </c>
      <c r="O46" s="85">
        <v>0</v>
      </c>
      <c r="P46" s="85">
        <v>0</v>
      </c>
      <c r="Q46" s="85">
        <v>0</v>
      </c>
      <c r="R46" s="87">
        <v>0</v>
      </c>
      <c r="S46" s="2">
        <v>212</v>
      </c>
    </row>
    <row r="47" spans="1:22" x14ac:dyDescent="0.25">
      <c r="A47" s="41"/>
      <c r="B47" s="80">
        <v>2</v>
      </c>
      <c r="C47" s="81" t="s">
        <v>30</v>
      </c>
      <c r="D47" s="82">
        <v>71.400000000000006</v>
      </c>
      <c r="E47" s="116">
        <v>4</v>
      </c>
      <c r="F47" s="88">
        <f>+E47*S47*D47</f>
        <v>60547.200000000004</v>
      </c>
      <c r="G47" s="85">
        <f>E47*D47*31</f>
        <v>8853.6</v>
      </c>
      <c r="H47" s="86">
        <f>E47*D47*28</f>
        <v>7996.8000000000011</v>
      </c>
      <c r="I47" s="85">
        <f>E47*D47*31</f>
        <v>8853.6</v>
      </c>
      <c r="J47" s="85">
        <f>E47*D47*30</f>
        <v>8568</v>
      </c>
      <c r="K47" s="85">
        <f>E47*D47*31</f>
        <v>8853.6</v>
      </c>
      <c r="L47" s="85">
        <f>E47*D47*30</f>
        <v>8568</v>
      </c>
      <c r="M47" s="85">
        <f>E47*D47*31</f>
        <v>8853.6</v>
      </c>
      <c r="N47" s="85">
        <v>0</v>
      </c>
      <c r="O47" s="85">
        <v>0</v>
      </c>
      <c r="P47" s="85">
        <v>0</v>
      </c>
      <c r="Q47" s="85">
        <v>0</v>
      </c>
      <c r="R47" s="87">
        <v>0</v>
      </c>
      <c r="S47" s="2">
        <v>212</v>
      </c>
    </row>
    <row r="48" spans="1:22" x14ac:dyDescent="0.25">
      <c r="A48" s="41"/>
      <c r="B48" s="80"/>
      <c r="C48" s="81" t="s">
        <v>39</v>
      </c>
      <c r="D48" s="82"/>
      <c r="E48" s="116"/>
      <c r="F48" s="86">
        <f xml:space="preserve"> 263112-SUM(F46:F47)</f>
        <v>110293.91999999998</v>
      </c>
      <c r="G48" s="118"/>
      <c r="H48" s="126"/>
      <c r="I48" s="85"/>
      <c r="J48" s="85"/>
      <c r="K48" s="85"/>
      <c r="L48" s="85"/>
      <c r="M48" s="85"/>
      <c r="N48" s="85"/>
      <c r="O48" s="85"/>
      <c r="P48" s="85"/>
      <c r="Q48" s="85"/>
      <c r="R48" s="127">
        <f>F48</f>
        <v>110293.91999999998</v>
      </c>
    </row>
    <row r="49" spans="1:27" x14ac:dyDescent="0.25">
      <c r="A49" s="41"/>
      <c r="B49" s="128"/>
      <c r="C49" s="340" t="s">
        <v>42</v>
      </c>
      <c r="D49" s="340"/>
      <c r="E49" s="129"/>
      <c r="F49" s="129"/>
      <c r="G49" s="130"/>
      <c r="H49" s="130"/>
      <c r="I49" s="130"/>
      <c r="J49" s="130"/>
      <c r="K49" s="130"/>
      <c r="L49" s="130"/>
      <c r="M49" s="130"/>
      <c r="N49" s="130"/>
      <c r="O49" s="130"/>
      <c r="P49" s="131"/>
      <c r="Q49" s="130"/>
      <c r="R49" s="132"/>
      <c r="S49" s="133"/>
    </row>
    <row r="50" spans="1:27" ht="24" customHeight="1" thickBot="1" x14ac:dyDescent="0.3">
      <c r="A50" s="41"/>
      <c r="B50" s="134"/>
      <c r="C50" s="339" t="s">
        <v>104</v>
      </c>
      <c r="D50" s="339"/>
      <c r="E50" s="135">
        <f t="shared" ref="E50:R50" si="20">E51+E68+E79+E88+E98+E106+E113+E119+E126</f>
        <v>368</v>
      </c>
      <c r="F50" s="136">
        <f t="shared" si="20"/>
        <v>9693899</v>
      </c>
      <c r="G50" s="136">
        <f t="shared" si="20"/>
        <v>795132.95000000007</v>
      </c>
      <c r="H50" s="136">
        <f t="shared" si="20"/>
        <v>745816.4</v>
      </c>
      <c r="I50" s="136">
        <f t="shared" si="20"/>
        <v>815053.55</v>
      </c>
      <c r="J50" s="136">
        <f t="shared" si="20"/>
        <v>769483.50000000012</v>
      </c>
      <c r="K50" s="136">
        <f t="shared" si="20"/>
        <v>795132.95000000007</v>
      </c>
      <c r="L50" s="136">
        <f t="shared" si="20"/>
        <v>769483.50000000012</v>
      </c>
      <c r="M50" s="136">
        <f t="shared" si="20"/>
        <v>795132.95000000007</v>
      </c>
      <c r="N50" s="136">
        <f t="shared" si="20"/>
        <v>0</v>
      </c>
      <c r="O50" s="136">
        <f t="shared" si="20"/>
        <v>0</v>
      </c>
      <c r="P50" s="136">
        <f t="shared" si="20"/>
        <v>0</v>
      </c>
      <c r="Q50" s="137">
        <f t="shared" si="20"/>
        <v>0</v>
      </c>
      <c r="R50" s="138">
        <f t="shared" si="20"/>
        <v>4208663.1999999993</v>
      </c>
      <c r="S50" s="326">
        <f>F50-SUM(G50:R50)</f>
        <v>0</v>
      </c>
      <c r="T50" s="32"/>
    </row>
    <row r="51" spans="1:27" ht="43.15" customHeight="1" x14ac:dyDescent="0.25">
      <c r="A51" s="41"/>
      <c r="B51" s="139"/>
      <c r="C51" s="360" t="s">
        <v>105</v>
      </c>
      <c r="D51" s="360"/>
      <c r="E51" s="140">
        <f>SUM(E53:E66)</f>
        <v>83</v>
      </c>
      <c r="F51" s="141">
        <f t="shared" ref="F51:R51" si="21">SUM(F53:F67)</f>
        <v>2221211</v>
      </c>
      <c r="G51" s="142">
        <f t="shared" si="21"/>
        <v>183838.99</v>
      </c>
      <c r="H51" s="142">
        <f t="shared" si="21"/>
        <v>166048.12000000002</v>
      </c>
      <c r="I51" s="143">
        <f t="shared" si="21"/>
        <v>183838.99</v>
      </c>
      <c r="J51" s="143">
        <f t="shared" si="21"/>
        <v>177908.69999999998</v>
      </c>
      <c r="K51" s="143">
        <f t="shared" si="21"/>
        <v>183838.99</v>
      </c>
      <c r="L51" s="143">
        <f t="shared" si="21"/>
        <v>177908.69999999998</v>
      </c>
      <c r="M51" s="142">
        <f t="shared" si="21"/>
        <v>183838.99</v>
      </c>
      <c r="N51" s="143">
        <f t="shared" si="21"/>
        <v>0</v>
      </c>
      <c r="O51" s="143">
        <f t="shared" si="21"/>
        <v>0</v>
      </c>
      <c r="P51" s="143">
        <f t="shared" si="21"/>
        <v>0</v>
      </c>
      <c r="Q51" s="143">
        <f t="shared" si="21"/>
        <v>0</v>
      </c>
      <c r="R51" s="144">
        <f t="shared" si="21"/>
        <v>963989.51999999955</v>
      </c>
      <c r="S51" s="326">
        <f>F51-SUM(G51:R51)</f>
        <v>0</v>
      </c>
      <c r="T51" s="7"/>
      <c r="V51" s="145"/>
      <c r="W51" s="33"/>
    </row>
    <row r="52" spans="1:27" ht="16.899999999999999" customHeight="1" x14ac:dyDescent="0.25">
      <c r="A52" s="41"/>
      <c r="B52" s="80"/>
      <c r="C52" s="123"/>
      <c r="D52" s="123"/>
      <c r="E52" s="75" t="s">
        <v>29</v>
      </c>
      <c r="F52" s="76">
        <v>0</v>
      </c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7"/>
      <c r="R52" s="147"/>
      <c r="S52" s="148"/>
      <c r="V52" s="149"/>
    </row>
    <row r="53" spans="1:27" x14ac:dyDescent="0.25">
      <c r="A53" s="41"/>
      <c r="B53" s="150">
        <v>1</v>
      </c>
      <c r="C53" s="151" t="s">
        <v>41</v>
      </c>
      <c r="D53" s="152">
        <v>72.540000000000006</v>
      </c>
      <c r="E53" s="153">
        <v>6</v>
      </c>
      <c r="F53" s="154">
        <f t="shared" ref="F53:F66" si="22">+E53*S53*D53</f>
        <v>92270.88</v>
      </c>
      <c r="G53" s="155">
        <f>E53*D53*31</f>
        <v>13492.44</v>
      </c>
      <c r="H53" s="156">
        <f>E53*D53*28</f>
        <v>12186.720000000001</v>
      </c>
      <c r="I53" s="155">
        <f t="shared" ref="I53:I59" si="23">E53*D53*31</f>
        <v>13492.44</v>
      </c>
      <c r="J53" s="157">
        <f t="shared" ref="J53:J59" si="24">E53*D53*30</f>
        <v>13057.2</v>
      </c>
      <c r="K53" s="157">
        <f t="shared" ref="K53:K59" si="25">E53*D53*31</f>
        <v>13492.44</v>
      </c>
      <c r="L53" s="157">
        <f t="shared" ref="L53:L59" si="26">E53*D53*30</f>
        <v>13057.2</v>
      </c>
      <c r="M53" s="157">
        <f t="shared" ref="M53:M59" si="27">E53*D53*31</f>
        <v>13492.44</v>
      </c>
      <c r="N53" s="157">
        <v>0</v>
      </c>
      <c r="O53" s="157">
        <v>0</v>
      </c>
      <c r="P53" s="157">
        <v>0</v>
      </c>
      <c r="Q53" s="157">
        <v>0</v>
      </c>
      <c r="R53" s="158">
        <v>0</v>
      </c>
      <c r="S53" s="148">
        <v>212</v>
      </c>
      <c r="V53" s="149"/>
    </row>
    <row r="54" spans="1:27" s="164" customFormat="1" x14ac:dyDescent="0.25">
      <c r="A54" s="159"/>
      <c r="B54" s="160">
        <v>2</v>
      </c>
      <c r="C54" s="161" t="s">
        <v>43</v>
      </c>
      <c r="D54" s="162">
        <v>71.400000000000006</v>
      </c>
      <c r="E54" s="83">
        <v>1</v>
      </c>
      <c r="F54" s="125">
        <f t="shared" si="22"/>
        <v>15136.800000000001</v>
      </c>
      <c r="G54" s="155">
        <f t="shared" ref="G54:G59" si="28">E54*D54*31</f>
        <v>2213.4</v>
      </c>
      <c r="H54" s="156">
        <f t="shared" ref="H54:H59" si="29">E54*D54*28</f>
        <v>1999.2000000000003</v>
      </c>
      <c r="I54" s="155">
        <f t="shared" si="23"/>
        <v>2213.4</v>
      </c>
      <c r="J54" s="157">
        <f t="shared" si="24"/>
        <v>2142</v>
      </c>
      <c r="K54" s="157">
        <f t="shared" si="25"/>
        <v>2213.4</v>
      </c>
      <c r="L54" s="157">
        <f t="shared" si="26"/>
        <v>2142</v>
      </c>
      <c r="M54" s="157">
        <f t="shared" si="27"/>
        <v>2213.4</v>
      </c>
      <c r="N54" s="157">
        <v>0</v>
      </c>
      <c r="O54" s="157">
        <v>0</v>
      </c>
      <c r="P54" s="157">
        <v>0</v>
      </c>
      <c r="Q54" s="157">
        <v>0</v>
      </c>
      <c r="R54" s="158">
        <v>0</v>
      </c>
      <c r="S54" s="148">
        <v>212</v>
      </c>
      <c r="T54"/>
      <c r="U54"/>
      <c r="V54" s="163"/>
      <c r="Z54"/>
      <c r="AA54"/>
    </row>
    <row r="55" spans="1:27" s="164" customFormat="1" x14ac:dyDescent="0.25">
      <c r="A55" s="159"/>
      <c r="B55" s="160">
        <v>3</v>
      </c>
      <c r="C55" s="161" t="s">
        <v>44</v>
      </c>
      <c r="D55" s="162">
        <v>74.63</v>
      </c>
      <c r="E55" s="83">
        <v>1</v>
      </c>
      <c r="F55" s="125">
        <f t="shared" si="22"/>
        <v>15821.56</v>
      </c>
      <c r="G55" s="155">
        <f t="shared" si="28"/>
        <v>2313.5299999999997</v>
      </c>
      <c r="H55" s="156">
        <f t="shared" si="29"/>
        <v>2089.64</v>
      </c>
      <c r="I55" s="155">
        <f t="shared" si="23"/>
        <v>2313.5299999999997</v>
      </c>
      <c r="J55" s="157">
        <f t="shared" si="24"/>
        <v>2238.8999999999996</v>
      </c>
      <c r="K55" s="157">
        <f t="shared" si="25"/>
        <v>2313.5299999999997</v>
      </c>
      <c r="L55" s="157">
        <f t="shared" si="26"/>
        <v>2238.8999999999996</v>
      </c>
      <c r="M55" s="157">
        <f t="shared" si="27"/>
        <v>2313.5299999999997</v>
      </c>
      <c r="N55" s="157">
        <v>0</v>
      </c>
      <c r="O55" s="157">
        <v>0</v>
      </c>
      <c r="P55" s="157">
        <v>0</v>
      </c>
      <c r="Q55" s="157">
        <v>0</v>
      </c>
      <c r="R55" s="158">
        <v>0</v>
      </c>
      <c r="S55" s="148">
        <v>212</v>
      </c>
      <c r="T55"/>
      <c r="U55"/>
      <c r="V55" s="163"/>
      <c r="Z55"/>
      <c r="AA55"/>
    </row>
    <row r="56" spans="1:27" s="164" customFormat="1" x14ac:dyDescent="0.25">
      <c r="A56" s="159"/>
      <c r="B56" s="160">
        <v>4</v>
      </c>
      <c r="C56" s="161" t="s">
        <v>30</v>
      </c>
      <c r="D56" s="162">
        <v>71.400000000000006</v>
      </c>
      <c r="E56" s="83">
        <v>5</v>
      </c>
      <c r="F56" s="125">
        <f t="shared" si="22"/>
        <v>75684</v>
      </c>
      <c r="G56" s="155">
        <f t="shared" si="28"/>
        <v>11067</v>
      </c>
      <c r="H56" s="156">
        <f t="shared" si="29"/>
        <v>9996</v>
      </c>
      <c r="I56" s="155">
        <f t="shared" si="23"/>
        <v>11067</v>
      </c>
      <c r="J56" s="157">
        <f t="shared" si="24"/>
        <v>10710</v>
      </c>
      <c r="K56" s="157">
        <f t="shared" si="25"/>
        <v>11067</v>
      </c>
      <c r="L56" s="157">
        <f t="shared" si="26"/>
        <v>10710</v>
      </c>
      <c r="M56" s="157">
        <f t="shared" si="27"/>
        <v>11067</v>
      </c>
      <c r="N56" s="157">
        <v>0</v>
      </c>
      <c r="O56" s="157">
        <v>0</v>
      </c>
      <c r="P56" s="157">
        <v>0</v>
      </c>
      <c r="Q56" s="157">
        <v>0</v>
      </c>
      <c r="R56" s="158">
        <v>0</v>
      </c>
      <c r="S56" s="148">
        <v>212</v>
      </c>
      <c r="T56"/>
      <c r="U56"/>
      <c r="V56" s="163"/>
      <c r="Z56"/>
      <c r="AA56"/>
    </row>
    <row r="57" spans="1:27" s="164" customFormat="1" x14ac:dyDescent="0.25">
      <c r="A57" s="159"/>
      <c r="B57" s="150">
        <v>5</v>
      </c>
      <c r="C57" s="161" t="s">
        <v>45</v>
      </c>
      <c r="D57" s="162">
        <v>74.63</v>
      </c>
      <c r="E57" s="83">
        <v>1</v>
      </c>
      <c r="F57" s="125">
        <f t="shared" si="22"/>
        <v>15821.56</v>
      </c>
      <c r="G57" s="155">
        <f t="shared" si="28"/>
        <v>2313.5299999999997</v>
      </c>
      <c r="H57" s="156">
        <f t="shared" si="29"/>
        <v>2089.64</v>
      </c>
      <c r="I57" s="155">
        <f t="shared" si="23"/>
        <v>2313.5299999999997</v>
      </c>
      <c r="J57" s="157">
        <f t="shared" si="24"/>
        <v>2238.8999999999996</v>
      </c>
      <c r="K57" s="157">
        <f t="shared" si="25"/>
        <v>2313.5299999999997</v>
      </c>
      <c r="L57" s="157">
        <f t="shared" si="26"/>
        <v>2238.8999999999996</v>
      </c>
      <c r="M57" s="157">
        <f t="shared" si="27"/>
        <v>2313.5299999999997</v>
      </c>
      <c r="N57" s="157">
        <v>0</v>
      </c>
      <c r="O57" s="157">
        <v>0</v>
      </c>
      <c r="P57" s="157">
        <v>0</v>
      </c>
      <c r="Q57" s="157">
        <v>0</v>
      </c>
      <c r="R57" s="158">
        <v>0</v>
      </c>
      <c r="S57" s="148">
        <v>212</v>
      </c>
      <c r="V57" s="163"/>
    </row>
    <row r="58" spans="1:27" s="164" customFormat="1" x14ac:dyDescent="0.25">
      <c r="A58" s="159"/>
      <c r="B58" s="160">
        <v>6</v>
      </c>
      <c r="C58" s="161" t="s">
        <v>46</v>
      </c>
      <c r="D58" s="162">
        <v>74.63</v>
      </c>
      <c r="E58" s="83">
        <v>1</v>
      </c>
      <c r="F58" s="125">
        <f t="shared" si="22"/>
        <v>15821.56</v>
      </c>
      <c r="G58" s="155">
        <f t="shared" si="28"/>
        <v>2313.5299999999997</v>
      </c>
      <c r="H58" s="156">
        <f t="shared" si="29"/>
        <v>2089.64</v>
      </c>
      <c r="I58" s="155">
        <f t="shared" si="23"/>
        <v>2313.5299999999997</v>
      </c>
      <c r="J58" s="157">
        <f t="shared" si="24"/>
        <v>2238.8999999999996</v>
      </c>
      <c r="K58" s="157">
        <f t="shared" si="25"/>
        <v>2313.5299999999997</v>
      </c>
      <c r="L58" s="157">
        <f t="shared" si="26"/>
        <v>2238.8999999999996</v>
      </c>
      <c r="M58" s="157">
        <f t="shared" si="27"/>
        <v>2313.5299999999997</v>
      </c>
      <c r="N58" s="157">
        <v>0</v>
      </c>
      <c r="O58" s="157">
        <v>0</v>
      </c>
      <c r="P58" s="157">
        <v>0</v>
      </c>
      <c r="Q58" s="157">
        <v>0</v>
      </c>
      <c r="R58" s="158">
        <v>0</v>
      </c>
      <c r="S58" s="148">
        <v>212</v>
      </c>
      <c r="T58"/>
      <c r="U58"/>
      <c r="V58" s="163"/>
      <c r="Z58"/>
      <c r="AA58"/>
    </row>
    <row r="59" spans="1:27" s="164" customFormat="1" ht="15.75" customHeight="1" x14ac:dyDescent="0.25">
      <c r="A59" s="159"/>
      <c r="B59" s="160">
        <v>7</v>
      </c>
      <c r="C59" s="161" t="s">
        <v>47</v>
      </c>
      <c r="D59" s="162">
        <v>72.540000000000006</v>
      </c>
      <c r="E59" s="83">
        <v>1</v>
      </c>
      <c r="F59" s="125">
        <f t="shared" si="22"/>
        <v>15378.480000000001</v>
      </c>
      <c r="G59" s="155">
        <f t="shared" si="28"/>
        <v>2248.7400000000002</v>
      </c>
      <c r="H59" s="156">
        <f t="shared" si="29"/>
        <v>2031.1200000000001</v>
      </c>
      <c r="I59" s="155">
        <f t="shared" si="23"/>
        <v>2248.7400000000002</v>
      </c>
      <c r="J59" s="157">
        <f t="shared" si="24"/>
        <v>2176.2000000000003</v>
      </c>
      <c r="K59" s="157">
        <f t="shared" si="25"/>
        <v>2248.7400000000002</v>
      </c>
      <c r="L59" s="157">
        <f t="shared" si="26"/>
        <v>2176.2000000000003</v>
      </c>
      <c r="M59" s="157">
        <f t="shared" si="27"/>
        <v>2248.7400000000002</v>
      </c>
      <c r="N59" s="157">
        <v>0</v>
      </c>
      <c r="O59" s="157">
        <v>0</v>
      </c>
      <c r="P59" s="157">
        <v>0</v>
      </c>
      <c r="Q59" s="157">
        <v>0</v>
      </c>
      <c r="R59" s="158">
        <v>0</v>
      </c>
      <c r="S59" s="148">
        <v>212</v>
      </c>
      <c r="T59"/>
      <c r="U59"/>
      <c r="V59" s="163"/>
      <c r="Z59"/>
      <c r="AA59"/>
    </row>
    <row r="60" spans="1:27" s="164" customFormat="1" x14ac:dyDescent="0.25">
      <c r="A60" s="159"/>
      <c r="B60" s="160">
        <v>8</v>
      </c>
      <c r="C60" s="161" t="s">
        <v>33</v>
      </c>
      <c r="D60" s="162">
        <v>71.400000000000006</v>
      </c>
      <c r="E60" s="165">
        <v>1</v>
      </c>
      <c r="F60" s="166">
        <f t="shared" si="22"/>
        <v>15136.800000000001</v>
      </c>
      <c r="G60" s="155">
        <f>E60*D60*31</f>
        <v>2213.4</v>
      </c>
      <c r="H60" s="156">
        <f>E60*D60*28</f>
        <v>1999.2000000000003</v>
      </c>
      <c r="I60" s="155">
        <f>E60*D60*31</f>
        <v>2213.4</v>
      </c>
      <c r="J60" s="157">
        <f>E60*D60*30</f>
        <v>2142</v>
      </c>
      <c r="K60" s="157">
        <f>E60*D60*31</f>
        <v>2213.4</v>
      </c>
      <c r="L60" s="157">
        <f>E60*D60*30</f>
        <v>2142</v>
      </c>
      <c r="M60" s="157">
        <f>E60*D60*31</f>
        <v>2213.4</v>
      </c>
      <c r="N60" s="157">
        <v>0</v>
      </c>
      <c r="O60" s="157">
        <v>0</v>
      </c>
      <c r="P60" s="157">
        <v>0</v>
      </c>
      <c r="Q60" s="157">
        <v>0</v>
      </c>
      <c r="R60" s="158">
        <v>0</v>
      </c>
      <c r="S60" s="148">
        <v>212</v>
      </c>
      <c r="U60"/>
      <c r="V60" s="163"/>
    </row>
    <row r="61" spans="1:27" s="164" customFormat="1" x14ac:dyDescent="0.25">
      <c r="A61" s="159"/>
      <c r="B61" s="150">
        <v>9</v>
      </c>
      <c r="C61" s="161" t="s">
        <v>34</v>
      </c>
      <c r="D61" s="162">
        <v>78.25</v>
      </c>
      <c r="E61" s="165">
        <v>6</v>
      </c>
      <c r="F61" s="166">
        <f t="shared" si="22"/>
        <v>99534</v>
      </c>
      <c r="G61" s="155">
        <f>E61*D61*31</f>
        <v>14554.5</v>
      </c>
      <c r="H61" s="156">
        <f>E61*D61*28</f>
        <v>13146</v>
      </c>
      <c r="I61" s="155">
        <f>E61*D61*31</f>
        <v>14554.5</v>
      </c>
      <c r="J61" s="157">
        <f>E61*D61*30</f>
        <v>14085</v>
      </c>
      <c r="K61" s="157">
        <f>E61*D61*31</f>
        <v>14554.5</v>
      </c>
      <c r="L61" s="157">
        <f>E61*D61*30</f>
        <v>14085</v>
      </c>
      <c r="M61" s="157">
        <f>E61*D61*31</f>
        <v>14554.5</v>
      </c>
      <c r="N61" s="157">
        <v>0</v>
      </c>
      <c r="O61" s="157">
        <v>0</v>
      </c>
      <c r="P61" s="157">
        <v>0</v>
      </c>
      <c r="Q61" s="157">
        <v>0</v>
      </c>
      <c r="R61" s="158">
        <v>0</v>
      </c>
      <c r="S61" s="167">
        <v>212</v>
      </c>
      <c r="U61"/>
      <c r="V61" s="163"/>
    </row>
    <row r="62" spans="1:27" s="164" customFormat="1" x14ac:dyDescent="0.25">
      <c r="A62" s="159"/>
      <c r="B62" s="150">
        <v>9</v>
      </c>
      <c r="C62" s="329" t="s">
        <v>34</v>
      </c>
      <c r="D62" s="162">
        <v>78.25</v>
      </c>
      <c r="E62" s="165">
        <v>1</v>
      </c>
      <c r="F62" s="166">
        <f t="shared" ref="F62" si="30">+E62*S62*D62</f>
        <v>0</v>
      </c>
      <c r="G62" s="155">
        <v>0</v>
      </c>
      <c r="H62" s="156">
        <v>0</v>
      </c>
      <c r="I62" s="155">
        <v>0</v>
      </c>
      <c r="J62" s="157">
        <v>0</v>
      </c>
      <c r="K62" s="157">
        <v>0</v>
      </c>
      <c r="L62" s="157">
        <v>0</v>
      </c>
      <c r="M62" s="157">
        <v>0</v>
      </c>
      <c r="N62" s="157">
        <v>0</v>
      </c>
      <c r="O62" s="157">
        <v>0</v>
      </c>
      <c r="P62" s="157">
        <v>0</v>
      </c>
      <c r="Q62" s="157">
        <v>0</v>
      </c>
      <c r="R62" s="158">
        <v>0</v>
      </c>
      <c r="S62" s="167">
        <v>0</v>
      </c>
      <c r="U62"/>
      <c r="V62" s="163"/>
    </row>
    <row r="63" spans="1:27" s="164" customFormat="1" x14ac:dyDescent="0.25">
      <c r="A63" s="159"/>
      <c r="B63" s="160">
        <v>10</v>
      </c>
      <c r="C63" s="161" t="s">
        <v>48</v>
      </c>
      <c r="D63" s="162">
        <v>71.400000000000006</v>
      </c>
      <c r="E63" s="165">
        <v>47</v>
      </c>
      <c r="F63" s="166">
        <f t="shared" si="22"/>
        <v>711429.60000000009</v>
      </c>
      <c r="G63" s="155">
        <f>E63*D63*31</f>
        <v>104029.8</v>
      </c>
      <c r="H63" s="156">
        <f>E63*D63*28</f>
        <v>93962.400000000009</v>
      </c>
      <c r="I63" s="155">
        <f>E63*D63*31</f>
        <v>104029.8</v>
      </c>
      <c r="J63" s="157">
        <f>E63*D63*30</f>
        <v>100674</v>
      </c>
      <c r="K63" s="157">
        <f>E63*D63*31</f>
        <v>104029.8</v>
      </c>
      <c r="L63" s="157">
        <f>E63*D63*30</f>
        <v>100674</v>
      </c>
      <c r="M63" s="157">
        <f>E63*D63*31</f>
        <v>104029.8</v>
      </c>
      <c r="N63" s="157">
        <v>0</v>
      </c>
      <c r="O63" s="157">
        <v>0</v>
      </c>
      <c r="P63" s="157">
        <v>0</v>
      </c>
      <c r="Q63" s="157">
        <v>0</v>
      </c>
      <c r="R63" s="158">
        <v>0</v>
      </c>
      <c r="S63" s="167">
        <v>212</v>
      </c>
      <c r="U63"/>
      <c r="V63" s="163"/>
    </row>
    <row r="64" spans="1:27" s="164" customFormat="1" x14ac:dyDescent="0.25">
      <c r="A64" s="159"/>
      <c r="B64" s="160">
        <v>11</v>
      </c>
      <c r="C64" s="161" t="s">
        <v>49</v>
      </c>
      <c r="D64" s="162">
        <v>72.540000000000006</v>
      </c>
      <c r="E64" s="165">
        <v>9</v>
      </c>
      <c r="F64" s="166">
        <f t="shared" si="22"/>
        <v>138406.32</v>
      </c>
      <c r="G64" s="155">
        <f>E64*D64*31</f>
        <v>20238.66</v>
      </c>
      <c r="H64" s="156">
        <f>E64*D64*28</f>
        <v>18280.080000000002</v>
      </c>
      <c r="I64" s="155">
        <f>E64*D64*31</f>
        <v>20238.66</v>
      </c>
      <c r="J64" s="157">
        <f>E64*D64*30</f>
        <v>19585.8</v>
      </c>
      <c r="K64" s="157">
        <f>E64*D64*31</f>
        <v>20238.66</v>
      </c>
      <c r="L64" s="157">
        <f>E64*D64*30</f>
        <v>19585.8</v>
      </c>
      <c r="M64" s="157">
        <f>E64*D64*31</f>
        <v>20238.66</v>
      </c>
      <c r="N64" s="157">
        <v>0</v>
      </c>
      <c r="O64" s="157">
        <v>0</v>
      </c>
      <c r="P64" s="157">
        <v>0</v>
      </c>
      <c r="Q64" s="157">
        <v>0</v>
      </c>
      <c r="R64" s="158">
        <v>0</v>
      </c>
      <c r="S64" s="167">
        <v>212</v>
      </c>
      <c r="U64"/>
      <c r="V64" s="163"/>
    </row>
    <row r="65" spans="1:22" s="164" customFormat="1" x14ac:dyDescent="0.25">
      <c r="A65" s="159"/>
      <c r="B65" s="160">
        <v>12</v>
      </c>
      <c r="C65" s="161" t="s">
        <v>50</v>
      </c>
      <c r="D65" s="162">
        <v>71.400000000000006</v>
      </c>
      <c r="E65" s="165">
        <v>1</v>
      </c>
      <c r="F65" s="166">
        <f t="shared" si="22"/>
        <v>15136.800000000001</v>
      </c>
      <c r="G65" s="155">
        <f t="shared" ref="G65:G66" si="31">E65*D65*31</f>
        <v>2213.4</v>
      </c>
      <c r="H65" s="156">
        <f t="shared" ref="H65:H66" si="32">E65*D65*28</f>
        <v>1999.2000000000003</v>
      </c>
      <c r="I65" s="155">
        <f t="shared" ref="I65:I66" si="33">E65*D65*31</f>
        <v>2213.4</v>
      </c>
      <c r="J65" s="157">
        <f t="shared" ref="J65:J66" si="34">E65*D65*30</f>
        <v>2142</v>
      </c>
      <c r="K65" s="157">
        <f t="shared" ref="K65:K66" si="35">E65*D65*31</f>
        <v>2213.4</v>
      </c>
      <c r="L65" s="157">
        <f t="shared" ref="L65:L66" si="36">E65*D65*30</f>
        <v>2142</v>
      </c>
      <c r="M65" s="157">
        <f t="shared" ref="M65:M66" si="37">E65*D65*31</f>
        <v>2213.4</v>
      </c>
      <c r="N65" s="157">
        <v>0</v>
      </c>
      <c r="O65" s="157">
        <v>0</v>
      </c>
      <c r="P65" s="157">
        <v>0</v>
      </c>
      <c r="Q65" s="157">
        <v>0</v>
      </c>
      <c r="R65" s="158">
        <v>0</v>
      </c>
      <c r="S65" s="167">
        <v>212</v>
      </c>
      <c r="U65"/>
      <c r="V65" s="163"/>
    </row>
    <row r="66" spans="1:22" s="164" customFormat="1" x14ac:dyDescent="0.25">
      <c r="A66" s="159"/>
      <c r="B66" s="150">
        <v>13</v>
      </c>
      <c r="C66" s="161" t="s">
        <v>51</v>
      </c>
      <c r="D66" s="162">
        <v>74.63</v>
      </c>
      <c r="E66" s="165">
        <v>2</v>
      </c>
      <c r="F66" s="166">
        <f t="shared" si="22"/>
        <v>31643.119999999999</v>
      </c>
      <c r="G66" s="155">
        <f t="shared" si="31"/>
        <v>4627.0599999999995</v>
      </c>
      <c r="H66" s="156">
        <f t="shared" si="32"/>
        <v>4179.28</v>
      </c>
      <c r="I66" s="155">
        <f t="shared" si="33"/>
        <v>4627.0599999999995</v>
      </c>
      <c r="J66" s="157">
        <f t="shared" si="34"/>
        <v>4477.7999999999993</v>
      </c>
      <c r="K66" s="157">
        <f t="shared" si="35"/>
        <v>4627.0599999999995</v>
      </c>
      <c r="L66" s="157">
        <f t="shared" si="36"/>
        <v>4477.7999999999993</v>
      </c>
      <c r="M66" s="157">
        <f t="shared" si="37"/>
        <v>4627.0599999999995</v>
      </c>
      <c r="N66" s="157">
        <v>0</v>
      </c>
      <c r="O66" s="157">
        <v>0</v>
      </c>
      <c r="P66" s="157">
        <v>0</v>
      </c>
      <c r="Q66" s="157">
        <v>0</v>
      </c>
      <c r="R66" s="158">
        <v>0</v>
      </c>
      <c r="S66" s="167">
        <v>212</v>
      </c>
      <c r="U66"/>
      <c r="V66" s="163"/>
    </row>
    <row r="67" spans="1:22" x14ac:dyDescent="0.25">
      <c r="A67" s="41"/>
      <c r="B67" s="80"/>
      <c r="C67" s="81" t="s">
        <v>39</v>
      </c>
      <c r="D67" s="82"/>
      <c r="E67" s="83"/>
      <c r="F67" s="88">
        <f>2221211-SUM(F53:F66)</f>
        <v>963989.51999999955</v>
      </c>
      <c r="G67" s="118"/>
      <c r="H67" s="86"/>
      <c r="I67" s="85"/>
      <c r="J67" s="85"/>
      <c r="K67" s="85"/>
      <c r="L67" s="85"/>
      <c r="M67" s="85"/>
      <c r="N67" s="157"/>
      <c r="O67" s="157"/>
      <c r="P67" s="157"/>
      <c r="Q67" s="157"/>
      <c r="R67" s="158">
        <f>F67</f>
        <v>963989.51999999955</v>
      </c>
      <c r="S67" s="168"/>
      <c r="V67" s="149"/>
    </row>
    <row r="68" spans="1:22" ht="33.6" customHeight="1" x14ac:dyDescent="0.25">
      <c r="A68" s="41"/>
      <c r="B68" s="80"/>
      <c r="C68" s="358" t="s">
        <v>106</v>
      </c>
      <c r="D68" s="358"/>
      <c r="E68" s="169">
        <f>SUM(E70:E77)</f>
        <v>161</v>
      </c>
      <c r="F68" s="146">
        <f>SUM(F70:F78)</f>
        <v>4212701</v>
      </c>
      <c r="G68" s="146">
        <f t="shared" ref="G68:Q68" si="38">SUM(G70:G77)</f>
        <v>344510.13</v>
      </c>
      <c r="H68" s="146">
        <f t="shared" si="38"/>
        <v>329591.64</v>
      </c>
      <c r="I68" s="170">
        <f t="shared" si="38"/>
        <v>357790.53</v>
      </c>
      <c r="J68" s="146">
        <f t="shared" si="38"/>
        <v>333396.90000000002</v>
      </c>
      <c r="K68" s="146">
        <f t="shared" si="38"/>
        <v>344510.13</v>
      </c>
      <c r="L68" s="146">
        <f t="shared" si="38"/>
        <v>333396.90000000002</v>
      </c>
      <c r="M68" s="146">
        <f t="shared" si="38"/>
        <v>344510.13</v>
      </c>
      <c r="N68" s="146">
        <f t="shared" si="38"/>
        <v>0</v>
      </c>
      <c r="O68" s="146">
        <f t="shared" si="38"/>
        <v>0</v>
      </c>
      <c r="P68" s="146">
        <f t="shared" si="38"/>
        <v>0</v>
      </c>
      <c r="Q68" s="146">
        <f t="shared" si="38"/>
        <v>0</v>
      </c>
      <c r="R68" s="147">
        <f>SUM(R70:R78)</f>
        <v>1824994.6399999997</v>
      </c>
      <c r="S68" s="326">
        <f>F68-SUM(G68:R68)</f>
        <v>0</v>
      </c>
      <c r="V68" s="149"/>
    </row>
    <row r="69" spans="1:22" ht="16.899999999999999" customHeight="1" x14ac:dyDescent="0.25">
      <c r="A69" s="41"/>
      <c r="B69" s="80"/>
      <c r="C69" s="123"/>
      <c r="D69" s="123"/>
      <c r="E69" s="75" t="s">
        <v>29</v>
      </c>
      <c r="F69" s="76">
        <v>0</v>
      </c>
      <c r="G69" s="146"/>
      <c r="H69" s="146"/>
      <c r="I69" s="146"/>
      <c r="J69" s="146"/>
      <c r="K69" s="146"/>
      <c r="L69" s="146"/>
      <c r="M69" s="9"/>
      <c r="N69" s="171"/>
      <c r="O69" s="172"/>
      <c r="P69" s="146"/>
      <c r="Q69" s="146"/>
      <c r="R69" s="147"/>
      <c r="S69" s="148"/>
      <c r="V69" s="149"/>
    </row>
    <row r="70" spans="1:22" x14ac:dyDescent="0.25">
      <c r="A70" s="41"/>
      <c r="B70" s="80">
        <v>1</v>
      </c>
      <c r="C70" s="81" t="s">
        <v>41</v>
      </c>
      <c r="D70" s="82">
        <v>72.540000000000006</v>
      </c>
      <c r="E70" s="83">
        <v>1</v>
      </c>
      <c r="F70" s="85">
        <f t="shared" ref="F70:F77" si="39">+E70*S70*D70</f>
        <v>15378.480000000001</v>
      </c>
      <c r="G70" s="85">
        <f t="shared" ref="G70:G77" si="40">E70*D70*31</f>
        <v>2248.7400000000002</v>
      </c>
      <c r="H70" s="86">
        <f t="shared" ref="H70:H77" si="41">E70*D70*28</f>
        <v>2031.1200000000001</v>
      </c>
      <c r="I70" s="85">
        <f t="shared" ref="I70:I77" si="42">E70*D70*31</f>
        <v>2248.7400000000002</v>
      </c>
      <c r="J70" s="85">
        <f t="shared" ref="J70:J77" si="43">E70*D70*30</f>
        <v>2176.2000000000003</v>
      </c>
      <c r="K70" s="85">
        <f t="shared" ref="K70:K77" si="44">E70*D70*31</f>
        <v>2248.7400000000002</v>
      </c>
      <c r="L70" s="85">
        <f t="shared" ref="L70:L77" si="45">E70*D70*30</f>
        <v>2176.2000000000003</v>
      </c>
      <c r="M70" s="85">
        <f t="shared" ref="M70:M77" si="46">E70*D70*31</f>
        <v>2248.7400000000002</v>
      </c>
      <c r="N70" s="85">
        <v>0</v>
      </c>
      <c r="O70" s="85">
        <v>0</v>
      </c>
      <c r="P70" s="85">
        <v>0</v>
      </c>
      <c r="Q70" s="85">
        <v>0</v>
      </c>
      <c r="R70" s="87">
        <v>0</v>
      </c>
      <c r="S70" s="148">
        <v>212</v>
      </c>
      <c r="V70" s="149"/>
    </row>
    <row r="71" spans="1:22" x14ac:dyDescent="0.25">
      <c r="A71" s="41"/>
      <c r="B71" s="80">
        <v>2</v>
      </c>
      <c r="C71" s="81" t="s">
        <v>52</v>
      </c>
      <c r="D71" s="82">
        <v>73.59</v>
      </c>
      <c r="E71" s="83">
        <v>2</v>
      </c>
      <c r="F71" s="85">
        <f t="shared" si="39"/>
        <v>31202.16</v>
      </c>
      <c r="G71" s="85">
        <f t="shared" si="40"/>
        <v>4562.58</v>
      </c>
      <c r="H71" s="86">
        <f t="shared" si="41"/>
        <v>4121.04</v>
      </c>
      <c r="I71" s="85">
        <f t="shared" si="42"/>
        <v>4562.58</v>
      </c>
      <c r="J71" s="85">
        <f t="shared" si="43"/>
        <v>4415.4000000000005</v>
      </c>
      <c r="K71" s="85">
        <f t="shared" si="44"/>
        <v>4562.58</v>
      </c>
      <c r="L71" s="85">
        <f t="shared" si="45"/>
        <v>4415.4000000000005</v>
      </c>
      <c r="M71" s="85">
        <f t="shared" si="46"/>
        <v>4562.58</v>
      </c>
      <c r="N71" s="85">
        <v>0</v>
      </c>
      <c r="O71" s="85">
        <v>0</v>
      </c>
      <c r="P71" s="85">
        <v>0</v>
      </c>
      <c r="Q71" s="85">
        <v>0</v>
      </c>
      <c r="R71" s="87">
        <v>0</v>
      </c>
      <c r="S71" s="148">
        <v>212</v>
      </c>
      <c r="V71" s="149"/>
    </row>
    <row r="72" spans="1:22" x14ac:dyDescent="0.25">
      <c r="A72" s="41"/>
      <c r="B72" s="80">
        <v>3</v>
      </c>
      <c r="C72" s="81" t="s">
        <v>53</v>
      </c>
      <c r="D72" s="82">
        <v>74.63</v>
      </c>
      <c r="E72" s="83">
        <v>2</v>
      </c>
      <c r="F72" s="85">
        <f t="shared" si="39"/>
        <v>31643.119999999999</v>
      </c>
      <c r="G72" s="85">
        <f t="shared" si="40"/>
        <v>4627.0599999999995</v>
      </c>
      <c r="H72" s="86">
        <f t="shared" si="41"/>
        <v>4179.28</v>
      </c>
      <c r="I72" s="85">
        <f t="shared" si="42"/>
        <v>4627.0599999999995</v>
      </c>
      <c r="J72" s="85">
        <f t="shared" si="43"/>
        <v>4477.7999999999993</v>
      </c>
      <c r="K72" s="85">
        <f t="shared" si="44"/>
        <v>4627.0599999999995</v>
      </c>
      <c r="L72" s="85">
        <f t="shared" si="45"/>
        <v>4477.7999999999993</v>
      </c>
      <c r="M72" s="85">
        <f t="shared" si="46"/>
        <v>4627.0599999999995</v>
      </c>
      <c r="N72" s="85">
        <v>0</v>
      </c>
      <c r="O72" s="85">
        <v>0</v>
      </c>
      <c r="P72" s="85">
        <v>0</v>
      </c>
      <c r="Q72" s="85">
        <v>0</v>
      </c>
      <c r="R72" s="87">
        <v>0</v>
      </c>
      <c r="S72" s="148">
        <v>212</v>
      </c>
      <c r="V72" s="149"/>
    </row>
    <row r="73" spans="1:22" x14ac:dyDescent="0.25">
      <c r="A73" s="41"/>
      <c r="B73" s="80">
        <v>4</v>
      </c>
      <c r="C73" s="81" t="s">
        <v>30</v>
      </c>
      <c r="D73" s="82">
        <v>71.400000000000006</v>
      </c>
      <c r="E73" s="83">
        <v>4</v>
      </c>
      <c r="F73" s="85">
        <f t="shared" si="39"/>
        <v>60547.200000000004</v>
      </c>
      <c r="G73" s="85">
        <f t="shared" si="40"/>
        <v>8853.6</v>
      </c>
      <c r="H73" s="86">
        <f t="shared" si="41"/>
        <v>7996.8000000000011</v>
      </c>
      <c r="I73" s="85">
        <f t="shared" si="42"/>
        <v>8853.6</v>
      </c>
      <c r="J73" s="85">
        <f t="shared" si="43"/>
        <v>8568</v>
      </c>
      <c r="K73" s="85">
        <f t="shared" si="44"/>
        <v>8853.6</v>
      </c>
      <c r="L73" s="85">
        <f t="shared" si="45"/>
        <v>8568</v>
      </c>
      <c r="M73" s="85">
        <f t="shared" si="46"/>
        <v>8853.6</v>
      </c>
      <c r="N73" s="85">
        <v>0</v>
      </c>
      <c r="O73" s="85">
        <v>0</v>
      </c>
      <c r="P73" s="85">
        <v>0</v>
      </c>
      <c r="Q73" s="85">
        <v>0</v>
      </c>
      <c r="R73" s="87">
        <v>0</v>
      </c>
      <c r="S73" s="148">
        <v>212</v>
      </c>
      <c r="V73" s="149"/>
    </row>
    <row r="74" spans="1:22" x14ac:dyDescent="0.25">
      <c r="A74" s="41"/>
      <c r="B74" s="80">
        <v>6</v>
      </c>
      <c r="C74" s="81" t="s">
        <v>34</v>
      </c>
      <c r="D74" s="82">
        <v>78.25</v>
      </c>
      <c r="E74" s="83">
        <v>5</v>
      </c>
      <c r="F74" s="85">
        <f t="shared" si="39"/>
        <v>82945</v>
      </c>
      <c r="G74" s="85">
        <f t="shared" si="40"/>
        <v>12128.75</v>
      </c>
      <c r="H74" s="86">
        <f t="shared" si="41"/>
        <v>10955</v>
      </c>
      <c r="I74" s="85">
        <f t="shared" si="42"/>
        <v>12128.75</v>
      </c>
      <c r="J74" s="85">
        <f t="shared" si="43"/>
        <v>11737.5</v>
      </c>
      <c r="K74" s="85">
        <f t="shared" si="44"/>
        <v>12128.75</v>
      </c>
      <c r="L74" s="85">
        <f t="shared" si="45"/>
        <v>11737.5</v>
      </c>
      <c r="M74" s="85">
        <f t="shared" si="46"/>
        <v>12128.75</v>
      </c>
      <c r="N74" s="85">
        <v>0</v>
      </c>
      <c r="O74" s="85">
        <v>0</v>
      </c>
      <c r="P74" s="85">
        <v>0</v>
      </c>
      <c r="Q74" s="85">
        <v>0</v>
      </c>
      <c r="R74" s="87">
        <v>0</v>
      </c>
      <c r="S74" s="148">
        <v>212</v>
      </c>
      <c r="V74" s="149"/>
    </row>
    <row r="75" spans="1:22" x14ac:dyDescent="0.25">
      <c r="A75" s="41"/>
      <c r="B75" s="80">
        <v>7</v>
      </c>
      <c r="C75" s="81" t="s">
        <v>48</v>
      </c>
      <c r="D75" s="82">
        <v>71.400000000000006</v>
      </c>
      <c r="E75" s="83">
        <v>13</v>
      </c>
      <c r="F75" s="85">
        <f t="shared" si="39"/>
        <v>196778.40000000002</v>
      </c>
      <c r="G75" s="85">
        <f t="shared" si="40"/>
        <v>28774.2</v>
      </c>
      <c r="H75" s="86">
        <f t="shared" si="41"/>
        <v>25989.600000000002</v>
      </c>
      <c r="I75" s="85">
        <f t="shared" si="42"/>
        <v>28774.2</v>
      </c>
      <c r="J75" s="85">
        <f t="shared" si="43"/>
        <v>27846</v>
      </c>
      <c r="K75" s="85">
        <f t="shared" si="44"/>
        <v>28774.2</v>
      </c>
      <c r="L75" s="85">
        <f t="shared" si="45"/>
        <v>27846</v>
      </c>
      <c r="M75" s="85">
        <f t="shared" si="46"/>
        <v>28774.2</v>
      </c>
      <c r="N75" s="85">
        <v>0</v>
      </c>
      <c r="O75" s="85">
        <v>0</v>
      </c>
      <c r="P75" s="85">
        <v>0</v>
      </c>
      <c r="Q75" s="85">
        <v>0</v>
      </c>
      <c r="R75" s="87">
        <v>0</v>
      </c>
      <c r="S75" s="148">
        <v>212</v>
      </c>
      <c r="V75" s="149"/>
    </row>
    <row r="76" spans="1:22" x14ac:dyDescent="0.25">
      <c r="A76" s="41"/>
      <c r="B76" s="160">
        <v>8</v>
      </c>
      <c r="C76" s="329" t="s">
        <v>54</v>
      </c>
      <c r="D76" s="162">
        <v>71.400000000000006</v>
      </c>
      <c r="E76" s="83">
        <v>6</v>
      </c>
      <c r="F76" s="85">
        <f t="shared" si="39"/>
        <v>31701.600000000002</v>
      </c>
      <c r="G76" s="85">
        <v>0</v>
      </c>
      <c r="H76" s="86">
        <f>E76*D76*28+D76*E76*15</f>
        <v>18421.2</v>
      </c>
      <c r="I76" s="85">
        <f t="shared" si="42"/>
        <v>13280.400000000001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85">
        <v>0</v>
      </c>
      <c r="Q76" s="85">
        <v>0</v>
      </c>
      <c r="R76" s="87">
        <v>0</v>
      </c>
      <c r="S76" s="148">
        <f>15+28+31</f>
        <v>74</v>
      </c>
      <c r="V76" s="149"/>
    </row>
    <row r="77" spans="1:22" s="164" customFormat="1" x14ac:dyDescent="0.25">
      <c r="A77" s="159"/>
      <c r="B77" s="160">
        <v>8</v>
      </c>
      <c r="C77" s="161" t="s">
        <v>54</v>
      </c>
      <c r="D77" s="162">
        <v>71.400000000000006</v>
      </c>
      <c r="E77" s="83">
        <v>128</v>
      </c>
      <c r="F77" s="157">
        <f t="shared" si="39"/>
        <v>1937510.4000000001</v>
      </c>
      <c r="G77" s="85">
        <f t="shared" si="40"/>
        <v>283315.20000000001</v>
      </c>
      <c r="H77" s="86">
        <f t="shared" si="41"/>
        <v>255897.60000000003</v>
      </c>
      <c r="I77" s="85">
        <f t="shared" si="42"/>
        <v>283315.20000000001</v>
      </c>
      <c r="J77" s="85">
        <f t="shared" si="43"/>
        <v>274176</v>
      </c>
      <c r="K77" s="85">
        <f t="shared" si="44"/>
        <v>283315.20000000001</v>
      </c>
      <c r="L77" s="85">
        <f t="shared" si="45"/>
        <v>274176</v>
      </c>
      <c r="M77" s="85">
        <f t="shared" si="46"/>
        <v>283315.20000000001</v>
      </c>
      <c r="N77" s="85">
        <v>0</v>
      </c>
      <c r="O77" s="85">
        <v>0</v>
      </c>
      <c r="P77" s="85">
        <v>0</v>
      </c>
      <c r="Q77" s="85">
        <v>0</v>
      </c>
      <c r="R77" s="87">
        <v>0</v>
      </c>
      <c r="S77" s="148">
        <v>212</v>
      </c>
      <c r="T77"/>
      <c r="U77"/>
      <c r="V77" s="163"/>
    </row>
    <row r="78" spans="1:22" x14ac:dyDescent="0.25">
      <c r="A78" s="41"/>
      <c r="B78" s="80"/>
      <c r="C78" s="81" t="s">
        <v>39</v>
      </c>
      <c r="D78" s="82"/>
      <c r="E78" s="83"/>
      <c r="F78" s="84">
        <f xml:space="preserve"> 4212701-SUM(F70:F77)</f>
        <v>1824994.6399999997</v>
      </c>
      <c r="G78" s="118"/>
      <c r="H78" s="86"/>
      <c r="I78" s="85"/>
      <c r="J78" s="85"/>
      <c r="K78" s="85"/>
      <c r="L78" s="85"/>
      <c r="M78" s="85"/>
      <c r="N78" s="85"/>
      <c r="O78" s="85"/>
      <c r="P78" s="85"/>
      <c r="Q78" s="85"/>
      <c r="R78" s="173">
        <f>F78</f>
        <v>1824994.6399999997</v>
      </c>
      <c r="S78" s="174"/>
      <c r="V78" s="149"/>
    </row>
    <row r="79" spans="1:22" ht="33.6" customHeight="1" x14ac:dyDescent="0.25">
      <c r="A79" s="41"/>
      <c r="B79" s="80"/>
      <c r="C79" s="358" t="s">
        <v>107</v>
      </c>
      <c r="D79" s="358"/>
      <c r="E79" s="169">
        <f>SUM(E81:E86)</f>
        <v>25</v>
      </c>
      <c r="F79" s="146">
        <f>SUM(F81:F87)</f>
        <v>708649</v>
      </c>
      <c r="G79" s="146">
        <f t="shared" ref="G79:M79" si="47">SUM(G81:G86)</f>
        <v>55547.35</v>
      </c>
      <c r="H79" s="146">
        <f t="shared" si="47"/>
        <v>48172.600000000006</v>
      </c>
      <c r="I79" s="146">
        <f t="shared" si="47"/>
        <v>53333.95</v>
      </c>
      <c r="J79" s="146">
        <f t="shared" si="47"/>
        <v>51613.5</v>
      </c>
      <c r="K79" s="146">
        <f t="shared" si="47"/>
        <v>53333.95</v>
      </c>
      <c r="L79" s="146">
        <f t="shared" si="47"/>
        <v>51613.5</v>
      </c>
      <c r="M79" s="146">
        <f t="shared" si="47"/>
        <v>53333.95</v>
      </c>
      <c r="N79" s="146">
        <f>SUM(N81:N87)</f>
        <v>0</v>
      </c>
      <c r="O79" s="146">
        <f>SUM(O81:O87)</f>
        <v>0</v>
      </c>
      <c r="P79" s="146">
        <f>SUM(P81:P87)</f>
        <v>0</v>
      </c>
      <c r="Q79" s="146">
        <f>SUM(Q81:Q87)</f>
        <v>0</v>
      </c>
      <c r="R79" s="147">
        <f>SUM(R81:R87)</f>
        <v>341700.19999999995</v>
      </c>
      <c r="S79" s="326">
        <f>F79-SUM(G79:R79)</f>
        <v>0</v>
      </c>
      <c r="V79" s="149"/>
    </row>
    <row r="80" spans="1:22" x14ac:dyDescent="0.25">
      <c r="A80" s="41"/>
      <c r="B80" s="80"/>
      <c r="C80" s="123"/>
      <c r="D80" s="123"/>
      <c r="E80" s="75" t="s">
        <v>29</v>
      </c>
      <c r="F80" s="146">
        <v>0</v>
      </c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7"/>
      <c r="S80" s="148"/>
      <c r="V80" s="149"/>
    </row>
    <row r="81" spans="1:22" x14ac:dyDescent="0.25">
      <c r="A81" s="41"/>
      <c r="B81" s="80">
        <v>1</v>
      </c>
      <c r="C81" s="81" t="s">
        <v>30</v>
      </c>
      <c r="D81" s="82">
        <v>71.400000000000006</v>
      </c>
      <c r="E81" s="83">
        <v>5</v>
      </c>
      <c r="F81" s="85">
        <f t="shared" ref="F81:F86" si="48">+E81*S81*D81</f>
        <v>75684</v>
      </c>
      <c r="G81" s="85">
        <f>E81*D81*31</f>
        <v>11067</v>
      </c>
      <c r="H81" s="86">
        <f>E81*D81*28</f>
        <v>9996</v>
      </c>
      <c r="I81" s="85">
        <f>E81*D81*31</f>
        <v>11067</v>
      </c>
      <c r="J81" s="85">
        <f>E81*D81*30</f>
        <v>10710</v>
      </c>
      <c r="K81" s="85">
        <f>E81*D81*31</f>
        <v>11067</v>
      </c>
      <c r="L81" s="85">
        <f>E81*D81*30</f>
        <v>10710</v>
      </c>
      <c r="M81" s="85">
        <f>E81*D81*31</f>
        <v>11067</v>
      </c>
      <c r="N81" s="85">
        <v>0</v>
      </c>
      <c r="O81" s="85">
        <v>0</v>
      </c>
      <c r="P81" s="85">
        <v>0</v>
      </c>
      <c r="Q81" s="85">
        <v>0</v>
      </c>
      <c r="R81" s="87">
        <v>0</v>
      </c>
      <c r="S81" s="148">
        <v>212</v>
      </c>
      <c r="V81" s="149"/>
    </row>
    <row r="82" spans="1:22" x14ac:dyDescent="0.25">
      <c r="A82" s="41"/>
      <c r="B82" s="332">
        <v>6</v>
      </c>
      <c r="C82" s="333" t="s">
        <v>30</v>
      </c>
      <c r="D82" s="82">
        <v>71.400000000000006</v>
      </c>
      <c r="E82" s="83">
        <v>1</v>
      </c>
      <c r="F82" s="85">
        <f t="shared" si="48"/>
        <v>2213.4</v>
      </c>
      <c r="G82" s="85">
        <f>E82*D82*31</f>
        <v>2213.4</v>
      </c>
      <c r="H82" s="86">
        <v>0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  <c r="Q82" s="85">
        <v>0</v>
      </c>
      <c r="R82" s="87">
        <v>0</v>
      </c>
      <c r="S82" s="148">
        <v>31</v>
      </c>
      <c r="V82" s="149"/>
    </row>
    <row r="83" spans="1:22" x14ac:dyDescent="0.25">
      <c r="A83" s="41"/>
      <c r="B83" s="80">
        <v>2</v>
      </c>
      <c r="C83" s="81" t="s">
        <v>33</v>
      </c>
      <c r="D83" s="82">
        <v>71.400000000000006</v>
      </c>
      <c r="E83" s="83">
        <v>1</v>
      </c>
      <c r="F83" s="84">
        <f t="shared" si="48"/>
        <v>15136.800000000001</v>
      </c>
      <c r="G83" s="85">
        <f>E83*D83*31</f>
        <v>2213.4</v>
      </c>
      <c r="H83" s="86">
        <f>E83*D83*28</f>
        <v>1999.2000000000003</v>
      </c>
      <c r="I83" s="85">
        <f>E83*D83*31</f>
        <v>2213.4</v>
      </c>
      <c r="J83" s="85">
        <f>E83*D83*30</f>
        <v>2142</v>
      </c>
      <c r="K83" s="85">
        <f>E83*D83*31</f>
        <v>2213.4</v>
      </c>
      <c r="L83" s="85">
        <f>E83*D83*30</f>
        <v>2142</v>
      </c>
      <c r="M83" s="85">
        <f>E83*D83*31</f>
        <v>2213.4</v>
      </c>
      <c r="N83" s="85">
        <v>0</v>
      </c>
      <c r="O83" s="85">
        <v>0</v>
      </c>
      <c r="P83" s="85">
        <v>0</v>
      </c>
      <c r="Q83" s="85">
        <v>0</v>
      </c>
      <c r="R83" s="87">
        <v>0</v>
      </c>
      <c r="S83" s="148">
        <v>212</v>
      </c>
      <c r="V83" s="149"/>
    </row>
    <row r="84" spans="1:22" x14ac:dyDescent="0.25">
      <c r="A84" s="41"/>
      <c r="B84" s="80">
        <v>3</v>
      </c>
      <c r="C84" s="81" t="s">
        <v>34</v>
      </c>
      <c r="D84" s="82">
        <v>78.25</v>
      </c>
      <c r="E84" s="83">
        <v>1</v>
      </c>
      <c r="F84" s="85">
        <f t="shared" si="48"/>
        <v>16589</v>
      </c>
      <c r="G84" s="85">
        <f t="shared" ref="G84:G86" si="49">E84*D84*31</f>
        <v>2425.75</v>
      </c>
      <c r="H84" s="86">
        <f t="shared" ref="H84:H86" si="50">E84*D84*28</f>
        <v>2191</v>
      </c>
      <c r="I84" s="85">
        <f t="shared" ref="I84:I86" si="51">E84*D84*31</f>
        <v>2425.75</v>
      </c>
      <c r="J84" s="85">
        <f t="shared" ref="J84:J86" si="52">E84*D84*30</f>
        <v>2347.5</v>
      </c>
      <c r="K84" s="85">
        <f t="shared" ref="K84:K86" si="53">E84*D84*31</f>
        <v>2425.75</v>
      </c>
      <c r="L84" s="85">
        <f t="shared" ref="L84:L86" si="54">E84*D84*30</f>
        <v>2347.5</v>
      </c>
      <c r="M84" s="85">
        <f t="shared" ref="M84:M86" si="55">E84*D84*31</f>
        <v>2425.75</v>
      </c>
      <c r="N84" s="85">
        <v>0</v>
      </c>
      <c r="O84" s="85">
        <v>0</v>
      </c>
      <c r="P84" s="85">
        <v>0</v>
      </c>
      <c r="Q84" s="85">
        <v>0</v>
      </c>
      <c r="R84" s="87">
        <v>0</v>
      </c>
      <c r="S84" s="148">
        <v>212</v>
      </c>
      <c r="V84" s="149"/>
    </row>
    <row r="85" spans="1:22" x14ac:dyDescent="0.25">
      <c r="A85" s="41"/>
      <c r="B85" s="80">
        <v>4</v>
      </c>
      <c r="C85" s="81" t="s">
        <v>48</v>
      </c>
      <c r="D85" s="82">
        <v>71.400000000000006</v>
      </c>
      <c r="E85" s="83">
        <v>2</v>
      </c>
      <c r="F85" s="85">
        <f t="shared" si="48"/>
        <v>30273.600000000002</v>
      </c>
      <c r="G85" s="85">
        <f t="shared" si="49"/>
        <v>4426.8</v>
      </c>
      <c r="H85" s="86">
        <f t="shared" si="50"/>
        <v>3998.4000000000005</v>
      </c>
      <c r="I85" s="85">
        <f t="shared" si="51"/>
        <v>4426.8</v>
      </c>
      <c r="J85" s="85">
        <f t="shared" si="52"/>
        <v>4284</v>
      </c>
      <c r="K85" s="85">
        <f t="shared" si="53"/>
        <v>4426.8</v>
      </c>
      <c r="L85" s="85">
        <f t="shared" si="54"/>
        <v>4284</v>
      </c>
      <c r="M85" s="85">
        <f t="shared" si="55"/>
        <v>4426.8</v>
      </c>
      <c r="N85" s="85">
        <v>0</v>
      </c>
      <c r="O85" s="85">
        <v>0</v>
      </c>
      <c r="P85" s="85">
        <v>0</v>
      </c>
      <c r="Q85" s="85">
        <v>0</v>
      </c>
      <c r="R85" s="87">
        <v>0</v>
      </c>
      <c r="S85" s="148">
        <v>212</v>
      </c>
      <c r="V85" s="149"/>
    </row>
    <row r="86" spans="1:22" x14ac:dyDescent="0.25">
      <c r="A86" s="41"/>
      <c r="B86" s="80">
        <v>5</v>
      </c>
      <c r="C86" s="81" t="s">
        <v>54</v>
      </c>
      <c r="D86" s="82">
        <v>71.400000000000006</v>
      </c>
      <c r="E86" s="83">
        <f>3+12</f>
        <v>15</v>
      </c>
      <c r="F86" s="85">
        <f t="shared" si="48"/>
        <v>227052.00000000003</v>
      </c>
      <c r="G86" s="85">
        <f t="shared" si="49"/>
        <v>33201</v>
      </c>
      <c r="H86" s="86">
        <f t="shared" si="50"/>
        <v>29988</v>
      </c>
      <c r="I86" s="85">
        <f t="shared" si="51"/>
        <v>33201</v>
      </c>
      <c r="J86" s="85">
        <f t="shared" si="52"/>
        <v>32130</v>
      </c>
      <c r="K86" s="85">
        <f t="shared" si="53"/>
        <v>33201</v>
      </c>
      <c r="L86" s="85">
        <f t="shared" si="54"/>
        <v>32130</v>
      </c>
      <c r="M86" s="85">
        <f t="shared" si="55"/>
        <v>33201</v>
      </c>
      <c r="N86" s="85">
        <v>0</v>
      </c>
      <c r="O86" s="85">
        <v>0</v>
      </c>
      <c r="P86" s="85">
        <v>0</v>
      </c>
      <c r="Q86" s="85">
        <v>0</v>
      </c>
      <c r="R86" s="87">
        <v>0</v>
      </c>
      <c r="S86" s="148">
        <v>212</v>
      </c>
      <c r="V86" s="149"/>
    </row>
    <row r="87" spans="1:22" x14ac:dyDescent="0.25">
      <c r="A87" s="41"/>
      <c r="B87" s="80"/>
      <c r="C87" s="81" t="s">
        <v>39</v>
      </c>
      <c r="D87" s="82"/>
      <c r="E87" s="83"/>
      <c r="F87" s="84">
        <f>708649-SUM(F81:F86)</f>
        <v>341700.19999999995</v>
      </c>
      <c r="G87" s="118"/>
      <c r="H87" s="86"/>
      <c r="I87" s="85"/>
      <c r="J87" s="85"/>
      <c r="K87" s="85"/>
      <c r="L87" s="85"/>
      <c r="M87" s="85"/>
      <c r="N87" s="85"/>
      <c r="O87" s="175"/>
      <c r="P87" s="176"/>
      <c r="Q87" s="85"/>
      <c r="R87" s="173">
        <f>F87</f>
        <v>341700.19999999995</v>
      </c>
      <c r="S87" s="148"/>
      <c r="V87" s="149"/>
    </row>
    <row r="88" spans="1:22" s="164" customFormat="1" ht="33.6" customHeight="1" x14ac:dyDescent="0.25">
      <c r="A88" s="159"/>
      <c r="B88" s="160"/>
      <c r="C88" s="359" t="s">
        <v>108</v>
      </c>
      <c r="D88" s="359"/>
      <c r="E88" s="169">
        <f>SUM(E90:E96)</f>
        <v>22</v>
      </c>
      <c r="F88" s="146">
        <f t="shared" ref="F88:R88" si="56">SUM(F90:F97)</f>
        <v>542283</v>
      </c>
      <c r="G88" s="146">
        <f>SUM(G90:G96)</f>
        <v>46951.360000000001</v>
      </c>
      <c r="H88" s="146">
        <f t="shared" ref="H88:M88" si="57">SUM(H90:H96)</f>
        <v>44406.879999999997</v>
      </c>
      <c r="I88" s="146">
        <f t="shared" si="57"/>
        <v>49164.760000000009</v>
      </c>
      <c r="J88" s="146">
        <f t="shared" si="57"/>
        <v>47578.8</v>
      </c>
      <c r="K88" s="146">
        <f t="shared" si="57"/>
        <v>49164.760000000009</v>
      </c>
      <c r="L88" s="146">
        <f t="shared" si="57"/>
        <v>47578.8</v>
      </c>
      <c r="M88" s="146">
        <f t="shared" si="57"/>
        <v>49164.760000000009</v>
      </c>
      <c r="N88" s="146">
        <f t="shared" si="56"/>
        <v>0</v>
      </c>
      <c r="O88" s="146">
        <f t="shared" si="56"/>
        <v>0</v>
      </c>
      <c r="P88" s="146">
        <f t="shared" si="56"/>
        <v>0</v>
      </c>
      <c r="Q88" s="146">
        <f t="shared" si="56"/>
        <v>0</v>
      </c>
      <c r="R88" s="147">
        <f t="shared" si="56"/>
        <v>208272.87999999995</v>
      </c>
      <c r="S88" s="326">
        <f>F88-SUM(G88:R88)</f>
        <v>0</v>
      </c>
      <c r="V88" s="163"/>
    </row>
    <row r="89" spans="1:22" x14ac:dyDescent="0.25">
      <c r="A89" s="41"/>
      <c r="B89" s="80"/>
      <c r="C89" s="123"/>
      <c r="D89" s="172"/>
      <c r="E89" s="75" t="s">
        <v>29</v>
      </c>
      <c r="F89" s="320">
        <v>15525</v>
      </c>
      <c r="G89" s="85"/>
      <c r="H89" s="7"/>
      <c r="I89" s="146"/>
      <c r="J89" s="146"/>
      <c r="K89" s="146"/>
      <c r="L89" s="146"/>
      <c r="M89" s="146"/>
      <c r="N89" s="172"/>
      <c r="O89" s="146"/>
      <c r="P89" s="146"/>
      <c r="Q89" s="146"/>
      <c r="R89" s="147"/>
      <c r="S89" s="148"/>
      <c r="V89" s="149"/>
    </row>
    <row r="90" spans="1:22" x14ac:dyDescent="0.25">
      <c r="A90" s="41"/>
      <c r="B90" s="80">
        <v>1</v>
      </c>
      <c r="C90" s="81" t="s">
        <v>41</v>
      </c>
      <c r="D90" s="82">
        <v>72.540000000000006</v>
      </c>
      <c r="E90" s="83">
        <v>4</v>
      </c>
      <c r="F90" s="85">
        <f t="shared" ref="F90:F96" si="58">+E90*S90*D90</f>
        <v>61513.920000000006</v>
      </c>
      <c r="G90" s="85">
        <f>E90*D90*31</f>
        <v>8994.9600000000009</v>
      </c>
      <c r="H90" s="86">
        <f>E90*D90*28</f>
        <v>8124.4800000000005</v>
      </c>
      <c r="I90" s="85">
        <f>E90*D90*31</f>
        <v>8994.9600000000009</v>
      </c>
      <c r="J90" s="85">
        <f>E90*D90*30</f>
        <v>8704.8000000000011</v>
      </c>
      <c r="K90" s="85">
        <f>E90*D90*31</f>
        <v>8994.9600000000009</v>
      </c>
      <c r="L90" s="85">
        <f>E90*D90*30</f>
        <v>8704.8000000000011</v>
      </c>
      <c r="M90" s="85">
        <f>E90*D90*31</f>
        <v>8994.9600000000009</v>
      </c>
      <c r="N90" s="85">
        <v>0</v>
      </c>
      <c r="O90" s="85">
        <v>0</v>
      </c>
      <c r="P90" s="85">
        <v>0</v>
      </c>
      <c r="Q90" s="85">
        <v>0</v>
      </c>
      <c r="R90" s="87">
        <v>0</v>
      </c>
      <c r="S90" s="148">
        <v>212</v>
      </c>
      <c r="V90" s="149"/>
    </row>
    <row r="91" spans="1:22" x14ac:dyDescent="0.25">
      <c r="A91" s="41"/>
      <c r="B91" s="80">
        <v>2</v>
      </c>
      <c r="C91" s="81" t="s">
        <v>43</v>
      </c>
      <c r="D91" s="82">
        <v>71.400000000000006</v>
      </c>
      <c r="E91" s="83">
        <v>1</v>
      </c>
      <c r="F91" s="85">
        <f t="shared" si="58"/>
        <v>15136.800000000001</v>
      </c>
      <c r="G91" s="85">
        <f>E91*D91*31</f>
        <v>2213.4</v>
      </c>
      <c r="H91" s="86">
        <f>E91*D91*28</f>
        <v>1999.2000000000003</v>
      </c>
      <c r="I91" s="85">
        <f>E91*D91*31</f>
        <v>2213.4</v>
      </c>
      <c r="J91" s="85">
        <f>E91*D91*30</f>
        <v>2142</v>
      </c>
      <c r="K91" s="85">
        <f>E91*D91*31</f>
        <v>2213.4</v>
      </c>
      <c r="L91" s="85">
        <f>E91*D91*30</f>
        <v>2142</v>
      </c>
      <c r="M91" s="85">
        <f>E91*D91*31</f>
        <v>2213.4</v>
      </c>
      <c r="N91" s="85">
        <v>0</v>
      </c>
      <c r="O91" s="85">
        <v>0</v>
      </c>
      <c r="P91" s="85">
        <v>0</v>
      </c>
      <c r="Q91" s="85">
        <v>0</v>
      </c>
      <c r="R91" s="87">
        <v>0</v>
      </c>
      <c r="S91" s="148">
        <v>212</v>
      </c>
      <c r="V91" s="149"/>
    </row>
    <row r="92" spans="1:22" s="164" customFormat="1" x14ac:dyDescent="0.25">
      <c r="A92" s="159"/>
      <c r="B92" s="160">
        <v>3</v>
      </c>
      <c r="C92" s="161" t="s">
        <v>55</v>
      </c>
      <c r="D92" s="162">
        <v>72.540000000000006</v>
      </c>
      <c r="E92" s="83">
        <v>1</v>
      </c>
      <c r="F92" s="178">
        <f t="shared" si="58"/>
        <v>15378.480000000001</v>
      </c>
      <c r="G92" s="85">
        <f t="shared" ref="G92:G96" si="59">E92*D92*31</f>
        <v>2248.7400000000002</v>
      </c>
      <c r="H92" s="86">
        <f t="shared" ref="H92:H96" si="60">E92*D92*28</f>
        <v>2031.1200000000001</v>
      </c>
      <c r="I92" s="85">
        <f t="shared" ref="I92:I96" si="61">E92*D92*31</f>
        <v>2248.7400000000002</v>
      </c>
      <c r="J92" s="85">
        <f t="shared" ref="J92:J96" si="62">E92*D92*30</f>
        <v>2176.2000000000003</v>
      </c>
      <c r="K92" s="85">
        <f t="shared" ref="K92:K96" si="63">E92*D92*31</f>
        <v>2248.7400000000002</v>
      </c>
      <c r="L92" s="85">
        <f t="shared" ref="L92:L96" si="64">E92*D92*30</f>
        <v>2176.2000000000003</v>
      </c>
      <c r="M92" s="85">
        <f t="shared" ref="M92:M96" si="65">E92*D92*31</f>
        <v>2248.7400000000002</v>
      </c>
      <c r="N92" s="85">
        <v>0</v>
      </c>
      <c r="O92" s="85">
        <v>0</v>
      </c>
      <c r="P92" s="85">
        <v>0</v>
      </c>
      <c r="Q92" s="85">
        <v>0</v>
      </c>
      <c r="R92" s="87">
        <v>0</v>
      </c>
      <c r="S92" s="148">
        <v>212</v>
      </c>
      <c r="T92"/>
      <c r="U92"/>
      <c r="V92" s="163"/>
    </row>
    <row r="93" spans="1:22" x14ac:dyDescent="0.25">
      <c r="A93" s="41"/>
      <c r="B93" s="80">
        <v>4</v>
      </c>
      <c r="C93" s="81" t="s">
        <v>48</v>
      </c>
      <c r="D93" s="82">
        <v>71.400000000000006</v>
      </c>
      <c r="E93" s="83">
        <v>9</v>
      </c>
      <c r="F93" s="85">
        <f t="shared" si="58"/>
        <v>136231.20000000001</v>
      </c>
      <c r="G93" s="85">
        <f t="shared" si="59"/>
        <v>19920.600000000002</v>
      </c>
      <c r="H93" s="86">
        <f t="shared" si="60"/>
        <v>17992.8</v>
      </c>
      <c r="I93" s="85">
        <f t="shared" si="61"/>
        <v>19920.600000000002</v>
      </c>
      <c r="J93" s="85">
        <f t="shared" si="62"/>
        <v>19278</v>
      </c>
      <c r="K93" s="85">
        <f t="shared" si="63"/>
        <v>19920.600000000002</v>
      </c>
      <c r="L93" s="85">
        <f t="shared" si="64"/>
        <v>19278</v>
      </c>
      <c r="M93" s="85">
        <f t="shared" si="65"/>
        <v>19920.600000000002</v>
      </c>
      <c r="N93" s="85">
        <v>0</v>
      </c>
      <c r="O93" s="85">
        <v>0</v>
      </c>
      <c r="P93" s="85">
        <v>0</v>
      </c>
      <c r="Q93" s="85">
        <v>0</v>
      </c>
      <c r="R93" s="87">
        <v>0</v>
      </c>
      <c r="S93" s="148">
        <v>212</v>
      </c>
      <c r="V93" s="149"/>
    </row>
    <row r="94" spans="1:22" x14ac:dyDescent="0.25">
      <c r="A94" s="41"/>
      <c r="B94" s="80">
        <v>5</v>
      </c>
      <c r="C94" s="81" t="s">
        <v>54</v>
      </c>
      <c r="D94" s="82">
        <v>71.400000000000006</v>
      </c>
      <c r="E94" s="83">
        <v>5</v>
      </c>
      <c r="F94" s="85">
        <f t="shared" si="58"/>
        <v>75684</v>
      </c>
      <c r="G94" s="85">
        <f t="shared" si="59"/>
        <v>11067</v>
      </c>
      <c r="H94" s="86">
        <f t="shared" si="60"/>
        <v>9996</v>
      </c>
      <c r="I94" s="85">
        <f t="shared" si="61"/>
        <v>11067</v>
      </c>
      <c r="J94" s="85">
        <f t="shared" si="62"/>
        <v>10710</v>
      </c>
      <c r="K94" s="85">
        <f t="shared" si="63"/>
        <v>11067</v>
      </c>
      <c r="L94" s="85">
        <f t="shared" si="64"/>
        <v>10710</v>
      </c>
      <c r="M94" s="85">
        <f t="shared" si="65"/>
        <v>11067</v>
      </c>
      <c r="N94" s="85">
        <v>0</v>
      </c>
      <c r="O94" s="85">
        <v>0</v>
      </c>
      <c r="P94" s="85">
        <v>0</v>
      </c>
      <c r="Q94" s="85">
        <v>0</v>
      </c>
      <c r="R94" s="87">
        <v>0</v>
      </c>
      <c r="S94" s="148">
        <v>212</v>
      </c>
      <c r="V94" s="149"/>
    </row>
    <row r="95" spans="1:22" x14ac:dyDescent="0.25">
      <c r="A95" s="41"/>
      <c r="B95" s="331">
        <v>5</v>
      </c>
      <c r="C95" s="330" t="s">
        <v>54</v>
      </c>
      <c r="D95" s="82">
        <v>71.400000000000006</v>
      </c>
      <c r="E95" s="83">
        <v>1</v>
      </c>
      <c r="F95" s="85">
        <f t="shared" ref="F95" si="66">+E95*S95*D95</f>
        <v>12923.400000000001</v>
      </c>
      <c r="G95" s="85">
        <v>0</v>
      </c>
      <c r="H95" s="86">
        <f t="shared" ref="H95" si="67">E95*D95*28</f>
        <v>1999.2000000000003</v>
      </c>
      <c r="I95" s="85">
        <f t="shared" ref="I95" si="68">E95*D95*31</f>
        <v>2213.4</v>
      </c>
      <c r="J95" s="85">
        <f t="shared" ref="J95" si="69">E95*D95*30</f>
        <v>2142</v>
      </c>
      <c r="K95" s="85">
        <f t="shared" ref="K95" si="70">E95*D95*31</f>
        <v>2213.4</v>
      </c>
      <c r="L95" s="85">
        <f t="shared" ref="L95" si="71">E95*D95*30</f>
        <v>2142</v>
      </c>
      <c r="M95" s="85">
        <f t="shared" ref="M95" si="72">E95*D95*31</f>
        <v>2213.4</v>
      </c>
      <c r="N95" s="85">
        <v>0</v>
      </c>
      <c r="O95" s="85">
        <v>0</v>
      </c>
      <c r="P95" s="85">
        <v>0</v>
      </c>
      <c r="Q95" s="85">
        <v>0</v>
      </c>
      <c r="R95" s="87">
        <v>0</v>
      </c>
      <c r="S95" s="148">
        <f>212-31</f>
        <v>181</v>
      </c>
      <c r="V95" s="149"/>
    </row>
    <row r="96" spans="1:22" x14ac:dyDescent="0.25">
      <c r="A96" s="41"/>
      <c r="B96" s="80">
        <v>6</v>
      </c>
      <c r="C96" s="81" t="s">
        <v>32</v>
      </c>
      <c r="D96" s="82">
        <v>80.86</v>
      </c>
      <c r="E96" s="83">
        <v>1</v>
      </c>
      <c r="F96" s="85">
        <f t="shared" si="58"/>
        <v>17142.32</v>
      </c>
      <c r="G96" s="85">
        <f t="shared" si="59"/>
        <v>2506.66</v>
      </c>
      <c r="H96" s="86">
        <f t="shared" si="60"/>
        <v>2264.08</v>
      </c>
      <c r="I96" s="85">
        <f t="shared" si="61"/>
        <v>2506.66</v>
      </c>
      <c r="J96" s="85">
        <f t="shared" si="62"/>
        <v>2425.8000000000002</v>
      </c>
      <c r="K96" s="85">
        <f t="shared" si="63"/>
        <v>2506.66</v>
      </c>
      <c r="L96" s="85">
        <f t="shared" si="64"/>
        <v>2425.8000000000002</v>
      </c>
      <c r="M96" s="85">
        <f t="shared" si="65"/>
        <v>2506.66</v>
      </c>
      <c r="N96" s="85">
        <v>0</v>
      </c>
      <c r="O96" s="85">
        <v>0</v>
      </c>
      <c r="P96" s="85">
        <v>0</v>
      </c>
      <c r="Q96" s="85">
        <v>0</v>
      </c>
      <c r="R96" s="87">
        <v>0</v>
      </c>
      <c r="S96" s="148">
        <v>212</v>
      </c>
      <c r="V96" s="149"/>
    </row>
    <row r="97" spans="1:22" x14ac:dyDescent="0.25">
      <c r="A97" s="41"/>
      <c r="B97" s="80"/>
      <c r="C97" s="81" t="s">
        <v>39</v>
      </c>
      <c r="D97" s="82"/>
      <c r="E97" s="83"/>
      <c r="F97" s="157">
        <f xml:space="preserve"> 526758-SUM(F90:F96)+15525</f>
        <v>208272.87999999995</v>
      </c>
      <c r="G97" s="118"/>
      <c r="H97" s="86"/>
      <c r="I97" s="85"/>
      <c r="J97" s="85"/>
      <c r="K97" s="85"/>
      <c r="L97" s="179"/>
      <c r="M97" s="9"/>
      <c r="N97" s="85"/>
      <c r="O97" s="85"/>
      <c r="P97" s="180"/>
      <c r="Q97" s="7"/>
      <c r="R97" s="158">
        <f>F97</f>
        <v>208272.87999999995</v>
      </c>
      <c r="S97" s="148"/>
      <c r="V97" s="149"/>
    </row>
    <row r="98" spans="1:22" s="164" customFormat="1" ht="33.6" customHeight="1" x14ac:dyDescent="0.25">
      <c r="A98" s="159"/>
      <c r="B98" s="160"/>
      <c r="C98" s="359" t="s">
        <v>109</v>
      </c>
      <c r="D98" s="359"/>
      <c r="E98" s="169">
        <f>SUM(E100:E104)</f>
        <v>18</v>
      </c>
      <c r="F98" s="146">
        <f>SUM(F100:F105)</f>
        <v>469098</v>
      </c>
      <c r="G98" s="146">
        <f t="shared" ref="G98:Q98" si="73">SUM(G100:G104)</f>
        <v>35414.400000000001</v>
      </c>
      <c r="H98" s="146">
        <f t="shared" si="73"/>
        <v>38127.600000000006</v>
      </c>
      <c r="I98" s="146">
        <f t="shared" si="73"/>
        <v>39841.199999999997</v>
      </c>
      <c r="J98" s="146">
        <f t="shared" si="73"/>
        <v>34272</v>
      </c>
      <c r="K98" s="146">
        <f t="shared" si="73"/>
        <v>35414.400000000001</v>
      </c>
      <c r="L98" s="146">
        <f t="shared" si="73"/>
        <v>34272</v>
      </c>
      <c r="M98" s="146">
        <f t="shared" si="73"/>
        <v>35414.400000000001</v>
      </c>
      <c r="N98" s="146">
        <f t="shared" si="73"/>
        <v>0</v>
      </c>
      <c r="O98" s="146">
        <f t="shared" si="73"/>
        <v>0</v>
      </c>
      <c r="P98" s="146">
        <f t="shared" si="73"/>
        <v>0</v>
      </c>
      <c r="Q98" s="146">
        <f t="shared" si="73"/>
        <v>0</v>
      </c>
      <c r="R98" s="147">
        <f>SUM(R100:R105)</f>
        <v>216341.99999999997</v>
      </c>
      <c r="S98" s="326">
        <f>F98-SUM(G98:R98)</f>
        <v>0</v>
      </c>
      <c r="V98" s="163"/>
    </row>
    <row r="99" spans="1:22" x14ac:dyDescent="0.25">
      <c r="A99" s="41"/>
      <c r="B99" s="80"/>
      <c r="C99" s="123"/>
      <c r="D99" s="123"/>
      <c r="E99" s="75" t="s">
        <v>29</v>
      </c>
      <c r="F99" s="319">
        <v>130305</v>
      </c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7"/>
      <c r="S99" s="148"/>
      <c r="V99" s="149"/>
    </row>
    <row r="100" spans="1:22" x14ac:dyDescent="0.25">
      <c r="A100" s="41"/>
      <c r="B100" s="80">
        <v>1</v>
      </c>
      <c r="C100" s="81" t="s">
        <v>30</v>
      </c>
      <c r="D100" s="82">
        <v>71.400000000000006</v>
      </c>
      <c r="E100" s="165">
        <v>2</v>
      </c>
      <c r="F100" s="85">
        <f>+E100*S100*D100</f>
        <v>30273.600000000002</v>
      </c>
      <c r="G100" s="85">
        <f>E100*D100*31</f>
        <v>4426.8</v>
      </c>
      <c r="H100" s="86">
        <f>E100*D100*28</f>
        <v>3998.4000000000005</v>
      </c>
      <c r="I100" s="85">
        <f>E100*D100*31</f>
        <v>4426.8</v>
      </c>
      <c r="J100" s="85">
        <f>E100*D100*30</f>
        <v>4284</v>
      </c>
      <c r="K100" s="85">
        <f>E100*D100*31</f>
        <v>4426.8</v>
      </c>
      <c r="L100" s="85">
        <f>E100*D100*30</f>
        <v>4284</v>
      </c>
      <c r="M100" s="85">
        <f>E100*D100*31</f>
        <v>4426.8</v>
      </c>
      <c r="N100" s="85">
        <v>0</v>
      </c>
      <c r="O100" s="85">
        <v>0</v>
      </c>
      <c r="P100" s="85">
        <v>0</v>
      </c>
      <c r="Q100" s="85">
        <v>0</v>
      </c>
      <c r="R100" s="87">
        <v>0</v>
      </c>
      <c r="S100" s="148">
        <v>212</v>
      </c>
      <c r="V100" s="149"/>
    </row>
    <row r="101" spans="1:22" x14ac:dyDescent="0.25">
      <c r="A101" s="41"/>
      <c r="B101" s="80">
        <v>2</v>
      </c>
      <c r="C101" s="81" t="s">
        <v>48</v>
      </c>
      <c r="D101" s="82">
        <v>71.400000000000006</v>
      </c>
      <c r="E101" s="83">
        <v>1</v>
      </c>
      <c r="F101" s="84">
        <f>+E101*S101*D101</f>
        <v>15136.800000000001</v>
      </c>
      <c r="G101" s="85">
        <f>E101*D101*31</f>
        <v>2213.4</v>
      </c>
      <c r="H101" s="86">
        <f>E101*D101*28</f>
        <v>1999.2000000000003</v>
      </c>
      <c r="I101" s="85">
        <f>E101*D101*31</f>
        <v>2213.4</v>
      </c>
      <c r="J101" s="85">
        <f>E101*D101*30</f>
        <v>2142</v>
      </c>
      <c r="K101" s="85">
        <f>E101*D101*31</f>
        <v>2213.4</v>
      </c>
      <c r="L101" s="85">
        <f>E101*D101*30</f>
        <v>2142</v>
      </c>
      <c r="M101" s="85">
        <f>E101*D101*31</f>
        <v>2213.4</v>
      </c>
      <c r="N101" s="85">
        <v>0</v>
      </c>
      <c r="O101" s="85">
        <v>0</v>
      </c>
      <c r="P101" s="85">
        <v>0</v>
      </c>
      <c r="Q101" s="85">
        <v>0</v>
      </c>
      <c r="R101" s="87">
        <v>0</v>
      </c>
      <c r="S101" s="148">
        <v>212</v>
      </c>
      <c r="V101" s="149"/>
    </row>
    <row r="102" spans="1:22" x14ac:dyDescent="0.25">
      <c r="A102" s="41"/>
      <c r="B102" s="331">
        <v>5</v>
      </c>
      <c r="C102" s="329" t="s">
        <v>33</v>
      </c>
      <c r="D102" s="162">
        <v>71.400000000000006</v>
      </c>
      <c r="E102" s="83">
        <v>1</v>
      </c>
      <c r="F102" s="84">
        <f>+E102*S102*D102</f>
        <v>5283.6</v>
      </c>
      <c r="G102" s="85">
        <v>0</v>
      </c>
      <c r="H102" s="86">
        <f t="shared" ref="H102:H103" si="74">E102*D102*28+D102*E102*15</f>
        <v>3070.2000000000003</v>
      </c>
      <c r="I102" s="85">
        <f>E102*D102*31</f>
        <v>2213.4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  <c r="R102" s="85">
        <v>0</v>
      </c>
      <c r="S102" s="148">
        <f>15+28+31</f>
        <v>74</v>
      </c>
      <c r="V102" s="149"/>
    </row>
    <row r="103" spans="1:22" x14ac:dyDescent="0.25">
      <c r="A103" s="41"/>
      <c r="B103" s="331">
        <v>4</v>
      </c>
      <c r="C103" s="330" t="s">
        <v>54</v>
      </c>
      <c r="D103" s="82">
        <v>71.400000000000006</v>
      </c>
      <c r="E103" s="83">
        <v>1</v>
      </c>
      <c r="F103" s="84">
        <f>+E103*S103*D103</f>
        <v>5283.6</v>
      </c>
      <c r="G103" s="85">
        <v>0</v>
      </c>
      <c r="H103" s="86">
        <f t="shared" si="74"/>
        <v>3070.2000000000003</v>
      </c>
      <c r="I103" s="85">
        <f>E103*D103*31</f>
        <v>2213.4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  <c r="O103" s="85">
        <v>0</v>
      </c>
      <c r="P103" s="85">
        <v>0</v>
      </c>
      <c r="Q103" s="85">
        <v>0</v>
      </c>
      <c r="R103" s="85">
        <v>0</v>
      </c>
      <c r="S103" s="148">
        <f>15+28+31</f>
        <v>74</v>
      </c>
      <c r="V103" s="149"/>
    </row>
    <row r="104" spans="1:22" x14ac:dyDescent="0.25">
      <c r="A104" s="41"/>
      <c r="B104" s="80">
        <v>3</v>
      </c>
      <c r="C104" s="81" t="s">
        <v>54</v>
      </c>
      <c r="D104" s="82">
        <v>71.400000000000006</v>
      </c>
      <c r="E104" s="83">
        <v>13</v>
      </c>
      <c r="F104" s="85">
        <f>+E104*S104*D104</f>
        <v>196778.40000000002</v>
      </c>
      <c r="G104" s="85">
        <f>E104*D104*31</f>
        <v>28774.2</v>
      </c>
      <c r="H104" s="86">
        <f>E104*D104*28</f>
        <v>25989.600000000002</v>
      </c>
      <c r="I104" s="85">
        <f>E104*D104*31</f>
        <v>28774.2</v>
      </c>
      <c r="J104" s="85">
        <f>E104*D104*30</f>
        <v>27846</v>
      </c>
      <c r="K104" s="85">
        <f>E104*D104*31</f>
        <v>28774.2</v>
      </c>
      <c r="L104" s="85">
        <f>E104*D104*30</f>
        <v>27846</v>
      </c>
      <c r="M104" s="85">
        <f>E104*D104*31</f>
        <v>28774.2</v>
      </c>
      <c r="N104" s="85">
        <v>0</v>
      </c>
      <c r="O104" s="85">
        <v>0</v>
      </c>
      <c r="P104" s="85">
        <v>0</v>
      </c>
      <c r="Q104" s="85">
        <v>0</v>
      </c>
      <c r="R104" s="87">
        <v>0</v>
      </c>
      <c r="S104" s="148">
        <v>212</v>
      </c>
      <c r="V104" s="149"/>
    </row>
    <row r="105" spans="1:22" x14ac:dyDescent="0.25">
      <c r="A105" s="41"/>
      <c r="B105" s="80"/>
      <c r="C105" s="81" t="s">
        <v>39</v>
      </c>
      <c r="D105" s="82"/>
      <c r="E105" s="83"/>
      <c r="F105" s="85">
        <f xml:space="preserve"> 338793-SUM(F100:F104)+130305</f>
        <v>216341.99999999997</v>
      </c>
      <c r="G105" s="118"/>
      <c r="H105" s="86"/>
      <c r="I105" s="85"/>
      <c r="J105" s="85"/>
      <c r="K105" s="85"/>
      <c r="L105" s="85"/>
      <c r="M105" s="85"/>
      <c r="N105" s="85"/>
      <c r="O105" s="85"/>
      <c r="P105" s="85"/>
      <c r="Q105" s="85"/>
      <c r="R105" s="87">
        <f>F105</f>
        <v>216341.99999999997</v>
      </c>
      <c r="S105" s="148"/>
      <c r="V105" s="149"/>
    </row>
    <row r="106" spans="1:22" s="164" customFormat="1" ht="33.6" customHeight="1" x14ac:dyDescent="0.25">
      <c r="A106" s="159"/>
      <c r="B106" s="160"/>
      <c r="C106" s="359" t="s">
        <v>110</v>
      </c>
      <c r="D106" s="359"/>
      <c r="E106" s="169">
        <f>SUM(E108:E111)</f>
        <v>17</v>
      </c>
      <c r="F106" s="146">
        <f t="shared" ref="F106:R106" si="75">SUM(F108:F112)</f>
        <v>445395</v>
      </c>
      <c r="G106" s="146">
        <f>SUM(G108:G111)</f>
        <v>37828.06</v>
      </c>
      <c r="H106" s="146">
        <f t="shared" ref="H106:Q106" si="76">SUM(H108:H111)</f>
        <v>34167.279999999999</v>
      </c>
      <c r="I106" s="146">
        <f t="shared" si="76"/>
        <v>37828.06</v>
      </c>
      <c r="J106" s="146">
        <f t="shared" si="76"/>
        <v>36607.800000000003</v>
      </c>
      <c r="K106" s="146">
        <f t="shared" si="76"/>
        <v>37828.06</v>
      </c>
      <c r="L106" s="146">
        <f t="shared" si="76"/>
        <v>36607.800000000003</v>
      </c>
      <c r="M106" s="146">
        <f t="shared" si="76"/>
        <v>37828.06</v>
      </c>
      <c r="N106" s="146">
        <f t="shared" si="76"/>
        <v>0</v>
      </c>
      <c r="O106" s="146">
        <f t="shared" si="76"/>
        <v>0</v>
      </c>
      <c r="P106" s="146">
        <f t="shared" si="76"/>
        <v>0</v>
      </c>
      <c r="Q106" s="146">
        <f t="shared" si="76"/>
        <v>0</v>
      </c>
      <c r="R106" s="147">
        <f t="shared" si="75"/>
        <v>186699.87999999998</v>
      </c>
      <c r="S106" s="326">
        <f>F106-SUM(G106:R106)</f>
        <v>0</v>
      </c>
      <c r="V106" s="163"/>
    </row>
    <row r="107" spans="1:22" x14ac:dyDescent="0.25">
      <c r="A107" s="41"/>
      <c r="B107" s="80"/>
      <c r="C107" s="123"/>
      <c r="D107" s="123"/>
      <c r="E107" s="75" t="s">
        <v>29</v>
      </c>
      <c r="F107" s="321">
        <v>52122</v>
      </c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7"/>
      <c r="S107" s="148"/>
      <c r="V107" s="149"/>
    </row>
    <row r="108" spans="1:22" x14ac:dyDescent="0.25">
      <c r="A108" s="41"/>
      <c r="B108" s="80">
        <v>1</v>
      </c>
      <c r="C108" s="81" t="s">
        <v>53</v>
      </c>
      <c r="D108" s="82">
        <v>74.63</v>
      </c>
      <c r="E108" s="83">
        <v>2</v>
      </c>
      <c r="F108" s="85">
        <f t="shared" ref="F108:F111" si="77">+E108*S108*D108</f>
        <v>31643.119999999999</v>
      </c>
      <c r="G108" s="85">
        <f>E108*D108*31</f>
        <v>4627.0599999999995</v>
      </c>
      <c r="H108" s="86">
        <f>E108*D108*28</f>
        <v>4179.28</v>
      </c>
      <c r="I108" s="85">
        <f>E108*D108*31</f>
        <v>4627.0599999999995</v>
      </c>
      <c r="J108" s="85">
        <f>E108*D108*30</f>
        <v>4477.7999999999993</v>
      </c>
      <c r="K108" s="85">
        <f>E108*D108*31</f>
        <v>4627.0599999999995</v>
      </c>
      <c r="L108" s="85">
        <f>E108*D108*30</f>
        <v>4477.7999999999993</v>
      </c>
      <c r="M108" s="85">
        <f>E108*D108*31</f>
        <v>4627.0599999999995</v>
      </c>
      <c r="N108" s="85">
        <v>0</v>
      </c>
      <c r="O108" s="85">
        <v>0</v>
      </c>
      <c r="P108" s="85">
        <v>0</v>
      </c>
      <c r="Q108" s="85">
        <v>0</v>
      </c>
      <c r="R108" s="87">
        <v>0</v>
      </c>
      <c r="S108" s="148">
        <v>212</v>
      </c>
      <c r="V108" s="149"/>
    </row>
    <row r="109" spans="1:22" x14ac:dyDescent="0.25">
      <c r="A109" s="41"/>
      <c r="B109" s="80">
        <v>2</v>
      </c>
      <c r="C109" s="81" t="s">
        <v>30</v>
      </c>
      <c r="D109" s="82">
        <v>71.400000000000006</v>
      </c>
      <c r="E109" s="83">
        <v>1</v>
      </c>
      <c r="F109" s="84">
        <f t="shared" si="77"/>
        <v>15136.800000000001</v>
      </c>
      <c r="G109" s="85">
        <f>E109*D109*31</f>
        <v>2213.4</v>
      </c>
      <c r="H109" s="86">
        <f>E109*D109*28</f>
        <v>1999.2000000000003</v>
      </c>
      <c r="I109" s="85">
        <f>E109*D109*31</f>
        <v>2213.4</v>
      </c>
      <c r="J109" s="85">
        <f>E109*D109*30</f>
        <v>2142</v>
      </c>
      <c r="K109" s="85">
        <f>E109*D109*31</f>
        <v>2213.4</v>
      </c>
      <c r="L109" s="85">
        <f>E109*D109*30</f>
        <v>2142</v>
      </c>
      <c r="M109" s="85">
        <f>E109*D109*31</f>
        <v>2213.4</v>
      </c>
      <c r="N109" s="85">
        <v>0</v>
      </c>
      <c r="O109" s="85">
        <v>0</v>
      </c>
      <c r="P109" s="85">
        <v>0</v>
      </c>
      <c r="Q109" s="85">
        <v>0</v>
      </c>
      <c r="R109" s="87">
        <v>0</v>
      </c>
      <c r="S109" s="148">
        <v>212</v>
      </c>
      <c r="V109" s="149"/>
    </row>
    <row r="110" spans="1:22" x14ac:dyDescent="0.25">
      <c r="A110" s="41"/>
      <c r="B110" s="80">
        <v>3</v>
      </c>
      <c r="C110" s="81" t="s">
        <v>48</v>
      </c>
      <c r="D110" s="82">
        <v>71.400000000000006</v>
      </c>
      <c r="E110" s="83">
        <v>1</v>
      </c>
      <c r="F110" s="85">
        <f t="shared" si="77"/>
        <v>15136.800000000001</v>
      </c>
      <c r="G110" s="85">
        <f>E110*D110*31</f>
        <v>2213.4</v>
      </c>
      <c r="H110" s="86">
        <f>E110*D110*28</f>
        <v>1999.2000000000003</v>
      </c>
      <c r="I110" s="85">
        <f>E110*D110*31</f>
        <v>2213.4</v>
      </c>
      <c r="J110" s="85">
        <f>E110*D110*30</f>
        <v>2142</v>
      </c>
      <c r="K110" s="85">
        <f>E110*D110*31</f>
        <v>2213.4</v>
      </c>
      <c r="L110" s="85">
        <f>E110*D110*30</f>
        <v>2142</v>
      </c>
      <c r="M110" s="85">
        <f>E110*D110*31</f>
        <v>2213.4</v>
      </c>
      <c r="N110" s="85">
        <v>0</v>
      </c>
      <c r="O110" s="85">
        <v>0</v>
      </c>
      <c r="P110" s="85">
        <v>0</v>
      </c>
      <c r="Q110" s="85">
        <v>0</v>
      </c>
      <c r="R110" s="87">
        <v>0</v>
      </c>
      <c r="S110" s="148">
        <v>212</v>
      </c>
      <c r="V110" s="149"/>
    </row>
    <row r="111" spans="1:22" x14ac:dyDescent="0.25">
      <c r="A111" s="41"/>
      <c r="B111" s="80">
        <v>4</v>
      </c>
      <c r="C111" s="81" t="s">
        <v>54</v>
      </c>
      <c r="D111" s="82">
        <v>71.400000000000006</v>
      </c>
      <c r="E111" s="83">
        <v>13</v>
      </c>
      <c r="F111" s="85">
        <f t="shared" si="77"/>
        <v>196778.40000000002</v>
      </c>
      <c r="G111" s="85">
        <f>E111*D111*31</f>
        <v>28774.2</v>
      </c>
      <c r="H111" s="86">
        <f>E111*D111*28</f>
        <v>25989.600000000002</v>
      </c>
      <c r="I111" s="85">
        <f>E111*D111*31</f>
        <v>28774.2</v>
      </c>
      <c r="J111" s="85">
        <f>E111*D111*30</f>
        <v>27846</v>
      </c>
      <c r="K111" s="85">
        <f>E111*D111*31</f>
        <v>28774.2</v>
      </c>
      <c r="L111" s="85">
        <f>E111*D111*30</f>
        <v>27846</v>
      </c>
      <c r="M111" s="85">
        <f>E111*D111*31</f>
        <v>28774.2</v>
      </c>
      <c r="N111" s="85">
        <v>0</v>
      </c>
      <c r="O111" s="85">
        <v>0</v>
      </c>
      <c r="P111" s="85">
        <v>0</v>
      </c>
      <c r="Q111" s="85">
        <v>0</v>
      </c>
      <c r="R111" s="87">
        <v>0</v>
      </c>
      <c r="S111" s="148">
        <v>212</v>
      </c>
      <c r="V111" s="149"/>
    </row>
    <row r="112" spans="1:22" x14ac:dyDescent="0.25">
      <c r="A112" s="41"/>
      <c r="B112" s="80"/>
      <c r="C112" s="81" t="s">
        <v>39</v>
      </c>
      <c r="D112" s="82"/>
      <c r="E112" s="83"/>
      <c r="F112" s="157">
        <f>393273-SUM(F108:F111)+52122</f>
        <v>186699.87999999998</v>
      </c>
      <c r="G112" s="118"/>
      <c r="H112" s="86"/>
      <c r="I112" s="85"/>
      <c r="J112" s="85"/>
      <c r="K112" s="85"/>
      <c r="L112" s="85"/>
      <c r="M112" s="85"/>
      <c r="N112" s="85"/>
      <c r="O112" s="85"/>
      <c r="P112" s="85"/>
      <c r="Q112" s="85"/>
      <c r="R112" s="158">
        <f>F112</f>
        <v>186699.87999999998</v>
      </c>
      <c r="S112" s="148"/>
      <c r="V112" s="149"/>
    </row>
    <row r="113" spans="1:22" s="164" customFormat="1" ht="33.6" customHeight="1" x14ac:dyDescent="0.25">
      <c r="A113" s="159"/>
      <c r="B113" s="160"/>
      <c r="C113" s="359" t="s">
        <v>111</v>
      </c>
      <c r="D113" s="359"/>
      <c r="E113" s="169">
        <f>SUM(E115:E117)</f>
        <v>10</v>
      </c>
      <c r="F113" s="181">
        <f>SUM(F115:F118)</f>
        <v>234549</v>
      </c>
      <c r="G113" s="181">
        <f>SUM(G115:G117)</f>
        <v>19920.600000000002</v>
      </c>
      <c r="H113" s="181">
        <f t="shared" ref="H113:Q113" si="78">SUM(H115:H117)</f>
        <v>21063.000000000004</v>
      </c>
      <c r="I113" s="181">
        <f t="shared" si="78"/>
        <v>22134</v>
      </c>
      <c r="J113" s="181">
        <f t="shared" si="78"/>
        <v>19278</v>
      </c>
      <c r="K113" s="181">
        <f t="shared" si="78"/>
        <v>19920.600000000002</v>
      </c>
      <c r="L113" s="181">
        <f t="shared" si="78"/>
        <v>19278</v>
      </c>
      <c r="M113" s="181">
        <f t="shared" si="78"/>
        <v>19920.600000000002</v>
      </c>
      <c r="N113" s="181">
        <f t="shared" si="78"/>
        <v>0</v>
      </c>
      <c r="O113" s="181">
        <f t="shared" si="78"/>
        <v>0</v>
      </c>
      <c r="P113" s="181">
        <f t="shared" si="78"/>
        <v>0</v>
      </c>
      <c r="Q113" s="181">
        <f t="shared" si="78"/>
        <v>0</v>
      </c>
      <c r="R113" s="182">
        <f t="shared" ref="R113" si="79">SUM(R115:R118)</f>
        <v>93034.199999999983</v>
      </c>
      <c r="S113" s="326">
        <f>F113-SUM(G113:R113)</f>
        <v>0</v>
      </c>
      <c r="V113" s="163"/>
    </row>
    <row r="114" spans="1:22" x14ac:dyDescent="0.25">
      <c r="A114" s="41"/>
      <c r="B114" s="80"/>
      <c r="C114" s="123"/>
      <c r="D114" s="123"/>
      <c r="E114" s="75" t="s">
        <v>29</v>
      </c>
      <c r="F114" s="146">
        <v>0</v>
      </c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7"/>
      <c r="S114" s="148"/>
      <c r="V114" s="149"/>
    </row>
    <row r="115" spans="1:22" x14ac:dyDescent="0.25">
      <c r="A115" s="41"/>
      <c r="B115" s="80">
        <v>1</v>
      </c>
      <c r="C115" s="81" t="s">
        <v>30</v>
      </c>
      <c r="D115" s="82">
        <v>71.400000000000006</v>
      </c>
      <c r="E115" s="83">
        <v>1</v>
      </c>
      <c r="F115" s="85">
        <f>+E115*S115*D115</f>
        <v>15136.800000000001</v>
      </c>
      <c r="G115" s="85">
        <f>E115*D115*31</f>
        <v>2213.4</v>
      </c>
      <c r="H115" s="86">
        <f>E115*D115*28</f>
        <v>1999.2000000000003</v>
      </c>
      <c r="I115" s="85">
        <f>E115*D115*31</f>
        <v>2213.4</v>
      </c>
      <c r="J115" s="85">
        <f>E115*D115*30</f>
        <v>2142</v>
      </c>
      <c r="K115" s="85">
        <f>E115*D115*31</f>
        <v>2213.4</v>
      </c>
      <c r="L115" s="85">
        <f>E115*D115*30</f>
        <v>2142</v>
      </c>
      <c r="M115" s="85">
        <f>E115*D115*31</f>
        <v>2213.4</v>
      </c>
      <c r="N115" s="85">
        <v>0</v>
      </c>
      <c r="O115" s="85">
        <v>0</v>
      </c>
      <c r="P115" s="85">
        <v>0</v>
      </c>
      <c r="Q115" s="85">
        <v>0</v>
      </c>
      <c r="R115" s="87">
        <v>0</v>
      </c>
      <c r="S115" s="183">
        <v>212</v>
      </c>
      <c r="V115" s="149"/>
    </row>
    <row r="116" spans="1:22" x14ac:dyDescent="0.25">
      <c r="A116" s="41"/>
      <c r="B116" s="331">
        <v>3</v>
      </c>
      <c r="C116" s="330" t="s">
        <v>54</v>
      </c>
      <c r="D116" s="82">
        <v>71.400000000000006</v>
      </c>
      <c r="E116" s="83">
        <v>1</v>
      </c>
      <c r="F116" s="85">
        <f>+E116*S116*D116</f>
        <v>5283.6</v>
      </c>
      <c r="G116" s="85">
        <v>0</v>
      </c>
      <c r="H116" s="86">
        <f>E116*D116*28+D116*E116*15</f>
        <v>3070.2000000000003</v>
      </c>
      <c r="I116" s="85">
        <f>E116*D116*31</f>
        <v>2213.4</v>
      </c>
      <c r="J116" s="85">
        <v>0</v>
      </c>
      <c r="K116" s="85">
        <v>0</v>
      </c>
      <c r="L116" s="85">
        <v>0</v>
      </c>
      <c r="M116" s="85">
        <v>0</v>
      </c>
      <c r="N116" s="85">
        <v>0</v>
      </c>
      <c r="O116" s="85">
        <v>0</v>
      </c>
      <c r="P116" s="85">
        <v>0</v>
      </c>
      <c r="Q116" s="85">
        <v>0</v>
      </c>
      <c r="R116" s="87">
        <v>0</v>
      </c>
      <c r="S116" s="148">
        <f>15+28+31</f>
        <v>74</v>
      </c>
      <c r="V116" s="149"/>
    </row>
    <row r="117" spans="1:22" x14ac:dyDescent="0.25">
      <c r="A117" s="41"/>
      <c r="B117" s="80">
        <v>2</v>
      </c>
      <c r="C117" s="81" t="s">
        <v>54</v>
      </c>
      <c r="D117" s="82">
        <v>71.400000000000006</v>
      </c>
      <c r="E117" s="83">
        <v>8</v>
      </c>
      <c r="F117" s="85">
        <f>+E117*S117*D117</f>
        <v>121094.40000000001</v>
      </c>
      <c r="G117" s="85">
        <f>E117*D117*31</f>
        <v>17707.2</v>
      </c>
      <c r="H117" s="86">
        <f>E117*D117*28</f>
        <v>15993.600000000002</v>
      </c>
      <c r="I117" s="85">
        <f>E117*D117*31</f>
        <v>17707.2</v>
      </c>
      <c r="J117" s="85">
        <f>E117*D117*30</f>
        <v>17136</v>
      </c>
      <c r="K117" s="85">
        <f>E117*D117*31</f>
        <v>17707.2</v>
      </c>
      <c r="L117" s="85">
        <f>E117*D117*30</f>
        <v>17136</v>
      </c>
      <c r="M117" s="85">
        <f>E117*D117*31</f>
        <v>17707.2</v>
      </c>
      <c r="N117" s="85">
        <v>0</v>
      </c>
      <c r="O117" s="85">
        <v>0</v>
      </c>
      <c r="P117" s="85">
        <v>0</v>
      </c>
      <c r="Q117" s="85">
        <v>0</v>
      </c>
      <c r="R117" s="87">
        <v>0</v>
      </c>
      <c r="S117" s="148">
        <v>212</v>
      </c>
      <c r="V117" s="149"/>
    </row>
    <row r="118" spans="1:22" x14ac:dyDescent="0.25">
      <c r="A118" s="41"/>
      <c r="B118" s="80"/>
      <c r="C118" s="81" t="s">
        <v>39</v>
      </c>
      <c r="D118" s="82"/>
      <c r="E118" s="83"/>
      <c r="F118" s="84">
        <f>234549-SUM(F115:F117)</f>
        <v>93034.199999999983</v>
      </c>
      <c r="G118" s="118"/>
      <c r="H118" s="86"/>
      <c r="I118" s="85"/>
      <c r="J118" s="85"/>
      <c r="K118" s="85"/>
      <c r="L118" s="85"/>
      <c r="M118" s="85"/>
      <c r="N118" s="85"/>
      <c r="O118" s="85"/>
      <c r="P118" s="85"/>
      <c r="Q118" s="85"/>
      <c r="R118" s="173">
        <f>F118</f>
        <v>93034.199999999983</v>
      </c>
      <c r="S118" s="148"/>
      <c r="V118" s="149"/>
    </row>
    <row r="119" spans="1:22" s="164" customFormat="1" ht="37.9" customHeight="1" x14ac:dyDescent="0.25">
      <c r="A119" s="159"/>
      <c r="B119" s="160"/>
      <c r="C119" s="359" t="s">
        <v>112</v>
      </c>
      <c r="D119" s="359"/>
      <c r="E119" s="169">
        <f>SUM(E121:E123,)</f>
        <v>25</v>
      </c>
      <c r="F119" s="184">
        <f t="shared" ref="F119:R119" si="80">SUM(F121:F124)</f>
        <v>677586</v>
      </c>
      <c r="G119" s="177">
        <f>SUM(G121:G123)</f>
        <v>55628.260000000009</v>
      </c>
      <c r="H119" s="177">
        <f t="shared" ref="H119:Q119" si="81">SUM(H121:H123)</f>
        <v>50244.88</v>
      </c>
      <c r="I119" s="177">
        <f t="shared" si="81"/>
        <v>55628.260000000009</v>
      </c>
      <c r="J119" s="177">
        <f t="shared" si="81"/>
        <v>53833.8</v>
      </c>
      <c r="K119" s="177">
        <f t="shared" si="81"/>
        <v>55628.260000000009</v>
      </c>
      <c r="L119" s="177">
        <f t="shared" si="81"/>
        <v>53833.8</v>
      </c>
      <c r="M119" s="177">
        <f t="shared" si="81"/>
        <v>55628.260000000009</v>
      </c>
      <c r="N119" s="177">
        <f t="shared" si="81"/>
        <v>0</v>
      </c>
      <c r="O119" s="177">
        <f t="shared" si="81"/>
        <v>0</v>
      </c>
      <c r="P119" s="177">
        <f t="shared" si="81"/>
        <v>0</v>
      </c>
      <c r="Q119" s="177">
        <f t="shared" si="81"/>
        <v>0</v>
      </c>
      <c r="R119" s="185">
        <f t="shared" si="80"/>
        <v>297160.48</v>
      </c>
      <c r="S119" s="326">
        <f>F119-SUM(G119:R119)</f>
        <v>0</v>
      </c>
      <c r="V119" s="163"/>
    </row>
    <row r="120" spans="1:22" ht="14.25" customHeight="1" x14ac:dyDescent="0.25">
      <c r="A120" s="41"/>
      <c r="B120" s="80"/>
      <c r="C120" s="123"/>
      <c r="D120" s="123"/>
      <c r="E120" s="75" t="s">
        <v>29</v>
      </c>
      <c r="F120" s="76">
        <v>0</v>
      </c>
      <c r="G120" s="177"/>
      <c r="H120" s="177"/>
      <c r="I120" s="186"/>
      <c r="J120" s="177"/>
      <c r="K120" s="177"/>
      <c r="L120" s="177"/>
      <c r="M120" s="177"/>
      <c r="N120" s="177"/>
      <c r="O120" s="177"/>
      <c r="P120" s="177"/>
      <c r="Q120" s="177"/>
      <c r="R120" s="185"/>
      <c r="S120" s="148"/>
      <c r="V120" s="149"/>
    </row>
    <row r="121" spans="1:22" x14ac:dyDescent="0.25">
      <c r="A121" s="41"/>
      <c r="B121" s="80">
        <v>1</v>
      </c>
      <c r="C121" s="81" t="s">
        <v>30</v>
      </c>
      <c r="D121" s="82">
        <v>71.400000000000006</v>
      </c>
      <c r="E121" s="83">
        <v>1</v>
      </c>
      <c r="F121" s="85">
        <f>+E121*S121*D121</f>
        <v>15136.800000000001</v>
      </c>
      <c r="G121" s="85">
        <f>E121*D121*31</f>
        <v>2213.4</v>
      </c>
      <c r="H121" s="86">
        <f>E121*D121*28</f>
        <v>1999.2000000000003</v>
      </c>
      <c r="I121" s="187">
        <f>E121*D121*31</f>
        <v>2213.4</v>
      </c>
      <c r="J121" s="85">
        <f>E121*D121*30</f>
        <v>2142</v>
      </c>
      <c r="K121" s="85">
        <f>E121*D121*31</f>
        <v>2213.4</v>
      </c>
      <c r="L121" s="85">
        <f>E121*D121*30</f>
        <v>2142</v>
      </c>
      <c r="M121" s="85">
        <f>E121*D121*31</f>
        <v>2213.4</v>
      </c>
      <c r="N121" s="85">
        <v>0</v>
      </c>
      <c r="O121" s="85">
        <v>0</v>
      </c>
      <c r="P121" s="85">
        <v>0</v>
      </c>
      <c r="Q121" s="85">
        <v>0</v>
      </c>
      <c r="R121" s="87">
        <v>0</v>
      </c>
      <c r="S121" s="183">
        <v>212</v>
      </c>
      <c r="V121" s="149"/>
    </row>
    <row r="122" spans="1:22" x14ac:dyDescent="0.25">
      <c r="A122" s="41"/>
      <c r="B122" s="80">
        <v>2</v>
      </c>
      <c r="C122" s="81" t="s">
        <v>54</v>
      </c>
      <c r="D122" s="82">
        <v>71.400000000000006</v>
      </c>
      <c r="E122" s="83">
        <v>23</v>
      </c>
      <c r="F122" s="84">
        <f>+E122*S122*D122</f>
        <v>348146.4</v>
      </c>
      <c r="G122" s="85">
        <f>E122*D122*31</f>
        <v>50908.200000000004</v>
      </c>
      <c r="H122" s="86">
        <f>E122*D122*28</f>
        <v>45981.599999999999</v>
      </c>
      <c r="I122" s="187">
        <f>E122*D122*31</f>
        <v>50908.200000000004</v>
      </c>
      <c r="J122" s="85">
        <f>E122*D122*30</f>
        <v>49266</v>
      </c>
      <c r="K122" s="85">
        <f>E122*D122*31</f>
        <v>50908.200000000004</v>
      </c>
      <c r="L122" s="85">
        <f>E122*D122*30</f>
        <v>49266</v>
      </c>
      <c r="M122" s="85">
        <f>E122*D122*31</f>
        <v>50908.200000000004</v>
      </c>
      <c r="N122" s="85">
        <v>0</v>
      </c>
      <c r="O122" s="85">
        <v>0</v>
      </c>
      <c r="P122" s="85">
        <v>0</v>
      </c>
      <c r="Q122" s="85">
        <v>0</v>
      </c>
      <c r="R122" s="87">
        <v>0</v>
      </c>
      <c r="S122" s="183">
        <v>212</v>
      </c>
      <c r="V122" s="149"/>
    </row>
    <row r="123" spans="1:22" x14ac:dyDescent="0.25">
      <c r="A123" s="41"/>
      <c r="B123" s="80">
        <v>3</v>
      </c>
      <c r="C123" s="81" t="s">
        <v>32</v>
      </c>
      <c r="D123" s="82">
        <v>80.86</v>
      </c>
      <c r="E123" s="83">
        <v>1</v>
      </c>
      <c r="F123" s="84">
        <f>+E123*S123*D123</f>
        <v>17142.32</v>
      </c>
      <c r="G123" s="85">
        <f>E123*D123*31</f>
        <v>2506.66</v>
      </c>
      <c r="H123" s="86">
        <f>E123*D123*28</f>
        <v>2264.08</v>
      </c>
      <c r="I123" s="187">
        <f>E123*D123*31</f>
        <v>2506.66</v>
      </c>
      <c r="J123" s="85">
        <f>E123*D123*30</f>
        <v>2425.8000000000002</v>
      </c>
      <c r="K123" s="85">
        <f>E123*D123*31</f>
        <v>2506.66</v>
      </c>
      <c r="L123" s="85">
        <f>E123*D123*30</f>
        <v>2425.8000000000002</v>
      </c>
      <c r="M123" s="85">
        <f>E123*D123*31</f>
        <v>2506.66</v>
      </c>
      <c r="N123" s="85">
        <v>0</v>
      </c>
      <c r="O123" s="85">
        <v>0</v>
      </c>
      <c r="P123" s="85">
        <v>0</v>
      </c>
      <c r="Q123" s="85">
        <v>0</v>
      </c>
      <c r="R123" s="87">
        <v>0</v>
      </c>
      <c r="S123" s="148">
        <v>212</v>
      </c>
      <c r="V123" s="149"/>
    </row>
    <row r="124" spans="1:22" x14ac:dyDescent="0.25">
      <c r="A124" s="41"/>
      <c r="B124" s="80"/>
      <c r="C124" s="81" t="s">
        <v>39</v>
      </c>
      <c r="D124" s="82"/>
      <c r="E124" s="83"/>
      <c r="F124" s="157">
        <f xml:space="preserve"> 677586-SUM(F121:F123)</f>
        <v>297160.48</v>
      </c>
      <c r="G124" s="188"/>
      <c r="H124" s="189"/>
      <c r="I124" s="157"/>
      <c r="J124" s="157"/>
      <c r="K124" s="157"/>
      <c r="L124" s="157"/>
      <c r="M124" s="157"/>
      <c r="N124" s="157"/>
      <c r="O124" s="157"/>
      <c r="P124" s="157"/>
      <c r="Q124" s="157"/>
      <c r="R124" s="158">
        <f>F124</f>
        <v>297160.48</v>
      </c>
      <c r="S124" s="148"/>
      <c r="V124" s="149"/>
    </row>
    <row r="125" spans="1:22" x14ac:dyDescent="0.25">
      <c r="A125" s="41"/>
      <c r="B125" s="80"/>
      <c r="C125" s="81"/>
      <c r="D125" s="82"/>
      <c r="E125" s="83"/>
      <c r="F125" s="88"/>
      <c r="G125" s="85"/>
      <c r="H125" s="86"/>
      <c r="I125" s="85"/>
      <c r="J125" s="85"/>
      <c r="K125" s="85"/>
      <c r="L125" s="85"/>
      <c r="M125" s="85"/>
      <c r="N125" s="85"/>
      <c r="O125" s="85"/>
      <c r="P125" s="85"/>
      <c r="Q125" s="85"/>
      <c r="R125" s="87"/>
      <c r="S125" s="148"/>
      <c r="V125" s="149"/>
    </row>
    <row r="126" spans="1:22" s="164" customFormat="1" ht="33.6" customHeight="1" x14ac:dyDescent="0.25">
      <c r="A126" s="159"/>
      <c r="B126" s="160"/>
      <c r="C126" s="359" t="s">
        <v>113</v>
      </c>
      <c r="D126" s="359"/>
      <c r="E126" s="169">
        <f>SUM(E128:E129)</f>
        <v>7</v>
      </c>
      <c r="F126" s="181">
        <f>SUM(F128:F130)</f>
        <v>182427</v>
      </c>
      <c r="G126" s="181">
        <f>SUM(G128:G129)</f>
        <v>15493.800000000001</v>
      </c>
      <c r="H126" s="181">
        <f t="shared" ref="H126:Q126" si="82">SUM(H128:H129)</f>
        <v>13994.400000000001</v>
      </c>
      <c r="I126" s="181">
        <f>SUM(I128:I129)</f>
        <v>15493.800000000001</v>
      </c>
      <c r="J126" s="181">
        <f>SUM(J128:J129)</f>
        <v>14994.000000000002</v>
      </c>
      <c r="K126" s="181">
        <f>SUM(K128:K129)</f>
        <v>15493.800000000001</v>
      </c>
      <c r="L126" s="181">
        <f t="shared" si="82"/>
        <v>14994.000000000002</v>
      </c>
      <c r="M126" s="181">
        <f t="shared" si="82"/>
        <v>15493.800000000001</v>
      </c>
      <c r="N126" s="181">
        <f t="shared" si="82"/>
        <v>0</v>
      </c>
      <c r="O126" s="181">
        <f t="shared" si="82"/>
        <v>0</v>
      </c>
      <c r="P126" s="181">
        <f t="shared" si="82"/>
        <v>0</v>
      </c>
      <c r="Q126" s="181">
        <f t="shared" si="82"/>
        <v>0</v>
      </c>
      <c r="R126" s="182">
        <f>SUM(R128:R130)</f>
        <v>76469.399999999994</v>
      </c>
      <c r="S126" s="326">
        <f>F126-SUM(G126:R126)</f>
        <v>0</v>
      </c>
      <c r="V126" s="163"/>
    </row>
    <row r="127" spans="1:22" ht="13.5" customHeight="1" x14ac:dyDescent="0.25">
      <c r="A127" s="41"/>
      <c r="B127" s="80"/>
      <c r="C127" s="123"/>
      <c r="D127" s="123"/>
      <c r="E127" s="75" t="s">
        <v>29</v>
      </c>
      <c r="F127" s="76">
        <v>0</v>
      </c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2"/>
      <c r="S127" s="190"/>
      <c r="V127" s="149"/>
    </row>
    <row r="128" spans="1:22" x14ac:dyDescent="0.25">
      <c r="A128" s="41"/>
      <c r="B128" s="80">
        <v>1</v>
      </c>
      <c r="C128" s="81" t="s">
        <v>48</v>
      </c>
      <c r="D128" s="82">
        <v>71.400000000000006</v>
      </c>
      <c r="E128" s="83">
        <v>1</v>
      </c>
      <c r="F128" s="85">
        <f>+E128*S128*D128</f>
        <v>15136.800000000001</v>
      </c>
      <c r="G128" s="85">
        <f>E128*D128*31</f>
        <v>2213.4</v>
      </c>
      <c r="H128" s="86">
        <f>E128*D128*28</f>
        <v>1999.2000000000003</v>
      </c>
      <c r="I128" s="85">
        <f>E128*D128*31</f>
        <v>2213.4</v>
      </c>
      <c r="J128" s="85">
        <f>E128*D128*30</f>
        <v>2142</v>
      </c>
      <c r="K128" s="85">
        <f>E128*D128*31</f>
        <v>2213.4</v>
      </c>
      <c r="L128" s="85">
        <f>E128*D128*30</f>
        <v>2142</v>
      </c>
      <c r="M128" s="85">
        <f>E128*D128*31</f>
        <v>2213.4</v>
      </c>
      <c r="N128" s="85">
        <v>0</v>
      </c>
      <c r="O128" s="85">
        <v>0</v>
      </c>
      <c r="P128" s="85">
        <v>0</v>
      </c>
      <c r="Q128" s="85">
        <v>0</v>
      </c>
      <c r="R128" s="87">
        <v>0</v>
      </c>
      <c r="S128" s="183">
        <v>212</v>
      </c>
      <c r="V128" s="149"/>
    </row>
    <row r="129" spans="1:22" x14ac:dyDescent="0.25">
      <c r="A129" s="41"/>
      <c r="B129" s="80">
        <v>2</v>
      </c>
      <c r="C129" s="81" t="s">
        <v>54</v>
      </c>
      <c r="D129" s="82">
        <v>71.400000000000006</v>
      </c>
      <c r="E129" s="83">
        <v>6</v>
      </c>
      <c r="F129" s="85">
        <f>+E129*S129*D129</f>
        <v>90820.800000000003</v>
      </c>
      <c r="G129" s="85">
        <f>E129*D129*31</f>
        <v>13280.400000000001</v>
      </c>
      <c r="H129" s="86">
        <f>E129*D129*28</f>
        <v>11995.2</v>
      </c>
      <c r="I129" s="85">
        <f>E129*D129*31</f>
        <v>13280.400000000001</v>
      </c>
      <c r="J129" s="85">
        <f>E129*D129*30</f>
        <v>12852.000000000002</v>
      </c>
      <c r="K129" s="85">
        <f>E129*D129*31</f>
        <v>13280.400000000001</v>
      </c>
      <c r="L129" s="85">
        <f>E129*D129*30</f>
        <v>12852.000000000002</v>
      </c>
      <c r="M129" s="85">
        <f>E129*D129*31</f>
        <v>13280.400000000001</v>
      </c>
      <c r="N129" s="85">
        <v>0</v>
      </c>
      <c r="O129" s="85">
        <v>0</v>
      </c>
      <c r="P129" s="85">
        <v>0</v>
      </c>
      <c r="Q129" s="85">
        <v>0</v>
      </c>
      <c r="R129" s="87">
        <v>0</v>
      </c>
      <c r="S129" s="148">
        <v>212</v>
      </c>
      <c r="V129" s="149"/>
    </row>
    <row r="130" spans="1:22" ht="15.75" thickBot="1" x14ac:dyDescent="0.3">
      <c r="A130" s="41"/>
      <c r="B130" s="80"/>
      <c r="C130" s="81" t="s">
        <v>39</v>
      </c>
      <c r="D130" s="82"/>
      <c r="E130" s="116"/>
      <c r="F130" s="84">
        <f>182427-SUM(F128:F129)</f>
        <v>76469.399999999994</v>
      </c>
      <c r="G130" s="118"/>
      <c r="H130" s="86"/>
      <c r="I130" s="85"/>
      <c r="J130" s="85"/>
      <c r="K130" s="85"/>
      <c r="L130" s="85"/>
      <c r="M130" s="85"/>
      <c r="N130" s="85"/>
      <c r="O130" s="85"/>
      <c r="P130" s="85"/>
      <c r="Q130" s="85"/>
      <c r="R130" s="191">
        <f>F130</f>
        <v>76469.399999999994</v>
      </c>
      <c r="S130" s="148"/>
      <c r="V130" s="149"/>
    </row>
    <row r="131" spans="1:22" ht="35.25" customHeight="1" x14ac:dyDescent="0.25">
      <c r="A131" s="41"/>
      <c r="B131" s="192"/>
      <c r="C131" s="193" t="s">
        <v>56</v>
      </c>
      <c r="D131" s="194"/>
      <c r="E131" s="194"/>
      <c r="F131" s="194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7"/>
      <c r="S131" s="25"/>
    </row>
    <row r="132" spans="1:22" ht="27" customHeight="1" thickBot="1" x14ac:dyDescent="0.3">
      <c r="A132" s="41"/>
      <c r="B132" s="134"/>
      <c r="C132" s="339" t="s">
        <v>114</v>
      </c>
      <c r="D132" s="339"/>
      <c r="E132" s="135">
        <f t="shared" ref="E132:R132" si="83">E133+E156+E168+E172+E176+E180+E189</f>
        <v>108</v>
      </c>
      <c r="F132" s="198">
        <f t="shared" si="83"/>
        <v>2312263</v>
      </c>
      <c r="G132" s="198">
        <f t="shared" si="83"/>
        <v>222329.83000000002</v>
      </c>
      <c r="H132" s="198">
        <f t="shared" si="83"/>
        <v>223853.86000000007</v>
      </c>
      <c r="I132" s="198">
        <f t="shared" si="83"/>
        <v>237858.97</v>
      </c>
      <c r="J132" s="198">
        <f t="shared" si="83"/>
        <v>165505.50000000003</v>
      </c>
      <c r="K132" s="198">
        <f t="shared" si="83"/>
        <v>171022.35</v>
      </c>
      <c r="L132" s="198">
        <f t="shared" si="83"/>
        <v>165505.50000000003</v>
      </c>
      <c r="M132" s="198">
        <f t="shared" si="83"/>
        <v>171022.35</v>
      </c>
      <c r="N132" s="198">
        <f t="shared" si="83"/>
        <v>0</v>
      </c>
      <c r="O132" s="198">
        <f t="shared" si="83"/>
        <v>0</v>
      </c>
      <c r="P132" s="198">
        <f t="shared" si="83"/>
        <v>0</v>
      </c>
      <c r="Q132" s="198">
        <f t="shared" si="83"/>
        <v>0</v>
      </c>
      <c r="R132" s="199">
        <f t="shared" si="83"/>
        <v>955164.63999999978</v>
      </c>
      <c r="S132" s="326">
        <f>F132-SUM(G132:R132)</f>
        <v>0</v>
      </c>
    </row>
    <row r="133" spans="1:22" ht="25.9" customHeight="1" x14ac:dyDescent="0.25">
      <c r="A133" s="41"/>
      <c r="B133" s="139"/>
      <c r="C133" s="360" t="s">
        <v>115</v>
      </c>
      <c r="D133" s="360"/>
      <c r="E133" s="200">
        <f>SUM(E135:E153)</f>
        <v>68</v>
      </c>
      <c r="F133" s="201">
        <f>SUM(F135:F154)</f>
        <v>1758990</v>
      </c>
      <c r="G133" s="202">
        <f t="shared" ref="G133:Q133" si="84">SUM(G135:G153)</f>
        <v>146639.61000000002</v>
      </c>
      <c r="H133" s="201">
        <f t="shared" si="84"/>
        <v>137067.30000000002</v>
      </c>
      <c r="I133" s="201">
        <f t="shared" si="84"/>
        <v>148888.35</v>
      </c>
      <c r="J133" s="201">
        <f t="shared" si="84"/>
        <v>141909.30000000002</v>
      </c>
      <c r="K133" s="201">
        <f t="shared" si="84"/>
        <v>146639.61000000002</v>
      </c>
      <c r="L133" s="201">
        <f t="shared" si="84"/>
        <v>141909.30000000002</v>
      </c>
      <c r="M133" s="201">
        <f t="shared" si="84"/>
        <v>146639.61000000002</v>
      </c>
      <c r="N133" s="201">
        <f t="shared" si="84"/>
        <v>0</v>
      </c>
      <c r="O133" s="201">
        <f t="shared" si="84"/>
        <v>0</v>
      </c>
      <c r="P133" s="201">
        <f t="shared" si="84"/>
        <v>0</v>
      </c>
      <c r="Q133" s="201">
        <f t="shared" si="84"/>
        <v>0</v>
      </c>
      <c r="R133" s="203">
        <f>SUM(R135:R154)</f>
        <v>749296.91999999993</v>
      </c>
      <c r="S133" s="326">
        <f>F133-SUM(G133:R133)</f>
        <v>0</v>
      </c>
    </row>
    <row r="134" spans="1:22" x14ac:dyDescent="0.25">
      <c r="A134" s="41"/>
      <c r="B134" s="80"/>
      <c r="C134" s="123"/>
      <c r="D134" s="123"/>
      <c r="E134" s="75" t="s">
        <v>29</v>
      </c>
      <c r="F134" s="319">
        <v>-13640</v>
      </c>
      <c r="G134" s="146"/>
      <c r="H134" s="146"/>
      <c r="I134" s="146"/>
      <c r="J134" s="146"/>
      <c r="K134" s="146"/>
      <c r="L134" s="146"/>
      <c r="M134" s="204"/>
      <c r="N134" s="146"/>
      <c r="O134" s="146"/>
      <c r="P134" s="205"/>
      <c r="Q134" s="206"/>
      <c r="R134" s="147"/>
      <c r="V134" s="149"/>
    </row>
    <row r="135" spans="1:22" x14ac:dyDescent="0.25">
      <c r="A135" s="41"/>
      <c r="B135" s="150">
        <v>1</v>
      </c>
      <c r="C135" s="151" t="s">
        <v>41</v>
      </c>
      <c r="D135" s="207">
        <v>72.540000000000006</v>
      </c>
      <c r="E135" s="208">
        <v>4</v>
      </c>
      <c r="F135" s="187">
        <f t="shared" ref="F135:F144" si="85">+E135*S135*D135</f>
        <v>61513.920000000006</v>
      </c>
      <c r="G135" s="187">
        <f t="shared" ref="G135:G153" si="86">E135*D135*31</f>
        <v>8994.9600000000009</v>
      </c>
      <c r="H135" s="209">
        <f>E135*D135*28</f>
        <v>8124.4800000000005</v>
      </c>
      <c r="I135" s="187">
        <f>E135*D135*31</f>
        <v>8994.9600000000009</v>
      </c>
      <c r="J135" s="187">
        <f>E135*D135*30</f>
        <v>8704.8000000000011</v>
      </c>
      <c r="K135" s="187">
        <f>E135*D135*31</f>
        <v>8994.9600000000009</v>
      </c>
      <c r="L135" s="187">
        <f>E135*D135*30</f>
        <v>8704.8000000000011</v>
      </c>
      <c r="M135" s="85">
        <f t="shared" ref="M135:M153" si="87">E135*D135*31</f>
        <v>8994.9600000000009</v>
      </c>
      <c r="N135" s="85">
        <v>0</v>
      </c>
      <c r="O135" s="85">
        <v>0</v>
      </c>
      <c r="P135" s="85">
        <v>0</v>
      </c>
      <c r="Q135" s="85">
        <v>0</v>
      </c>
      <c r="R135" s="87">
        <v>0</v>
      </c>
      <c r="S135" s="210">
        <v>212</v>
      </c>
    </row>
    <row r="136" spans="1:22" x14ac:dyDescent="0.25">
      <c r="A136" s="41"/>
      <c r="B136" s="80">
        <v>2</v>
      </c>
      <c r="C136" s="81" t="s">
        <v>52</v>
      </c>
      <c r="D136" s="82">
        <v>73.59</v>
      </c>
      <c r="E136" s="83">
        <v>1</v>
      </c>
      <c r="F136" s="85">
        <f t="shared" si="85"/>
        <v>15601.08</v>
      </c>
      <c r="G136" s="187">
        <f t="shared" si="86"/>
        <v>2281.29</v>
      </c>
      <c r="H136" s="209">
        <f t="shared" ref="H136:H153" si="88">E136*D136*28</f>
        <v>2060.52</v>
      </c>
      <c r="I136" s="187">
        <f t="shared" ref="I136:I153" si="89">E136*D136*31</f>
        <v>2281.29</v>
      </c>
      <c r="J136" s="187">
        <f t="shared" ref="J136:J153" si="90">E136*D136*30</f>
        <v>2207.7000000000003</v>
      </c>
      <c r="K136" s="187">
        <f t="shared" ref="K136:K153" si="91">E136*D136*31</f>
        <v>2281.29</v>
      </c>
      <c r="L136" s="187">
        <f t="shared" ref="L136:L153" si="92">E136*D136*30</f>
        <v>2207.7000000000003</v>
      </c>
      <c r="M136" s="85">
        <f t="shared" si="87"/>
        <v>2281.29</v>
      </c>
      <c r="N136" s="85">
        <v>0</v>
      </c>
      <c r="O136" s="85">
        <v>0</v>
      </c>
      <c r="P136" s="85">
        <v>0</v>
      </c>
      <c r="Q136" s="85">
        <v>0</v>
      </c>
      <c r="R136" s="87">
        <v>0</v>
      </c>
      <c r="S136" s="210">
        <v>212</v>
      </c>
    </row>
    <row r="137" spans="1:22" x14ac:dyDescent="0.25">
      <c r="A137" s="41"/>
      <c r="B137" s="80">
        <v>3</v>
      </c>
      <c r="C137" s="81" t="s">
        <v>57</v>
      </c>
      <c r="D137" s="82">
        <v>77.59</v>
      </c>
      <c r="E137" s="83">
        <v>1</v>
      </c>
      <c r="F137" s="85">
        <f t="shared" si="85"/>
        <v>16449.080000000002</v>
      </c>
      <c r="G137" s="187">
        <f t="shared" si="86"/>
        <v>2405.29</v>
      </c>
      <c r="H137" s="209">
        <f t="shared" si="88"/>
        <v>2172.52</v>
      </c>
      <c r="I137" s="187">
        <f t="shared" si="89"/>
        <v>2405.29</v>
      </c>
      <c r="J137" s="187">
        <f t="shared" si="90"/>
        <v>2327.7000000000003</v>
      </c>
      <c r="K137" s="187">
        <f t="shared" si="91"/>
        <v>2405.29</v>
      </c>
      <c r="L137" s="187">
        <f t="shared" si="92"/>
        <v>2327.7000000000003</v>
      </c>
      <c r="M137" s="85">
        <f t="shared" si="87"/>
        <v>2405.29</v>
      </c>
      <c r="N137" s="85">
        <v>0</v>
      </c>
      <c r="O137" s="85">
        <v>0</v>
      </c>
      <c r="P137" s="85">
        <v>0</v>
      </c>
      <c r="Q137" s="85">
        <v>0</v>
      </c>
      <c r="R137" s="87">
        <v>0</v>
      </c>
      <c r="S137" s="210">
        <v>212</v>
      </c>
    </row>
    <row r="138" spans="1:22" x14ac:dyDescent="0.25">
      <c r="A138" s="41"/>
      <c r="B138" s="150">
        <v>4</v>
      </c>
      <c r="C138" s="90" t="s">
        <v>58</v>
      </c>
      <c r="D138" s="91">
        <v>71.400000000000006</v>
      </c>
      <c r="E138" s="92">
        <v>13</v>
      </c>
      <c r="F138" s="95">
        <f t="shared" si="85"/>
        <v>196778.40000000002</v>
      </c>
      <c r="G138" s="85">
        <f t="shared" si="86"/>
        <v>28774.2</v>
      </c>
      <c r="H138" s="86">
        <f t="shared" si="88"/>
        <v>25989.600000000002</v>
      </c>
      <c r="I138" s="85">
        <f t="shared" si="89"/>
        <v>28774.2</v>
      </c>
      <c r="J138" s="85">
        <f t="shared" si="90"/>
        <v>27846</v>
      </c>
      <c r="K138" s="85">
        <f t="shared" si="91"/>
        <v>28774.2</v>
      </c>
      <c r="L138" s="85">
        <f t="shared" si="92"/>
        <v>27846</v>
      </c>
      <c r="M138" s="95">
        <f t="shared" si="87"/>
        <v>28774.2</v>
      </c>
      <c r="N138" s="95">
        <v>0</v>
      </c>
      <c r="O138" s="95">
        <v>0</v>
      </c>
      <c r="P138" s="95">
        <v>0</v>
      </c>
      <c r="Q138" s="95">
        <v>0</v>
      </c>
      <c r="R138" s="97">
        <v>0</v>
      </c>
      <c r="S138" s="210">
        <v>212</v>
      </c>
    </row>
    <row r="139" spans="1:22" x14ac:dyDescent="0.25">
      <c r="A139" s="41"/>
      <c r="B139" s="150">
        <v>4</v>
      </c>
      <c r="C139" s="90" t="s">
        <v>58</v>
      </c>
      <c r="D139" s="91">
        <v>71.400000000000006</v>
      </c>
      <c r="E139" s="92">
        <v>1</v>
      </c>
      <c r="F139" s="95">
        <f t="shared" ref="F139" si="93">+E139*S139*D139</f>
        <v>1499.4</v>
      </c>
      <c r="G139" s="85">
        <v>0</v>
      </c>
      <c r="H139" s="86">
        <f>E139*D139*21</f>
        <v>1499.4</v>
      </c>
      <c r="I139" s="85">
        <v>0</v>
      </c>
      <c r="J139" s="85">
        <v>0</v>
      </c>
      <c r="K139" s="85">
        <v>0</v>
      </c>
      <c r="L139" s="85">
        <v>0</v>
      </c>
      <c r="M139" s="95">
        <v>0</v>
      </c>
      <c r="N139" s="95">
        <v>0</v>
      </c>
      <c r="O139" s="95">
        <v>0</v>
      </c>
      <c r="P139" s="95">
        <v>0</v>
      </c>
      <c r="Q139" s="95">
        <v>0</v>
      </c>
      <c r="R139" s="97">
        <v>0</v>
      </c>
      <c r="S139" s="210">
        <v>21</v>
      </c>
    </row>
    <row r="140" spans="1:22" x14ac:dyDescent="0.25">
      <c r="A140" s="41"/>
      <c r="B140" s="150">
        <v>4</v>
      </c>
      <c r="C140" s="90" t="s">
        <v>58</v>
      </c>
      <c r="D140" s="91">
        <v>71.400000000000006</v>
      </c>
      <c r="E140" s="92">
        <v>1</v>
      </c>
      <c r="F140" s="95">
        <f t="shared" ref="F140" si="94">+E140*S140*D140</f>
        <v>0</v>
      </c>
      <c r="G140" s="85">
        <v>0</v>
      </c>
      <c r="H140" s="86">
        <v>0</v>
      </c>
      <c r="I140" s="85">
        <v>0</v>
      </c>
      <c r="J140" s="85">
        <v>0</v>
      </c>
      <c r="K140" s="85">
        <v>0</v>
      </c>
      <c r="L140" s="85">
        <v>0</v>
      </c>
      <c r="M140" s="95">
        <v>0</v>
      </c>
      <c r="N140" s="95">
        <v>0</v>
      </c>
      <c r="O140" s="95">
        <v>0</v>
      </c>
      <c r="P140" s="95">
        <v>0</v>
      </c>
      <c r="Q140" s="95">
        <v>0</v>
      </c>
      <c r="R140" s="97">
        <v>0</v>
      </c>
      <c r="S140" s="210">
        <v>0</v>
      </c>
    </row>
    <row r="141" spans="1:22" s="164" customFormat="1" x14ac:dyDescent="0.25">
      <c r="A141" s="159"/>
      <c r="B141" s="318">
        <v>5</v>
      </c>
      <c r="C141" s="161" t="s">
        <v>43</v>
      </c>
      <c r="D141" s="162">
        <v>71.400000000000006</v>
      </c>
      <c r="E141" s="83">
        <v>1</v>
      </c>
      <c r="F141" s="157">
        <f t="shared" si="85"/>
        <v>15136.800000000001</v>
      </c>
      <c r="G141" s="85">
        <f t="shared" si="86"/>
        <v>2213.4</v>
      </c>
      <c r="H141" s="85">
        <f t="shared" si="88"/>
        <v>1999.2000000000003</v>
      </c>
      <c r="I141" s="85">
        <f t="shared" si="89"/>
        <v>2213.4</v>
      </c>
      <c r="J141" s="85">
        <f t="shared" si="90"/>
        <v>2142</v>
      </c>
      <c r="K141" s="85">
        <f t="shared" si="91"/>
        <v>2213.4</v>
      </c>
      <c r="L141" s="85">
        <f t="shared" si="92"/>
        <v>2142</v>
      </c>
      <c r="M141" s="85">
        <f t="shared" si="87"/>
        <v>2213.4</v>
      </c>
      <c r="N141" s="85">
        <v>0</v>
      </c>
      <c r="O141" s="85">
        <v>0</v>
      </c>
      <c r="P141" s="85">
        <v>0</v>
      </c>
      <c r="Q141" s="85">
        <v>0</v>
      </c>
      <c r="R141" s="87">
        <v>0</v>
      </c>
      <c r="S141" s="210">
        <v>212</v>
      </c>
    </row>
    <row r="142" spans="1:22" s="164" customFormat="1" x14ac:dyDescent="0.25">
      <c r="A142" s="159"/>
      <c r="B142" s="318">
        <v>6</v>
      </c>
      <c r="C142" s="161" t="s">
        <v>55</v>
      </c>
      <c r="D142" s="162">
        <v>72.540000000000006</v>
      </c>
      <c r="E142" s="83">
        <v>4</v>
      </c>
      <c r="F142" s="157">
        <f t="shared" si="85"/>
        <v>61513.920000000006</v>
      </c>
      <c r="G142" s="187">
        <f t="shared" si="86"/>
        <v>8994.9600000000009</v>
      </c>
      <c r="H142" s="209">
        <f t="shared" si="88"/>
        <v>8124.4800000000005</v>
      </c>
      <c r="I142" s="187">
        <f t="shared" si="89"/>
        <v>8994.9600000000009</v>
      </c>
      <c r="J142" s="187">
        <f t="shared" si="90"/>
        <v>8704.8000000000011</v>
      </c>
      <c r="K142" s="187">
        <f t="shared" si="91"/>
        <v>8994.9600000000009</v>
      </c>
      <c r="L142" s="187">
        <f t="shared" si="92"/>
        <v>8704.8000000000011</v>
      </c>
      <c r="M142" s="85">
        <f t="shared" si="87"/>
        <v>8994.9600000000009</v>
      </c>
      <c r="N142" s="85">
        <v>0</v>
      </c>
      <c r="O142" s="85">
        <v>0</v>
      </c>
      <c r="P142" s="85">
        <v>0</v>
      </c>
      <c r="Q142" s="85">
        <v>0</v>
      </c>
      <c r="R142" s="87">
        <v>0</v>
      </c>
      <c r="S142" s="210">
        <v>212</v>
      </c>
    </row>
    <row r="143" spans="1:22" s="164" customFormat="1" x14ac:dyDescent="0.25">
      <c r="A143" s="159"/>
      <c r="B143" s="150">
        <v>7</v>
      </c>
      <c r="C143" s="161" t="s">
        <v>59</v>
      </c>
      <c r="D143" s="162">
        <v>73.59</v>
      </c>
      <c r="E143" s="83">
        <v>1</v>
      </c>
      <c r="F143" s="157">
        <f t="shared" si="85"/>
        <v>15601.08</v>
      </c>
      <c r="G143" s="187">
        <f t="shared" si="86"/>
        <v>2281.29</v>
      </c>
      <c r="H143" s="209">
        <f t="shared" si="88"/>
        <v>2060.52</v>
      </c>
      <c r="I143" s="187">
        <f t="shared" si="89"/>
        <v>2281.29</v>
      </c>
      <c r="J143" s="187">
        <f t="shared" si="90"/>
        <v>2207.7000000000003</v>
      </c>
      <c r="K143" s="187">
        <f t="shared" si="91"/>
        <v>2281.29</v>
      </c>
      <c r="L143" s="187">
        <f t="shared" si="92"/>
        <v>2207.7000000000003</v>
      </c>
      <c r="M143" s="85">
        <f t="shared" si="87"/>
        <v>2281.29</v>
      </c>
      <c r="N143" s="85">
        <v>0</v>
      </c>
      <c r="O143" s="85">
        <v>0</v>
      </c>
      <c r="P143" s="85">
        <v>0</v>
      </c>
      <c r="Q143" s="85">
        <v>0</v>
      </c>
      <c r="R143" s="87">
        <v>0</v>
      </c>
      <c r="S143" s="210">
        <v>212</v>
      </c>
    </row>
    <row r="144" spans="1:22" s="164" customFormat="1" x14ac:dyDescent="0.25">
      <c r="A144" s="159"/>
      <c r="B144" s="318">
        <v>8</v>
      </c>
      <c r="C144" s="161" t="s">
        <v>60</v>
      </c>
      <c r="D144" s="162">
        <v>77.59</v>
      </c>
      <c r="E144" s="83">
        <v>2</v>
      </c>
      <c r="F144" s="157">
        <f t="shared" si="85"/>
        <v>32898.160000000003</v>
      </c>
      <c r="G144" s="187">
        <f t="shared" si="86"/>
        <v>4810.58</v>
      </c>
      <c r="H144" s="209">
        <f t="shared" si="88"/>
        <v>4345.04</v>
      </c>
      <c r="I144" s="187">
        <f t="shared" si="89"/>
        <v>4810.58</v>
      </c>
      <c r="J144" s="187">
        <f t="shared" si="90"/>
        <v>4655.4000000000005</v>
      </c>
      <c r="K144" s="187">
        <f t="shared" si="91"/>
        <v>4810.58</v>
      </c>
      <c r="L144" s="187">
        <f t="shared" si="92"/>
        <v>4655.4000000000005</v>
      </c>
      <c r="M144" s="85">
        <f t="shared" si="87"/>
        <v>4810.58</v>
      </c>
      <c r="N144" s="85">
        <v>0</v>
      </c>
      <c r="O144" s="85">
        <v>0</v>
      </c>
      <c r="P144" s="85">
        <v>0</v>
      </c>
      <c r="Q144" s="85">
        <v>0</v>
      </c>
      <c r="R144" s="87">
        <v>0</v>
      </c>
      <c r="S144" s="210">
        <v>212</v>
      </c>
    </row>
    <row r="145" spans="1:22" s="214" customFormat="1" x14ac:dyDescent="0.25">
      <c r="A145" s="213"/>
      <c r="B145" s="318">
        <v>9</v>
      </c>
      <c r="C145" s="161" t="s">
        <v>33</v>
      </c>
      <c r="D145" s="162">
        <v>71.400000000000006</v>
      </c>
      <c r="E145" s="83">
        <v>16</v>
      </c>
      <c r="F145" s="157">
        <f>+E145*S145*D145</f>
        <v>242188.80000000002</v>
      </c>
      <c r="G145" s="187">
        <f t="shared" si="86"/>
        <v>35414.400000000001</v>
      </c>
      <c r="H145" s="209">
        <f t="shared" si="88"/>
        <v>31987.200000000004</v>
      </c>
      <c r="I145" s="187">
        <f t="shared" si="89"/>
        <v>35414.400000000001</v>
      </c>
      <c r="J145" s="187">
        <f t="shared" si="90"/>
        <v>34272</v>
      </c>
      <c r="K145" s="187">
        <f t="shared" si="91"/>
        <v>35414.400000000001</v>
      </c>
      <c r="L145" s="187">
        <f t="shared" si="92"/>
        <v>34272</v>
      </c>
      <c r="M145" s="85">
        <f t="shared" si="87"/>
        <v>35414.400000000001</v>
      </c>
      <c r="N145" s="85">
        <v>0</v>
      </c>
      <c r="O145" s="85">
        <v>0</v>
      </c>
      <c r="P145" s="85">
        <v>0</v>
      </c>
      <c r="Q145" s="85">
        <v>0</v>
      </c>
      <c r="R145" s="87">
        <v>0</v>
      </c>
      <c r="S145" s="210">
        <v>212</v>
      </c>
      <c r="T145" s="164"/>
      <c r="U145" s="164"/>
    </row>
    <row r="146" spans="1:22" s="214" customFormat="1" x14ac:dyDescent="0.25">
      <c r="A146" s="213"/>
      <c r="B146" s="150">
        <v>10</v>
      </c>
      <c r="C146" s="161" t="s">
        <v>61</v>
      </c>
      <c r="D146" s="162">
        <v>75.64</v>
      </c>
      <c r="E146" s="83">
        <v>4</v>
      </c>
      <c r="F146" s="157">
        <f>+E146*S147*D146</f>
        <v>64142.720000000001</v>
      </c>
      <c r="G146" s="187">
        <f t="shared" si="86"/>
        <v>9379.36</v>
      </c>
      <c r="H146" s="209">
        <f t="shared" si="88"/>
        <v>8471.68</v>
      </c>
      <c r="I146" s="187">
        <f t="shared" si="89"/>
        <v>9379.36</v>
      </c>
      <c r="J146" s="187">
        <f t="shared" si="90"/>
        <v>9076.7999999999993</v>
      </c>
      <c r="K146" s="187">
        <f t="shared" si="91"/>
        <v>9379.36</v>
      </c>
      <c r="L146" s="187">
        <f t="shared" si="92"/>
        <v>9076.7999999999993</v>
      </c>
      <c r="M146" s="85">
        <f t="shared" si="87"/>
        <v>9379.36</v>
      </c>
      <c r="N146" s="85">
        <v>0</v>
      </c>
      <c r="O146" s="85">
        <v>0</v>
      </c>
      <c r="P146" s="85">
        <v>0</v>
      </c>
      <c r="Q146" s="85">
        <v>0</v>
      </c>
      <c r="R146" s="87">
        <v>0</v>
      </c>
      <c r="S146" s="210">
        <v>212</v>
      </c>
      <c r="T146" s="164"/>
      <c r="U146" s="164"/>
    </row>
    <row r="147" spans="1:22" s="214" customFormat="1" x14ac:dyDescent="0.25">
      <c r="A147" s="213"/>
      <c r="B147" s="318">
        <v>11</v>
      </c>
      <c r="C147" s="161" t="s">
        <v>62</v>
      </c>
      <c r="D147" s="162">
        <v>71.400000000000006</v>
      </c>
      <c r="E147" s="83">
        <v>2</v>
      </c>
      <c r="F147" s="157">
        <f>+E147*S148*D147</f>
        <v>30273.600000000002</v>
      </c>
      <c r="G147" s="187">
        <f t="shared" si="86"/>
        <v>4426.8</v>
      </c>
      <c r="H147" s="209">
        <f t="shared" si="88"/>
        <v>3998.4000000000005</v>
      </c>
      <c r="I147" s="187">
        <f t="shared" si="89"/>
        <v>4426.8</v>
      </c>
      <c r="J147" s="187">
        <f t="shared" si="90"/>
        <v>4284</v>
      </c>
      <c r="K147" s="187">
        <f t="shared" si="91"/>
        <v>4426.8</v>
      </c>
      <c r="L147" s="187">
        <f t="shared" si="92"/>
        <v>4284</v>
      </c>
      <c r="M147" s="85">
        <f t="shared" si="87"/>
        <v>4426.8</v>
      </c>
      <c r="N147" s="85">
        <v>0</v>
      </c>
      <c r="O147" s="85">
        <v>0</v>
      </c>
      <c r="P147" s="85">
        <v>0</v>
      </c>
      <c r="Q147" s="85">
        <v>0</v>
      </c>
      <c r="R147" s="87">
        <v>0</v>
      </c>
      <c r="S147" s="210">
        <v>212</v>
      </c>
      <c r="T147" s="164"/>
      <c r="U147" s="164"/>
    </row>
    <row r="148" spans="1:22" s="214" customFormat="1" x14ac:dyDescent="0.25">
      <c r="A148" s="213"/>
      <c r="B148" s="318">
        <v>12</v>
      </c>
      <c r="C148" s="161" t="s">
        <v>34</v>
      </c>
      <c r="D148" s="162">
        <v>78.25</v>
      </c>
      <c r="E148" s="83">
        <v>2</v>
      </c>
      <c r="F148" s="157">
        <f>+E148*S149*D148</f>
        <v>33178</v>
      </c>
      <c r="G148" s="187">
        <f t="shared" si="86"/>
        <v>4851.5</v>
      </c>
      <c r="H148" s="209">
        <f t="shared" si="88"/>
        <v>4382</v>
      </c>
      <c r="I148" s="187">
        <f t="shared" si="89"/>
        <v>4851.5</v>
      </c>
      <c r="J148" s="187">
        <f t="shared" si="90"/>
        <v>4695</v>
      </c>
      <c r="K148" s="187">
        <f t="shared" si="91"/>
        <v>4851.5</v>
      </c>
      <c r="L148" s="187">
        <f t="shared" si="92"/>
        <v>4695</v>
      </c>
      <c r="M148" s="85">
        <f t="shared" si="87"/>
        <v>4851.5</v>
      </c>
      <c r="N148" s="85">
        <v>0</v>
      </c>
      <c r="O148" s="85">
        <v>0</v>
      </c>
      <c r="P148" s="85">
        <v>0</v>
      </c>
      <c r="Q148" s="85">
        <v>0</v>
      </c>
      <c r="R148" s="87">
        <v>0</v>
      </c>
      <c r="S148" s="210">
        <v>212</v>
      </c>
      <c r="T148" s="164"/>
      <c r="U148" s="164"/>
    </row>
    <row r="149" spans="1:22" s="214" customFormat="1" x14ac:dyDescent="0.25">
      <c r="A149" s="213"/>
      <c r="B149" s="150">
        <v>13</v>
      </c>
      <c r="C149" s="161" t="s">
        <v>54</v>
      </c>
      <c r="D149" s="162">
        <v>71.400000000000006</v>
      </c>
      <c r="E149" s="83">
        <v>8</v>
      </c>
      <c r="F149" s="157">
        <f>+E149*S149*D149</f>
        <v>121094.40000000001</v>
      </c>
      <c r="G149" s="187">
        <f t="shared" si="86"/>
        <v>17707.2</v>
      </c>
      <c r="H149" s="209">
        <f t="shared" si="88"/>
        <v>15993.600000000002</v>
      </c>
      <c r="I149" s="187">
        <f t="shared" si="89"/>
        <v>17707.2</v>
      </c>
      <c r="J149" s="187">
        <f t="shared" si="90"/>
        <v>17136</v>
      </c>
      <c r="K149" s="187">
        <f t="shared" si="91"/>
        <v>17707.2</v>
      </c>
      <c r="L149" s="187">
        <f t="shared" si="92"/>
        <v>17136</v>
      </c>
      <c r="M149" s="85">
        <f t="shared" si="87"/>
        <v>17707.2</v>
      </c>
      <c r="N149" s="85">
        <v>0</v>
      </c>
      <c r="O149" s="85">
        <v>0</v>
      </c>
      <c r="P149" s="85">
        <v>0</v>
      </c>
      <c r="Q149" s="85">
        <v>0</v>
      </c>
      <c r="R149" s="87">
        <v>0</v>
      </c>
      <c r="S149" s="210">
        <v>212</v>
      </c>
      <c r="T149" s="164"/>
      <c r="U149" s="164"/>
    </row>
    <row r="150" spans="1:22" s="214" customFormat="1" x14ac:dyDescent="0.25">
      <c r="A150" s="213"/>
      <c r="B150" s="318">
        <v>14</v>
      </c>
      <c r="C150" s="161" t="s">
        <v>49</v>
      </c>
      <c r="D150" s="162">
        <v>72.540000000000006</v>
      </c>
      <c r="E150" s="83">
        <v>3</v>
      </c>
      <c r="F150" s="157">
        <f>+E150*S150*D150</f>
        <v>46135.44</v>
      </c>
      <c r="G150" s="187">
        <f t="shared" si="86"/>
        <v>6746.22</v>
      </c>
      <c r="H150" s="209">
        <f t="shared" si="88"/>
        <v>6093.3600000000006</v>
      </c>
      <c r="I150" s="187">
        <f t="shared" si="89"/>
        <v>6746.22</v>
      </c>
      <c r="J150" s="187">
        <f t="shared" si="90"/>
        <v>6528.6</v>
      </c>
      <c r="K150" s="187">
        <f t="shared" si="91"/>
        <v>6746.22</v>
      </c>
      <c r="L150" s="187">
        <f t="shared" si="92"/>
        <v>6528.6</v>
      </c>
      <c r="M150" s="85">
        <f t="shared" si="87"/>
        <v>6746.22</v>
      </c>
      <c r="N150" s="85">
        <v>0</v>
      </c>
      <c r="O150" s="85">
        <v>0</v>
      </c>
      <c r="P150" s="85">
        <v>0</v>
      </c>
      <c r="Q150" s="85">
        <v>0</v>
      </c>
      <c r="R150" s="87">
        <v>0</v>
      </c>
      <c r="S150" s="210">
        <v>212</v>
      </c>
      <c r="T150" s="164"/>
      <c r="U150" s="164"/>
    </row>
    <row r="151" spans="1:22" ht="26.25" x14ac:dyDescent="0.25">
      <c r="A151" s="41"/>
      <c r="B151" s="318">
        <v>15</v>
      </c>
      <c r="C151" s="161" t="s">
        <v>38</v>
      </c>
      <c r="D151" s="162">
        <v>75.64</v>
      </c>
      <c r="E151" s="83">
        <v>1</v>
      </c>
      <c r="F151" s="157">
        <f>+E151*S151*D151</f>
        <v>16035.68</v>
      </c>
      <c r="G151" s="187">
        <f t="shared" si="86"/>
        <v>2344.84</v>
      </c>
      <c r="H151" s="209">
        <f t="shared" si="88"/>
        <v>2117.92</v>
      </c>
      <c r="I151" s="187">
        <f t="shared" si="89"/>
        <v>2344.84</v>
      </c>
      <c r="J151" s="187">
        <f t="shared" si="90"/>
        <v>2269.1999999999998</v>
      </c>
      <c r="K151" s="187">
        <f t="shared" si="91"/>
        <v>2344.84</v>
      </c>
      <c r="L151" s="187">
        <f t="shared" si="92"/>
        <v>2269.1999999999998</v>
      </c>
      <c r="M151" s="85">
        <f t="shared" si="87"/>
        <v>2344.84</v>
      </c>
      <c r="N151" s="85">
        <v>0</v>
      </c>
      <c r="O151" s="85">
        <v>0</v>
      </c>
      <c r="P151" s="85">
        <v>0</v>
      </c>
      <c r="Q151" s="85">
        <v>0</v>
      </c>
      <c r="R151" s="87">
        <v>0</v>
      </c>
      <c r="S151" s="210">
        <v>212</v>
      </c>
    </row>
    <row r="152" spans="1:22" x14ac:dyDescent="0.25">
      <c r="A152" s="41"/>
      <c r="B152" s="150">
        <v>17</v>
      </c>
      <c r="C152" s="329" t="s">
        <v>127</v>
      </c>
      <c r="D152" s="162">
        <v>72.540000000000006</v>
      </c>
      <c r="E152" s="83">
        <v>1</v>
      </c>
      <c r="F152" s="157">
        <f>+E152*S152*D152</f>
        <v>5367.96</v>
      </c>
      <c r="G152" s="187">
        <v>0</v>
      </c>
      <c r="H152" s="209">
        <f>E152*D152*28+D152*E152*15</f>
        <v>3119.2200000000003</v>
      </c>
      <c r="I152" s="187">
        <f t="shared" si="89"/>
        <v>2248.7400000000002</v>
      </c>
      <c r="J152" s="187">
        <v>0</v>
      </c>
      <c r="K152" s="187">
        <v>0</v>
      </c>
      <c r="L152" s="187">
        <v>0</v>
      </c>
      <c r="M152" s="85">
        <v>0</v>
      </c>
      <c r="N152" s="85">
        <v>0</v>
      </c>
      <c r="O152" s="85">
        <v>0</v>
      </c>
      <c r="P152" s="85">
        <v>0</v>
      </c>
      <c r="Q152" s="85">
        <v>0</v>
      </c>
      <c r="R152" s="87">
        <v>0</v>
      </c>
      <c r="S152" s="210">
        <f>15+28+31</f>
        <v>74</v>
      </c>
    </row>
    <row r="153" spans="1:22" s="214" customFormat="1" x14ac:dyDescent="0.25">
      <c r="A153" s="213"/>
      <c r="B153" s="150">
        <v>16</v>
      </c>
      <c r="C153" s="161" t="s">
        <v>32</v>
      </c>
      <c r="D153" s="162">
        <v>80.86</v>
      </c>
      <c r="E153" s="83">
        <v>2</v>
      </c>
      <c r="F153" s="157">
        <f>+E153*S153*D153</f>
        <v>34284.639999999999</v>
      </c>
      <c r="G153" s="187">
        <f t="shared" si="86"/>
        <v>5013.32</v>
      </c>
      <c r="H153" s="209">
        <f t="shared" si="88"/>
        <v>4528.16</v>
      </c>
      <c r="I153" s="187">
        <f t="shared" si="89"/>
        <v>5013.32</v>
      </c>
      <c r="J153" s="187">
        <f t="shared" si="90"/>
        <v>4851.6000000000004</v>
      </c>
      <c r="K153" s="187">
        <f t="shared" si="91"/>
        <v>5013.32</v>
      </c>
      <c r="L153" s="187">
        <f t="shared" si="92"/>
        <v>4851.6000000000004</v>
      </c>
      <c r="M153" s="85">
        <f t="shared" si="87"/>
        <v>5013.32</v>
      </c>
      <c r="N153" s="85">
        <v>0</v>
      </c>
      <c r="O153" s="85">
        <v>0</v>
      </c>
      <c r="P153" s="85">
        <v>0</v>
      </c>
      <c r="Q153" s="85">
        <v>0</v>
      </c>
      <c r="R153" s="87">
        <v>0</v>
      </c>
      <c r="S153" s="210">
        <v>212</v>
      </c>
      <c r="T153" s="164"/>
      <c r="U153" s="164"/>
    </row>
    <row r="154" spans="1:22" x14ac:dyDescent="0.25">
      <c r="A154" s="41"/>
      <c r="B154" s="160"/>
      <c r="C154" s="81" t="s">
        <v>39</v>
      </c>
      <c r="D154" s="82"/>
      <c r="E154" s="83"/>
      <c r="F154" s="85">
        <f xml:space="preserve"> 1772630-SUM(F135:F153)-13640</f>
        <v>749296.91999999993</v>
      </c>
      <c r="G154" s="118"/>
      <c r="H154" s="86"/>
      <c r="I154" s="85"/>
      <c r="J154" s="88"/>
      <c r="K154" s="88"/>
      <c r="L154" s="85"/>
      <c r="M154" s="85"/>
      <c r="N154" s="85"/>
      <c r="O154" s="85"/>
      <c r="P154" s="85"/>
      <c r="Q154" s="85"/>
      <c r="R154" s="87">
        <f>F154</f>
        <v>749296.91999999993</v>
      </c>
      <c r="S154" s="25"/>
    </row>
    <row r="155" spans="1:22" x14ac:dyDescent="0.25">
      <c r="A155" s="41"/>
      <c r="B155" s="80"/>
      <c r="C155" s="81"/>
      <c r="D155" s="82"/>
      <c r="E155" s="83"/>
      <c r="F155" s="85"/>
      <c r="G155" s="88"/>
      <c r="H155" s="86"/>
      <c r="I155" s="85"/>
      <c r="J155" s="88"/>
      <c r="K155" s="88"/>
      <c r="L155" s="85"/>
      <c r="M155" s="85"/>
      <c r="N155" s="85"/>
      <c r="O155" s="85"/>
      <c r="P155" s="85"/>
      <c r="Q155" s="85"/>
      <c r="R155" s="127"/>
    </row>
    <row r="156" spans="1:22" s="164" customFormat="1" ht="30" customHeight="1" x14ac:dyDescent="0.25">
      <c r="A156" s="159"/>
      <c r="B156" s="160"/>
      <c r="C156" s="379" t="s">
        <v>116</v>
      </c>
      <c r="D156" s="379"/>
      <c r="E156" s="169">
        <f>SUM(E158:E165)</f>
        <v>28</v>
      </c>
      <c r="F156" s="121">
        <f>SUM(F158:F166)</f>
        <v>266185</v>
      </c>
      <c r="G156" s="121">
        <f t="shared" ref="G156:Q156" si="95">SUM(G158:G165)</f>
        <v>51307.48000000001</v>
      </c>
      <c r="H156" s="121">
        <f t="shared" si="95"/>
        <v>61693.240000000005</v>
      </c>
      <c r="I156" s="121">
        <f>SUM(I158:I165)</f>
        <v>62374.48000000001</v>
      </c>
      <c r="J156" s="121">
        <f t="shared" si="95"/>
        <v>0</v>
      </c>
      <c r="K156" s="121">
        <f t="shared" si="95"/>
        <v>0</v>
      </c>
      <c r="L156" s="121">
        <f t="shared" si="95"/>
        <v>0</v>
      </c>
      <c r="M156" s="121">
        <f t="shared" si="95"/>
        <v>0</v>
      </c>
      <c r="N156" s="121">
        <f t="shared" si="95"/>
        <v>0</v>
      </c>
      <c r="O156" s="121">
        <f t="shared" si="95"/>
        <v>0</v>
      </c>
      <c r="P156" s="121">
        <f t="shared" si="95"/>
        <v>0</v>
      </c>
      <c r="Q156" s="121">
        <f t="shared" si="95"/>
        <v>0</v>
      </c>
      <c r="R156" s="122">
        <f>SUM(R158:R166)</f>
        <v>90809.799999999988</v>
      </c>
      <c r="S156" s="326">
        <f>F156-SUM(G156:R156)</f>
        <v>0</v>
      </c>
    </row>
    <row r="157" spans="1:22" x14ac:dyDescent="0.25">
      <c r="A157" s="41"/>
      <c r="B157" s="80"/>
      <c r="C157" s="123"/>
      <c r="D157" s="123"/>
      <c r="E157" s="215" t="s">
        <v>29</v>
      </c>
      <c r="F157" s="319">
        <v>-50000</v>
      </c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7"/>
      <c r="S157" s="148"/>
      <c r="V157" s="149"/>
    </row>
    <row r="158" spans="1:22" s="164" customFormat="1" x14ac:dyDescent="0.25">
      <c r="A158" s="159"/>
      <c r="B158" s="160">
        <v>1</v>
      </c>
      <c r="C158" s="161" t="s">
        <v>41</v>
      </c>
      <c r="D158" s="162">
        <v>72.540000000000006</v>
      </c>
      <c r="E158" s="83">
        <v>2</v>
      </c>
      <c r="F158" s="157">
        <f t="shared" ref="F158:F165" si="96">+E158*S158*D158</f>
        <v>13057.2</v>
      </c>
      <c r="G158" s="157">
        <f t="shared" ref="G158:G164" si="97">E158*D158*31</f>
        <v>4497.4800000000005</v>
      </c>
      <c r="H158" s="189">
        <f t="shared" ref="H158:H164" si="98">E158*D158*28</f>
        <v>4062.2400000000002</v>
      </c>
      <c r="I158" s="157">
        <f t="shared" ref="I158:I164" si="99">E158*D158*31</f>
        <v>4497.4800000000005</v>
      </c>
      <c r="J158" s="157">
        <v>0</v>
      </c>
      <c r="K158" s="157">
        <v>0</v>
      </c>
      <c r="L158" s="157">
        <v>0</v>
      </c>
      <c r="M158" s="157">
        <v>0</v>
      </c>
      <c r="N158" s="157">
        <v>0</v>
      </c>
      <c r="O158" s="157">
        <v>0</v>
      </c>
      <c r="P158" s="157">
        <v>0</v>
      </c>
      <c r="Q158" s="157">
        <v>0</v>
      </c>
      <c r="R158" s="158">
        <v>0</v>
      </c>
      <c r="S158" s="210">
        <f t="shared" ref="S158:S165" si="100">31+28+31</f>
        <v>90</v>
      </c>
    </row>
    <row r="159" spans="1:22" s="164" customFormat="1" x14ac:dyDescent="0.25">
      <c r="A159" s="159"/>
      <c r="B159" s="160">
        <v>2</v>
      </c>
      <c r="C159" s="161" t="s">
        <v>30</v>
      </c>
      <c r="D159" s="162">
        <v>71.400000000000006</v>
      </c>
      <c r="E159" s="83">
        <v>14</v>
      </c>
      <c r="F159" s="157">
        <f t="shared" si="96"/>
        <v>89964</v>
      </c>
      <c r="G159" s="157">
        <f t="shared" si="97"/>
        <v>30987.600000000006</v>
      </c>
      <c r="H159" s="189">
        <f t="shared" si="98"/>
        <v>27988.800000000003</v>
      </c>
      <c r="I159" s="157">
        <f t="shared" si="99"/>
        <v>30987.600000000006</v>
      </c>
      <c r="J159" s="157">
        <v>0</v>
      </c>
      <c r="K159" s="157">
        <v>0</v>
      </c>
      <c r="L159" s="157">
        <v>0</v>
      </c>
      <c r="M159" s="157">
        <v>0</v>
      </c>
      <c r="N159" s="157">
        <v>0</v>
      </c>
      <c r="O159" s="157">
        <v>0</v>
      </c>
      <c r="P159" s="157">
        <v>0</v>
      </c>
      <c r="Q159" s="157">
        <v>0</v>
      </c>
      <c r="R159" s="158">
        <v>0</v>
      </c>
      <c r="S159" s="210">
        <f t="shared" si="100"/>
        <v>90</v>
      </c>
    </row>
    <row r="160" spans="1:22" s="164" customFormat="1" x14ac:dyDescent="0.25">
      <c r="A160" s="159"/>
      <c r="B160" s="160">
        <v>3</v>
      </c>
      <c r="C160" s="161" t="s">
        <v>33</v>
      </c>
      <c r="D160" s="162">
        <v>71.400000000000006</v>
      </c>
      <c r="E160" s="83">
        <v>2</v>
      </c>
      <c r="F160" s="157">
        <f t="shared" si="96"/>
        <v>12852.000000000002</v>
      </c>
      <c r="G160" s="157">
        <f t="shared" si="97"/>
        <v>4426.8</v>
      </c>
      <c r="H160" s="189">
        <f t="shared" si="98"/>
        <v>3998.4000000000005</v>
      </c>
      <c r="I160" s="157">
        <f t="shared" si="99"/>
        <v>4426.8</v>
      </c>
      <c r="J160" s="157">
        <v>0</v>
      </c>
      <c r="K160" s="157">
        <v>0</v>
      </c>
      <c r="L160" s="157">
        <v>0</v>
      </c>
      <c r="M160" s="157">
        <v>0</v>
      </c>
      <c r="N160" s="157">
        <v>0</v>
      </c>
      <c r="O160" s="157">
        <v>0</v>
      </c>
      <c r="P160" s="157">
        <v>0</v>
      </c>
      <c r="Q160" s="157">
        <v>0</v>
      </c>
      <c r="R160" s="158">
        <v>0</v>
      </c>
      <c r="S160" s="210">
        <f t="shared" si="100"/>
        <v>90</v>
      </c>
    </row>
    <row r="161" spans="1:19" s="164" customFormat="1" x14ac:dyDescent="0.25">
      <c r="A161" s="159"/>
      <c r="B161" s="160">
        <v>4</v>
      </c>
      <c r="C161" s="161" t="s">
        <v>63</v>
      </c>
      <c r="D161" s="162">
        <v>80.86</v>
      </c>
      <c r="E161" s="83">
        <v>1</v>
      </c>
      <c r="F161" s="157">
        <f t="shared" si="96"/>
        <v>7277.4</v>
      </c>
      <c r="G161" s="157">
        <f t="shared" si="97"/>
        <v>2506.66</v>
      </c>
      <c r="H161" s="189">
        <f t="shared" si="98"/>
        <v>2264.08</v>
      </c>
      <c r="I161" s="157">
        <f t="shared" si="99"/>
        <v>2506.66</v>
      </c>
      <c r="J161" s="157">
        <v>0</v>
      </c>
      <c r="K161" s="157">
        <v>0</v>
      </c>
      <c r="L161" s="157">
        <v>0</v>
      </c>
      <c r="M161" s="157">
        <v>0</v>
      </c>
      <c r="N161" s="157">
        <v>0</v>
      </c>
      <c r="O161" s="157">
        <v>0</v>
      </c>
      <c r="P161" s="157">
        <v>0</v>
      </c>
      <c r="Q161" s="157">
        <v>0</v>
      </c>
      <c r="R161" s="158">
        <v>0</v>
      </c>
      <c r="S161" s="210">
        <f t="shared" si="100"/>
        <v>90</v>
      </c>
    </row>
    <row r="162" spans="1:19" s="164" customFormat="1" x14ac:dyDescent="0.25">
      <c r="A162" s="159"/>
      <c r="B162" s="160">
        <v>7</v>
      </c>
      <c r="C162" s="329" t="s">
        <v>54</v>
      </c>
      <c r="D162" s="162">
        <v>71.400000000000006</v>
      </c>
      <c r="E162" s="83">
        <v>1</v>
      </c>
      <c r="F162" s="157">
        <f t="shared" si="96"/>
        <v>5283.6</v>
      </c>
      <c r="G162" s="157">
        <v>0</v>
      </c>
      <c r="H162" s="189">
        <f>E162*D162*28+D162*E162*15</f>
        <v>3070.2000000000003</v>
      </c>
      <c r="I162" s="157">
        <f t="shared" si="99"/>
        <v>2213.4</v>
      </c>
      <c r="J162" s="157">
        <v>0</v>
      </c>
      <c r="K162" s="157">
        <v>0</v>
      </c>
      <c r="L162" s="157">
        <v>0</v>
      </c>
      <c r="M162" s="157">
        <v>0</v>
      </c>
      <c r="N162" s="157">
        <v>0</v>
      </c>
      <c r="O162" s="157">
        <v>0</v>
      </c>
      <c r="P162" s="157">
        <v>0</v>
      </c>
      <c r="Q162" s="157">
        <v>0</v>
      </c>
      <c r="R162" s="158">
        <v>0</v>
      </c>
      <c r="S162" s="210">
        <f>15+28+31</f>
        <v>74</v>
      </c>
    </row>
    <row r="163" spans="1:19" s="164" customFormat="1" x14ac:dyDescent="0.25">
      <c r="A163" s="159"/>
      <c r="B163" s="160">
        <v>8</v>
      </c>
      <c r="C163" s="329" t="s">
        <v>30</v>
      </c>
      <c r="D163" s="162">
        <v>71.400000000000006</v>
      </c>
      <c r="E163" s="83">
        <v>4</v>
      </c>
      <c r="F163" s="157">
        <f t="shared" ref="F163" si="101">+E163*S163*D163</f>
        <v>21134.400000000001</v>
      </c>
      <c r="G163" s="157">
        <v>0</v>
      </c>
      <c r="H163" s="189">
        <f>E163*D163*28+D163*E163*15</f>
        <v>12280.800000000001</v>
      </c>
      <c r="I163" s="157">
        <f t="shared" si="99"/>
        <v>8853.6</v>
      </c>
      <c r="J163" s="157">
        <v>0</v>
      </c>
      <c r="K163" s="157">
        <v>0</v>
      </c>
      <c r="L163" s="157">
        <v>0</v>
      </c>
      <c r="M163" s="157">
        <v>0</v>
      </c>
      <c r="N163" s="157">
        <v>0</v>
      </c>
      <c r="O163" s="157">
        <v>0</v>
      </c>
      <c r="P163" s="157">
        <v>0</v>
      </c>
      <c r="Q163" s="157">
        <v>0</v>
      </c>
      <c r="R163" s="158">
        <v>0</v>
      </c>
      <c r="S163" s="210">
        <f>15+28+31</f>
        <v>74</v>
      </c>
    </row>
    <row r="164" spans="1:19" s="164" customFormat="1" x14ac:dyDescent="0.25">
      <c r="A164" s="159"/>
      <c r="B164" s="160">
        <v>5</v>
      </c>
      <c r="C164" s="161" t="s">
        <v>31</v>
      </c>
      <c r="D164" s="162">
        <v>72.540000000000006</v>
      </c>
      <c r="E164" s="83">
        <v>1</v>
      </c>
      <c r="F164" s="157">
        <f t="shared" si="96"/>
        <v>6528.6</v>
      </c>
      <c r="G164" s="157">
        <f t="shared" si="97"/>
        <v>2248.7400000000002</v>
      </c>
      <c r="H164" s="189">
        <f t="shared" si="98"/>
        <v>2031.1200000000001</v>
      </c>
      <c r="I164" s="157">
        <f t="shared" si="99"/>
        <v>2248.7400000000002</v>
      </c>
      <c r="J164" s="157">
        <v>0</v>
      </c>
      <c r="K164" s="157">
        <v>0</v>
      </c>
      <c r="L164" s="157">
        <v>0</v>
      </c>
      <c r="M164" s="157">
        <v>0</v>
      </c>
      <c r="N164" s="157">
        <v>0</v>
      </c>
      <c r="O164" s="157">
        <v>0</v>
      </c>
      <c r="P164" s="157">
        <v>0</v>
      </c>
      <c r="Q164" s="157">
        <v>0</v>
      </c>
      <c r="R164" s="158">
        <v>0</v>
      </c>
      <c r="S164" s="210">
        <f t="shared" si="100"/>
        <v>90</v>
      </c>
    </row>
    <row r="165" spans="1:19" s="164" customFormat="1" x14ac:dyDescent="0.25">
      <c r="A165" s="159"/>
      <c r="B165" s="160">
        <v>6</v>
      </c>
      <c r="C165" s="161" t="s">
        <v>54</v>
      </c>
      <c r="D165" s="162">
        <v>71.400000000000006</v>
      </c>
      <c r="E165" s="83">
        <v>3</v>
      </c>
      <c r="F165" s="157">
        <f t="shared" si="96"/>
        <v>19278</v>
      </c>
      <c r="G165" s="157">
        <f>E165*D165*31</f>
        <v>6640.2000000000007</v>
      </c>
      <c r="H165" s="189">
        <f>E165*D165*28</f>
        <v>5997.6</v>
      </c>
      <c r="I165" s="157">
        <f>E165*D165*31</f>
        <v>6640.2000000000007</v>
      </c>
      <c r="J165" s="157">
        <v>0</v>
      </c>
      <c r="K165" s="157">
        <v>0</v>
      </c>
      <c r="L165" s="157">
        <v>0</v>
      </c>
      <c r="M165" s="157">
        <v>0</v>
      </c>
      <c r="N165" s="157">
        <v>0</v>
      </c>
      <c r="O165" s="157">
        <v>0</v>
      </c>
      <c r="P165" s="157">
        <v>0</v>
      </c>
      <c r="Q165" s="157">
        <v>0</v>
      </c>
      <c r="R165" s="158">
        <v>0</v>
      </c>
      <c r="S165" s="210">
        <f t="shared" si="100"/>
        <v>90</v>
      </c>
    </row>
    <row r="166" spans="1:19" s="164" customFormat="1" x14ac:dyDescent="0.25">
      <c r="A166" s="159"/>
      <c r="B166" s="160"/>
      <c r="C166" s="161" t="s">
        <v>39</v>
      </c>
      <c r="D166" s="162"/>
      <c r="E166" s="83"/>
      <c r="F166" s="157">
        <f>316185-SUM(F158:F165)-50000</f>
        <v>90809.799999999988</v>
      </c>
      <c r="G166" s="188"/>
      <c r="H166" s="189"/>
      <c r="I166" s="157"/>
      <c r="J166" s="157"/>
      <c r="K166" s="157"/>
      <c r="L166" s="157"/>
      <c r="M166" s="157"/>
      <c r="N166" s="157"/>
      <c r="O166" s="157"/>
      <c r="P166" s="157"/>
      <c r="Q166" s="157"/>
      <c r="R166" s="158">
        <f>F166</f>
        <v>90809.799999999988</v>
      </c>
      <c r="S166" s="210"/>
    </row>
    <row r="167" spans="1:19" s="164" customFormat="1" x14ac:dyDescent="0.25">
      <c r="A167" s="159"/>
      <c r="B167" s="160"/>
      <c r="C167" s="161"/>
      <c r="D167" s="162"/>
      <c r="E167" s="83"/>
      <c r="F167" s="157"/>
      <c r="G167" s="157"/>
      <c r="H167" s="189"/>
      <c r="I167" s="157"/>
      <c r="J167" s="157"/>
      <c r="K167" s="157"/>
      <c r="L167" s="157"/>
      <c r="M167" s="157"/>
      <c r="N167" s="157"/>
      <c r="O167" s="157"/>
      <c r="P167" s="157"/>
      <c r="Q167" s="157"/>
      <c r="R167" s="158"/>
      <c r="S167" s="210"/>
    </row>
    <row r="168" spans="1:19" ht="28.9" customHeight="1" x14ac:dyDescent="0.25">
      <c r="A168" s="41"/>
      <c r="B168" s="80"/>
      <c r="C168" s="374" t="s">
        <v>117</v>
      </c>
      <c r="D168" s="374"/>
      <c r="E168" s="169">
        <f>SUM(E169:E169)</f>
        <v>1</v>
      </c>
      <c r="F168" s="121">
        <f>SUM(F169:F170)</f>
        <v>26061</v>
      </c>
      <c r="G168" s="121">
        <f t="shared" ref="G168:Q168" si="102">SUM(G169:G170)</f>
        <v>2213.4</v>
      </c>
      <c r="H168" s="121">
        <f t="shared" si="102"/>
        <v>1999.2000000000003</v>
      </c>
      <c r="I168" s="121">
        <f t="shared" si="102"/>
        <v>2213.4</v>
      </c>
      <c r="J168" s="121">
        <f t="shared" si="102"/>
        <v>2142</v>
      </c>
      <c r="K168" s="121">
        <f t="shared" si="102"/>
        <v>2213.4</v>
      </c>
      <c r="L168" s="121">
        <f t="shared" si="102"/>
        <v>2142</v>
      </c>
      <c r="M168" s="121">
        <f t="shared" si="102"/>
        <v>2213.4</v>
      </c>
      <c r="N168" s="121">
        <f t="shared" si="102"/>
        <v>0</v>
      </c>
      <c r="O168" s="121">
        <f t="shared" si="102"/>
        <v>0</v>
      </c>
      <c r="P168" s="121">
        <f t="shared" si="102"/>
        <v>0</v>
      </c>
      <c r="Q168" s="121">
        <f t="shared" si="102"/>
        <v>0</v>
      </c>
      <c r="R168" s="122">
        <f>SUM(R169:R170)</f>
        <v>10924.199999999999</v>
      </c>
      <c r="S168" s="326">
        <f>F168-SUM(G168:R168)</f>
        <v>0</v>
      </c>
    </row>
    <row r="169" spans="1:19" x14ac:dyDescent="0.25">
      <c r="A169" s="41"/>
      <c r="B169" s="80">
        <v>1</v>
      </c>
      <c r="C169" s="81" t="s">
        <v>30</v>
      </c>
      <c r="D169" s="82">
        <v>71.400000000000006</v>
      </c>
      <c r="E169" s="83">
        <v>1</v>
      </c>
      <c r="F169" s="85">
        <f>+E169*S169*D169</f>
        <v>15136.800000000001</v>
      </c>
      <c r="G169" s="85">
        <f>E169*D169*31</f>
        <v>2213.4</v>
      </c>
      <c r="H169" s="86">
        <f>E169*D169*28</f>
        <v>1999.2000000000003</v>
      </c>
      <c r="I169" s="85">
        <f>E169*D169*31</f>
        <v>2213.4</v>
      </c>
      <c r="J169" s="85">
        <f>E169*D169*30</f>
        <v>2142</v>
      </c>
      <c r="K169" s="85">
        <f>E169*D169*31</f>
        <v>2213.4</v>
      </c>
      <c r="L169" s="85">
        <f>E169*D169*30</f>
        <v>2142</v>
      </c>
      <c r="M169" s="85">
        <f>E169*D169*31</f>
        <v>2213.4</v>
      </c>
      <c r="N169" s="85">
        <v>0</v>
      </c>
      <c r="O169" s="85">
        <v>0</v>
      </c>
      <c r="P169" s="85">
        <v>0</v>
      </c>
      <c r="Q169" s="85">
        <v>0</v>
      </c>
      <c r="R169" s="87">
        <v>0</v>
      </c>
      <c r="S169" s="2">
        <v>212</v>
      </c>
    </row>
    <row r="170" spans="1:19" x14ac:dyDescent="0.25">
      <c r="A170" s="41"/>
      <c r="B170" s="80"/>
      <c r="C170" s="81" t="s">
        <v>39</v>
      </c>
      <c r="D170" s="82"/>
      <c r="E170" s="83"/>
      <c r="F170" s="157">
        <f>26061-F169</f>
        <v>10924.199999999999</v>
      </c>
      <c r="G170" s="118"/>
      <c r="H170" s="86"/>
      <c r="I170" s="85"/>
      <c r="J170" s="85"/>
      <c r="K170" s="85"/>
      <c r="L170" s="85"/>
      <c r="M170" s="85"/>
      <c r="N170" s="85"/>
      <c r="O170" s="85"/>
      <c r="P170" s="85"/>
      <c r="Q170" s="85"/>
      <c r="R170" s="87">
        <f>F170</f>
        <v>10924.199999999999</v>
      </c>
    </row>
    <row r="171" spans="1:19" x14ac:dyDescent="0.25">
      <c r="A171" s="41"/>
      <c r="B171" s="80"/>
      <c r="C171" s="81"/>
      <c r="D171" s="82"/>
      <c r="E171" s="83"/>
      <c r="F171" s="85"/>
      <c r="G171" s="85"/>
      <c r="H171" s="86"/>
      <c r="I171" s="85"/>
      <c r="J171" s="85"/>
      <c r="K171" s="85"/>
      <c r="L171" s="85"/>
      <c r="M171" s="85"/>
      <c r="N171" s="85"/>
      <c r="O171" s="85"/>
      <c r="P171" s="85"/>
      <c r="Q171" s="85"/>
      <c r="R171" s="87"/>
    </row>
    <row r="172" spans="1:19" ht="33" customHeight="1" x14ac:dyDescent="0.25">
      <c r="A172" s="41"/>
      <c r="B172" s="80"/>
      <c r="C172" s="374" t="s">
        <v>118</v>
      </c>
      <c r="D172" s="374"/>
      <c r="E172" s="169">
        <f>SUM(E173:E173)</f>
        <v>1</v>
      </c>
      <c r="F172" s="121">
        <f>SUM(F173:F174)</f>
        <v>26061</v>
      </c>
      <c r="G172" s="121">
        <f t="shared" ref="G172:Q172" si="103">SUM(G173:G175)</f>
        <v>2213.4</v>
      </c>
      <c r="H172" s="121">
        <f t="shared" si="103"/>
        <v>1999.2000000000003</v>
      </c>
      <c r="I172" s="121">
        <f t="shared" si="103"/>
        <v>2213.4</v>
      </c>
      <c r="J172" s="121">
        <f t="shared" si="103"/>
        <v>2142</v>
      </c>
      <c r="K172" s="121">
        <f t="shared" si="103"/>
        <v>2213.4</v>
      </c>
      <c r="L172" s="121">
        <f t="shared" si="103"/>
        <v>2142</v>
      </c>
      <c r="M172" s="121">
        <f t="shared" si="103"/>
        <v>2213.4</v>
      </c>
      <c r="N172" s="121">
        <f t="shared" si="103"/>
        <v>0</v>
      </c>
      <c r="O172" s="121">
        <f t="shared" si="103"/>
        <v>0</v>
      </c>
      <c r="P172" s="121">
        <f t="shared" si="103"/>
        <v>0</v>
      </c>
      <c r="Q172" s="121">
        <f t="shared" si="103"/>
        <v>0</v>
      </c>
      <c r="R172" s="122">
        <f>SUM(R173:R174)</f>
        <v>10924.199999999999</v>
      </c>
      <c r="S172" s="326">
        <f>F172-SUM(G172:R172)</f>
        <v>0</v>
      </c>
    </row>
    <row r="173" spans="1:19" x14ac:dyDescent="0.25">
      <c r="A173" s="41"/>
      <c r="B173" s="80">
        <v>1</v>
      </c>
      <c r="C173" s="81" t="s">
        <v>48</v>
      </c>
      <c r="D173" s="82">
        <v>71.400000000000006</v>
      </c>
      <c r="E173" s="83">
        <v>1</v>
      </c>
      <c r="F173" s="85">
        <f>+E173*S173*D173</f>
        <v>15136.800000000001</v>
      </c>
      <c r="G173" s="85">
        <f>E173*D173*31</f>
        <v>2213.4</v>
      </c>
      <c r="H173" s="86">
        <f>E173*D173*28</f>
        <v>1999.2000000000003</v>
      </c>
      <c r="I173" s="85">
        <f>E173*D173*31</f>
        <v>2213.4</v>
      </c>
      <c r="J173" s="85">
        <f>E173*D173*30</f>
        <v>2142</v>
      </c>
      <c r="K173" s="85">
        <f>E173*D173*31</f>
        <v>2213.4</v>
      </c>
      <c r="L173" s="85">
        <f>E173*D173*30</f>
        <v>2142</v>
      </c>
      <c r="M173" s="85">
        <f>E173*D173*31</f>
        <v>2213.4</v>
      </c>
      <c r="N173" s="85">
        <v>0</v>
      </c>
      <c r="O173" s="85">
        <v>0</v>
      </c>
      <c r="P173" s="85">
        <v>0</v>
      </c>
      <c r="Q173" s="85">
        <v>0</v>
      </c>
      <c r="R173" s="87">
        <v>0</v>
      </c>
      <c r="S173" s="2">
        <v>212</v>
      </c>
    </row>
    <row r="174" spans="1:19" x14ac:dyDescent="0.25">
      <c r="A174" s="41"/>
      <c r="B174" s="80"/>
      <c r="C174" s="81" t="s">
        <v>39</v>
      </c>
      <c r="D174" s="82"/>
      <c r="E174" s="83"/>
      <c r="F174" s="157">
        <f>26061-F173</f>
        <v>10924.199999999999</v>
      </c>
      <c r="G174" s="118"/>
      <c r="H174" s="86"/>
      <c r="I174" s="85"/>
      <c r="J174" s="85"/>
      <c r="K174" s="85"/>
      <c r="L174" s="85"/>
      <c r="M174" s="85"/>
      <c r="N174" s="85"/>
      <c r="O174" s="85"/>
      <c r="P174" s="85"/>
      <c r="Q174" s="85"/>
      <c r="R174" s="87">
        <f>F174</f>
        <v>10924.199999999999</v>
      </c>
    </row>
    <row r="175" spans="1:19" x14ac:dyDescent="0.25">
      <c r="A175" s="41"/>
      <c r="B175" s="80"/>
      <c r="C175" s="81"/>
      <c r="D175" s="82"/>
      <c r="E175" s="83"/>
      <c r="F175" s="85"/>
      <c r="G175" s="85"/>
      <c r="H175" s="86"/>
      <c r="I175" s="85"/>
      <c r="J175" s="85"/>
      <c r="K175" s="85"/>
      <c r="L175" s="85"/>
      <c r="M175" s="85"/>
      <c r="N175" s="85"/>
      <c r="O175" s="85"/>
      <c r="P175" s="85"/>
      <c r="Q175" s="85"/>
      <c r="R175" s="87"/>
    </row>
    <row r="176" spans="1:19" ht="31.15" customHeight="1" x14ac:dyDescent="0.25">
      <c r="A176" s="41"/>
      <c r="B176" s="80"/>
      <c r="C176" s="374" t="s">
        <v>119</v>
      </c>
      <c r="D176" s="374"/>
      <c r="E176" s="169">
        <f>SUM(E177:E177)</f>
        <v>1</v>
      </c>
      <c r="F176" s="121">
        <f t="shared" ref="F176:Q176" si="104">SUM(F177:F178)</f>
        <v>26061</v>
      </c>
      <c r="G176" s="121">
        <f t="shared" si="104"/>
        <v>2213.4</v>
      </c>
      <c r="H176" s="121">
        <f t="shared" si="104"/>
        <v>1999.2000000000003</v>
      </c>
      <c r="I176" s="121">
        <f t="shared" si="104"/>
        <v>2213.4</v>
      </c>
      <c r="J176" s="121">
        <f t="shared" si="104"/>
        <v>2142</v>
      </c>
      <c r="K176" s="121">
        <f>SUM(K177:K178)</f>
        <v>2213.4</v>
      </c>
      <c r="L176" s="121">
        <f t="shared" si="104"/>
        <v>2142</v>
      </c>
      <c r="M176" s="121">
        <f t="shared" si="104"/>
        <v>2213.4</v>
      </c>
      <c r="N176" s="121">
        <f t="shared" si="104"/>
        <v>0</v>
      </c>
      <c r="O176" s="121">
        <f t="shared" si="104"/>
        <v>0</v>
      </c>
      <c r="P176" s="121">
        <f t="shared" si="104"/>
        <v>0</v>
      </c>
      <c r="Q176" s="121">
        <f t="shared" si="104"/>
        <v>0</v>
      </c>
      <c r="R176" s="122">
        <f>SUM(R177:R178)</f>
        <v>10924.199999999999</v>
      </c>
      <c r="S176" s="326">
        <f>F176-SUM(G176:R176)</f>
        <v>0</v>
      </c>
    </row>
    <row r="177" spans="1:22" x14ac:dyDescent="0.25">
      <c r="A177" s="41"/>
      <c r="B177" s="80">
        <v>1</v>
      </c>
      <c r="C177" s="81" t="s">
        <v>30</v>
      </c>
      <c r="D177" s="82">
        <v>71.400000000000006</v>
      </c>
      <c r="E177" s="83">
        <v>1</v>
      </c>
      <c r="F177" s="85">
        <f>+E177*S177*D177</f>
        <v>15136.800000000001</v>
      </c>
      <c r="G177" s="85">
        <f>E177*D177*31</f>
        <v>2213.4</v>
      </c>
      <c r="H177" s="86">
        <f>E177*D177*28</f>
        <v>1999.2000000000003</v>
      </c>
      <c r="I177" s="85">
        <f>E177*D177*31</f>
        <v>2213.4</v>
      </c>
      <c r="J177" s="85">
        <f>E177*D177*30</f>
        <v>2142</v>
      </c>
      <c r="K177" s="85">
        <f>E177*D177*31</f>
        <v>2213.4</v>
      </c>
      <c r="L177" s="85">
        <f>E177*D177*30</f>
        <v>2142</v>
      </c>
      <c r="M177" s="85">
        <f>E177*D177*31</f>
        <v>2213.4</v>
      </c>
      <c r="N177" s="85">
        <v>0</v>
      </c>
      <c r="O177" s="85">
        <v>0</v>
      </c>
      <c r="P177" s="85">
        <v>0</v>
      </c>
      <c r="Q177" s="85">
        <v>0</v>
      </c>
      <c r="R177" s="87">
        <v>0</v>
      </c>
      <c r="S177" s="2">
        <v>212</v>
      </c>
    </row>
    <row r="178" spans="1:22" x14ac:dyDescent="0.25">
      <c r="A178" s="41"/>
      <c r="B178" s="80"/>
      <c r="C178" s="81" t="s">
        <v>39</v>
      </c>
      <c r="D178" s="82"/>
      <c r="E178" s="83"/>
      <c r="F178" s="157">
        <f>26061-F177</f>
        <v>10924.199999999999</v>
      </c>
      <c r="G178" s="118"/>
      <c r="H178" s="86"/>
      <c r="I178" s="85"/>
      <c r="J178" s="85"/>
      <c r="K178" s="85"/>
      <c r="L178" s="85"/>
      <c r="M178" s="85"/>
      <c r="N178" s="85"/>
      <c r="O178" s="85"/>
      <c r="P178" s="85"/>
      <c r="Q178" s="85"/>
      <c r="R178" s="87">
        <f>F178</f>
        <v>10924.199999999999</v>
      </c>
    </row>
    <row r="179" spans="1:22" x14ac:dyDescent="0.25">
      <c r="A179" s="41"/>
      <c r="B179" s="80"/>
      <c r="C179" s="81"/>
      <c r="D179" s="82"/>
      <c r="E179" s="83"/>
      <c r="F179" s="85"/>
      <c r="G179" s="85"/>
      <c r="H179" s="86"/>
      <c r="I179" s="85"/>
      <c r="J179" s="85"/>
      <c r="K179" s="85"/>
      <c r="L179" s="85"/>
      <c r="M179" s="85"/>
      <c r="N179" s="85"/>
      <c r="O179" s="85"/>
      <c r="P179" s="85"/>
      <c r="Q179" s="85"/>
      <c r="R179" s="87"/>
    </row>
    <row r="180" spans="1:22" ht="35.450000000000003" customHeight="1" x14ac:dyDescent="0.25">
      <c r="A180" s="41"/>
      <c r="B180" s="80"/>
      <c r="C180" s="374" t="s">
        <v>120</v>
      </c>
      <c r="D180" s="374"/>
      <c r="E180" s="169">
        <f>SUM(E182:E186)</f>
        <v>5</v>
      </c>
      <c r="F180" s="121">
        <f>SUM(F182:F187)</f>
        <v>104244</v>
      </c>
      <c r="G180" s="121">
        <f t="shared" ref="G180:Q180" si="105">SUM(G182:G187)</f>
        <v>8853.6</v>
      </c>
      <c r="H180" s="121">
        <f t="shared" si="105"/>
        <v>11067.000000000002</v>
      </c>
      <c r="I180" s="121">
        <f t="shared" si="105"/>
        <v>11067</v>
      </c>
      <c r="J180" s="121">
        <f t="shared" si="105"/>
        <v>8568</v>
      </c>
      <c r="K180" s="121">
        <f t="shared" si="105"/>
        <v>8853.6</v>
      </c>
      <c r="L180" s="121">
        <f t="shared" si="105"/>
        <v>8568</v>
      </c>
      <c r="M180" s="121">
        <f t="shared" si="105"/>
        <v>8853.6</v>
      </c>
      <c r="N180" s="121">
        <f t="shared" si="105"/>
        <v>0</v>
      </c>
      <c r="O180" s="121">
        <f t="shared" si="105"/>
        <v>0</v>
      </c>
      <c r="P180" s="121">
        <f t="shared" si="105"/>
        <v>0</v>
      </c>
      <c r="Q180" s="121">
        <f t="shared" si="105"/>
        <v>0</v>
      </c>
      <c r="R180" s="122">
        <f>SUM(R182:R187)</f>
        <v>38413.199999999997</v>
      </c>
      <c r="S180" s="326">
        <f>F180-SUM(G180:R180)</f>
        <v>0</v>
      </c>
    </row>
    <row r="181" spans="1:22" ht="14.25" customHeight="1" x14ac:dyDescent="0.25">
      <c r="A181" s="41"/>
      <c r="B181" s="372"/>
      <c r="C181" s="372"/>
      <c r="D181" s="373"/>
      <c r="E181" s="75" t="s">
        <v>29</v>
      </c>
      <c r="F181" s="146">
        <v>0</v>
      </c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2"/>
    </row>
    <row r="182" spans="1:22" ht="18.75" customHeight="1" x14ac:dyDescent="0.25">
      <c r="A182" s="41"/>
      <c r="B182" s="80">
        <v>1</v>
      </c>
      <c r="C182" s="81" t="s">
        <v>30</v>
      </c>
      <c r="D182" s="82">
        <v>71.400000000000006</v>
      </c>
      <c r="E182" s="83">
        <v>1</v>
      </c>
      <c r="F182" s="85">
        <f>+E182*S182*D182</f>
        <v>15136.800000000001</v>
      </c>
      <c r="G182" s="85">
        <f>E182*D182*31</f>
        <v>2213.4</v>
      </c>
      <c r="H182" s="86">
        <f>E182*D182*28</f>
        <v>1999.2000000000003</v>
      </c>
      <c r="I182" s="85">
        <f>E182*D182*31</f>
        <v>2213.4</v>
      </c>
      <c r="J182" s="85">
        <f>E182*D182*30</f>
        <v>2142</v>
      </c>
      <c r="K182" s="85">
        <f>E182*D182*31</f>
        <v>2213.4</v>
      </c>
      <c r="L182" s="85">
        <f>E182*D182*30</f>
        <v>2142</v>
      </c>
      <c r="M182" s="85">
        <f>E182*D182*31</f>
        <v>2213.4</v>
      </c>
      <c r="N182" s="85">
        <v>0</v>
      </c>
      <c r="O182" s="85">
        <v>0</v>
      </c>
      <c r="P182" s="85">
        <v>0</v>
      </c>
      <c r="Q182" s="85">
        <v>0</v>
      </c>
      <c r="R182" s="87">
        <v>0</v>
      </c>
      <c r="S182" s="2">
        <v>212</v>
      </c>
    </row>
    <row r="183" spans="1:22" x14ac:dyDescent="0.25">
      <c r="A183" s="41"/>
      <c r="B183" s="80">
        <v>2</v>
      </c>
      <c r="C183" s="81" t="s">
        <v>33</v>
      </c>
      <c r="D183" s="82">
        <v>71.400000000000006</v>
      </c>
      <c r="E183" s="83">
        <v>1</v>
      </c>
      <c r="F183" s="85">
        <f>+E183*S183*D183</f>
        <v>15136.800000000001</v>
      </c>
      <c r="G183" s="85">
        <f>E183*D183*31</f>
        <v>2213.4</v>
      </c>
      <c r="H183" s="86">
        <f>E183*D183*28</f>
        <v>1999.2000000000003</v>
      </c>
      <c r="I183" s="85">
        <f>E183*D183*31</f>
        <v>2213.4</v>
      </c>
      <c r="J183" s="85">
        <f>E183*D183*30</f>
        <v>2142</v>
      </c>
      <c r="K183" s="85">
        <f>E183*D183*31</f>
        <v>2213.4</v>
      </c>
      <c r="L183" s="85">
        <f>E183*D183*30</f>
        <v>2142</v>
      </c>
      <c r="M183" s="85">
        <f>E183*D183*31</f>
        <v>2213.4</v>
      </c>
      <c r="N183" s="85">
        <v>0</v>
      </c>
      <c r="O183" s="85">
        <v>0</v>
      </c>
      <c r="P183" s="85">
        <v>0</v>
      </c>
      <c r="Q183" s="85">
        <v>0</v>
      </c>
      <c r="R183" s="87">
        <v>0</v>
      </c>
      <c r="S183" s="2">
        <v>212</v>
      </c>
    </row>
    <row r="184" spans="1:22" x14ac:dyDescent="0.25">
      <c r="A184" s="41"/>
      <c r="B184" s="80">
        <v>3</v>
      </c>
      <c r="C184" s="81" t="s">
        <v>62</v>
      </c>
      <c r="D184" s="82">
        <v>71.400000000000006</v>
      </c>
      <c r="E184" s="83">
        <v>1</v>
      </c>
      <c r="F184" s="85">
        <f>+E184*S184*D184</f>
        <v>15136.800000000001</v>
      </c>
      <c r="G184" s="85">
        <f>E184*D184*31</f>
        <v>2213.4</v>
      </c>
      <c r="H184" s="86">
        <f>E184*D184*28</f>
        <v>1999.2000000000003</v>
      </c>
      <c r="I184" s="85">
        <f>E184*D184*31</f>
        <v>2213.4</v>
      </c>
      <c r="J184" s="85">
        <f>E184*D184*30</f>
        <v>2142</v>
      </c>
      <c r="K184" s="85">
        <f>E184*D184*31</f>
        <v>2213.4</v>
      </c>
      <c r="L184" s="85">
        <f>E184*D184*30</f>
        <v>2142</v>
      </c>
      <c r="M184" s="85">
        <f>E184*D184*31</f>
        <v>2213.4</v>
      </c>
      <c r="N184" s="85">
        <v>0</v>
      </c>
      <c r="O184" s="85">
        <v>0</v>
      </c>
      <c r="P184" s="85">
        <v>0</v>
      </c>
      <c r="Q184" s="85">
        <v>0</v>
      </c>
      <c r="R184" s="87">
        <v>0</v>
      </c>
      <c r="S184" s="2">
        <v>212</v>
      </c>
    </row>
    <row r="185" spans="1:22" x14ac:dyDescent="0.25">
      <c r="A185" s="41"/>
      <c r="B185" s="331">
        <v>5</v>
      </c>
      <c r="C185" s="330" t="s">
        <v>33</v>
      </c>
      <c r="D185" s="82">
        <v>71.400000000000006</v>
      </c>
      <c r="E185" s="83">
        <v>1</v>
      </c>
      <c r="F185" s="85">
        <f>+E185*S185*D185</f>
        <v>5283.6</v>
      </c>
      <c r="G185" s="85">
        <v>0</v>
      </c>
      <c r="H185" s="86">
        <f>E185*D185*28+D185*E185*15</f>
        <v>3070.2000000000003</v>
      </c>
      <c r="I185" s="85">
        <f>E185*D185*31</f>
        <v>2213.4</v>
      </c>
      <c r="J185" s="85">
        <v>0</v>
      </c>
      <c r="K185" s="85">
        <v>0</v>
      </c>
      <c r="L185" s="85">
        <v>0</v>
      </c>
      <c r="M185" s="85">
        <v>0</v>
      </c>
      <c r="N185" s="85">
        <v>0</v>
      </c>
      <c r="O185" s="85"/>
      <c r="P185" s="85">
        <v>0</v>
      </c>
      <c r="Q185" s="85">
        <v>0</v>
      </c>
      <c r="R185" s="87">
        <v>0</v>
      </c>
      <c r="S185" s="2">
        <f>15+28+31</f>
        <v>74</v>
      </c>
    </row>
    <row r="186" spans="1:22" x14ac:dyDescent="0.25">
      <c r="A186" s="41"/>
      <c r="B186" s="80">
        <v>4</v>
      </c>
      <c r="C186" s="81" t="s">
        <v>54</v>
      </c>
      <c r="D186" s="82">
        <v>71.400000000000006</v>
      </c>
      <c r="E186" s="83">
        <v>1</v>
      </c>
      <c r="F186" s="85">
        <f>+E186*S186*D186</f>
        <v>15136.800000000001</v>
      </c>
      <c r="G186" s="85">
        <f>E186*D186*31</f>
        <v>2213.4</v>
      </c>
      <c r="H186" s="86">
        <f>E186*D186*28</f>
        <v>1999.2000000000003</v>
      </c>
      <c r="I186" s="85">
        <f>E186*D186*31</f>
        <v>2213.4</v>
      </c>
      <c r="J186" s="85">
        <f>E186*D186*30</f>
        <v>2142</v>
      </c>
      <c r="K186" s="85">
        <f>E186*D186*31</f>
        <v>2213.4</v>
      </c>
      <c r="L186" s="85">
        <f>E186*D186*30</f>
        <v>2142</v>
      </c>
      <c r="M186" s="85">
        <f>E186*D186*31</f>
        <v>2213.4</v>
      </c>
      <c r="N186" s="85">
        <v>0</v>
      </c>
      <c r="O186" s="85">
        <v>0</v>
      </c>
      <c r="P186" s="85">
        <v>0</v>
      </c>
      <c r="Q186" s="85">
        <v>0</v>
      </c>
      <c r="R186" s="87">
        <v>0</v>
      </c>
      <c r="S186" s="2">
        <v>212</v>
      </c>
    </row>
    <row r="187" spans="1:22" x14ac:dyDescent="0.25">
      <c r="A187" s="41"/>
      <c r="B187" s="80"/>
      <c r="C187" s="81" t="s">
        <v>39</v>
      </c>
      <c r="D187" s="82"/>
      <c r="E187" s="83"/>
      <c r="F187" s="85">
        <f>104244-SUM(F182:F186)</f>
        <v>38413.199999999997</v>
      </c>
      <c r="G187" s="85"/>
      <c r="H187" s="86"/>
      <c r="I187" s="85"/>
      <c r="J187" s="85"/>
      <c r="K187" s="85"/>
      <c r="L187" s="85"/>
      <c r="M187" s="85"/>
      <c r="N187" s="85"/>
      <c r="O187" s="85"/>
      <c r="P187" s="85"/>
      <c r="Q187" s="85"/>
      <c r="R187" s="87">
        <f>F187</f>
        <v>38413.199999999997</v>
      </c>
    </row>
    <row r="188" spans="1:22" x14ac:dyDescent="0.25">
      <c r="A188" s="41"/>
      <c r="B188" s="80"/>
      <c r="C188" s="81"/>
      <c r="D188" s="82"/>
      <c r="E188" s="83"/>
      <c r="F188" s="85"/>
      <c r="G188" s="85"/>
      <c r="H188" s="86"/>
      <c r="I188" s="85"/>
      <c r="J188" s="85"/>
      <c r="K188" s="85"/>
      <c r="L188" s="85"/>
      <c r="M188" s="85"/>
      <c r="N188" s="85"/>
      <c r="O188" s="85"/>
      <c r="P188" s="85"/>
      <c r="Q188" s="85"/>
      <c r="R188" s="87"/>
    </row>
    <row r="189" spans="1:22" ht="35.25" customHeight="1" x14ac:dyDescent="0.25">
      <c r="A189" s="41"/>
      <c r="B189" s="80"/>
      <c r="C189" s="374" t="s">
        <v>121</v>
      </c>
      <c r="D189" s="374"/>
      <c r="E189" s="169">
        <f>SUM(E191:E192)</f>
        <v>4</v>
      </c>
      <c r="F189" s="121">
        <f>SUM(F191:F193)</f>
        <v>104661</v>
      </c>
      <c r="G189" s="121">
        <f t="shared" ref="G189:Q189" si="106">SUM(G191:G193)</f>
        <v>8888.94</v>
      </c>
      <c r="H189" s="121">
        <f t="shared" si="106"/>
        <v>8028.72</v>
      </c>
      <c r="I189" s="121">
        <f t="shared" si="106"/>
        <v>8888.94</v>
      </c>
      <c r="J189" s="121">
        <f t="shared" si="106"/>
        <v>8602.2000000000007</v>
      </c>
      <c r="K189" s="121">
        <f t="shared" si="106"/>
        <v>8888.94</v>
      </c>
      <c r="L189" s="121">
        <f t="shared" si="106"/>
        <v>8602.2000000000007</v>
      </c>
      <c r="M189" s="121">
        <f t="shared" si="106"/>
        <v>8888.94</v>
      </c>
      <c r="N189" s="121">
        <f t="shared" si="106"/>
        <v>0</v>
      </c>
      <c r="O189" s="121">
        <f t="shared" si="106"/>
        <v>0</v>
      </c>
      <c r="P189" s="121">
        <f t="shared" si="106"/>
        <v>0</v>
      </c>
      <c r="Q189" s="121">
        <f t="shared" si="106"/>
        <v>0</v>
      </c>
      <c r="R189" s="216">
        <f>SUM(R191:R193)</f>
        <v>43872.119999999995</v>
      </c>
      <c r="S189" s="326">
        <f>F189-SUM(G189:R189)</f>
        <v>0</v>
      </c>
    </row>
    <row r="190" spans="1:22" x14ac:dyDescent="0.25">
      <c r="A190" s="41"/>
      <c r="B190" s="80"/>
      <c r="C190" s="123"/>
      <c r="D190" s="123"/>
      <c r="E190" s="75" t="s">
        <v>29</v>
      </c>
      <c r="F190" s="146">
        <v>0</v>
      </c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7"/>
      <c r="S190" s="148"/>
      <c r="V190" s="149"/>
    </row>
    <row r="191" spans="1:22" x14ac:dyDescent="0.25">
      <c r="A191" s="41"/>
      <c r="B191" s="80">
        <v>1</v>
      </c>
      <c r="C191" s="81" t="s">
        <v>64</v>
      </c>
      <c r="D191" s="82">
        <v>72.540000000000006</v>
      </c>
      <c r="E191" s="83">
        <v>1</v>
      </c>
      <c r="F191" s="85">
        <f>+E191*S191*D191</f>
        <v>15378.480000000001</v>
      </c>
      <c r="G191" s="85">
        <f>E191*D191*31</f>
        <v>2248.7400000000002</v>
      </c>
      <c r="H191" s="86">
        <f>E191*D191*28</f>
        <v>2031.1200000000001</v>
      </c>
      <c r="I191" s="85">
        <f>E191*D191*31</f>
        <v>2248.7400000000002</v>
      </c>
      <c r="J191" s="85">
        <f>E191*D191*30</f>
        <v>2176.2000000000003</v>
      </c>
      <c r="K191" s="85">
        <f>E191*D191*31</f>
        <v>2248.7400000000002</v>
      </c>
      <c r="L191" s="85">
        <f>E191*D191*30</f>
        <v>2176.2000000000003</v>
      </c>
      <c r="M191" s="85">
        <f>E191*D191*31</f>
        <v>2248.7400000000002</v>
      </c>
      <c r="N191" s="85">
        <v>0</v>
      </c>
      <c r="O191" s="85">
        <v>0</v>
      </c>
      <c r="P191" s="85">
        <v>0</v>
      </c>
      <c r="Q191" s="85">
        <v>0</v>
      </c>
      <c r="R191" s="87">
        <v>0</v>
      </c>
      <c r="S191" s="2">
        <v>212</v>
      </c>
    </row>
    <row r="192" spans="1:22" x14ac:dyDescent="0.25">
      <c r="A192" s="41"/>
      <c r="B192" s="80">
        <v>2</v>
      </c>
      <c r="C192" s="81" t="s">
        <v>30</v>
      </c>
      <c r="D192" s="82">
        <v>71.400000000000006</v>
      </c>
      <c r="E192" s="83">
        <v>3</v>
      </c>
      <c r="F192" s="85">
        <f>+E192*S192*D192</f>
        <v>45410.400000000001</v>
      </c>
      <c r="G192" s="85">
        <f>E192*D192*31</f>
        <v>6640.2000000000007</v>
      </c>
      <c r="H192" s="86">
        <f>E192*D192*28</f>
        <v>5997.6</v>
      </c>
      <c r="I192" s="85">
        <f>E192*D192*31</f>
        <v>6640.2000000000007</v>
      </c>
      <c r="J192" s="85">
        <f>E192*D192*30</f>
        <v>6426.0000000000009</v>
      </c>
      <c r="K192" s="85">
        <f>E192*D192*31</f>
        <v>6640.2000000000007</v>
      </c>
      <c r="L192" s="85">
        <f>E192*D192*30</f>
        <v>6426.0000000000009</v>
      </c>
      <c r="M192" s="85">
        <f>E192*D192*31</f>
        <v>6640.2000000000007</v>
      </c>
      <c r="N192" s="85">
        <v>0</v>
      </c>
      <c r="O192" s="85">
        <v>0</v>
      </c>
      <c r="P192" s="85">
        <v>0</v>
      </c>
      <c r="Q192" s="85">
        <v>0</v>
      </c>
      <c r="R192" s="87">
        <v>0</v>
      </c>
      <c r="S192" s="2">
        <v>212</v>
      </c>
    </row>
    <row r="193" spans="1:22" ht="15.75" thickBot="1" x14ac:dyDescent="0.3">
      <c r="A193" s="41"/>
      <c r="B193" s="89"/>
      <c r="C193" s="90" t="s">
        <v>39</v>
      </c>
      <c r="D193" s="91"/>
      <c r="E193" s="217"/>
      <c r="F193" s="95">
        <f>104661-SUM(F191:F192)</f>
        <v>43872.119999999995</v>
      </c>
      <c r="G193" s="93"/>
      <c r="H193" s="115"/>
      <c r="I193" s="95"/>
      <c r="J193" s="95"/>
      <c r="K193" s="95"/>
      <c r="L193" s="95"/>
      <c r="M193" s="95"/>
      <c r="N193" s="95"/>
      <c r="O193" s="95"/>
      <c r="P193" s="95"/>
      <c r="Q193" s="95"/>
      <c r="R193" s="97">
        <f>F193</f>
        <v>43872.119999999995</v>
      </c>
    </row>
    <row r="194" spans="1:22" ht="47.25" customHeight="1" x14ac:dyDescent="0.25">
      <c r="A194" s="41"/>
      <c r="B194" s="192"/>
      <c r="C194" s="375" t="s">
        <v>65</v>
      </c>
      <c r="D194" s="376"/>
      <c r="E194" s="194"/>
      <c r="F194" s="195"/>
      <c r="G194" s="195"/>
      <c r="H194" s="196"/>
      <c r="I194" s="195"/>
      <c r="J194" s="195"/>
      <c r="K194" s="195"/>
      <c r="L194" s="195"/>
      <c r="M194" s="195"/>
      <c r="N194" s="195"/>
      <c r="O194" s="195"/>
      <c r="P194" s="195"/>
      <c r="Q194" s="195"/>
      <c r="R194" s="197"/>
      <c r="S194" s="25"/>
    </row>
    <row r="195" spans="1:22" ht="24.75" customHeight="1" thickBot="1" x14ac:dyDescent="0.3">
      <c r="A195" s="41"/>
      <c r="B195" s="134"/>
      <c r="C195" s="339" t="s">
        <v>122</v>
      </c>
      <c r="D195" s="339"/>
      <c r="E195" s="218">
        <f>SUM(E197:E207)</f>
        <v>33</v>
      </c>
      <c r="F195" s="219">
        <f>SUM(F197:F208)</f>
        <v>888962</v>
      </c>
      <c r="G195" s="219">
        <f t="shared" ref="G195:Q195" si="107">SUM(G197:G207)</f>
        <v>60753.8</v>
      </c>
      <c r="H195" s="219">
        <f t="shared" si="107"/>
        <v>72259.3</v>
      </c>
      <c r="I195" s="219">
        <f t="shared" si="107"/>
        <v>73287.100000000006</v>
      </c>
      <c r="J195" s="219">
        <f t="shared" si="107"/>
        <v>58794</v>
      </c>
      <c r="K195" s="219">
        <f t="shared" si="107"/>
        <v>60753.8</v>
      </c>
      <c r="L195" s="219">
        <f t="shared" si="107"/>
        <v>58794</v>
      </c>
      <c r="M195" s="219">
        <f t="shared" si="107"/>
        <v>60753.8</v>
      </c>
      <c r="N195" s="220">
        <f t="shared" si="107"/>
        <v>0</v>
      </c>
      <c r="O195" s="220">
        <f t="shared" si="107"/>
        <v>0</v>
      </c>
      <c r="P195" s="220">
        <f t="shared" si="107"/>
        <v>0</v>
      </c>
      <c r="Q195" s="220">
        <f t="shared" si="107"/>
        <v>0</v>
      </c>
      <c r="R195" s="221">
        <f>SUM(R197:R208)</f>
        <v>443566.19999999995</v>
      </c>
      <c r="S195" s="326">
        <f>F195-SUM(G195:R195)</f>
        <v>0</v>
      </c>
    </row>
    <row r="196" spans="1:22" x14ac:dyDescent="0.25">
      <c r="A196" s="41"/>
      <c r="B196" s="80"/>
      <c r="C196" s="123"/>
      <c r="D196" s="123"/>
      <c r="E196" s="75" t="s">
        <v>29</v>
      </c>
      <c r="F196" s="319">
        <v>147569</v>
      </c>
      <c r="G196" s="146"/>
      <c r="H196" s="146"/>
      <c r="I196" s="146"/>
      <c r="J196" s="146"/>
      <c r="K196" s="146"/>
      <c r="L196" s="146"/>
      <c r="M196" s="146"/>
      <c r="N196" s="222"/>
      <c r="O196" s="172"/>
      <c r="P196" s="146"/>
      <c r="Q196" s="146"/>
      <c r="R196" s="147"/>
      <c r="S196" s="148"/>
      <c r="V196" s="149"/>
    </row>
    <row r="197" spans="1:22" s="164" customFormat="1" x14ac:dyDescent="0.25">
      <c r="A197" s="159"/>
      <c r="B197" s="223">
        <v>1</v>
      </c>
      <c r="C197" s="224" t="s">
        <v>30</v>
      </c>
      <c r="D197" s="152">
        <v>71.400000000000006</v>
      </c>
      <c r="E197" s="153">
        <v>8</v>
      </c>
      <c r="F197" s="155">
        <f t="shared" ref="F197:F207" si="108">+E197*S197*D197</f>
        <v>121094.40000000001</v>
      </c>
      <c r="G197" s="157">
        <f t="shared" ref="G197:G207" si="109">E197*D197*31</f>
        <v>17707.2</v>
      </c>
      <c r="H197" s="189">
        <f>E197*D197*28</f>
        <v>15993.600000000002</v>
      </c>
      <c r="I197" s="157">
        <f>E197*D197*31</f>
        <v>17707.2</v>
      </c>
      <c r="J197" s="157">
        <f>E197*D197*30</f>
        <v>17136</v>
      </c>
      <c r="K197" s="157">
        <f>E197*D197*31</f>
        <v>17707.2</v>
      </c>
      <c r="L197" s="157">
        <f>E197*D197*30</f>
        <v>17136</v>
      </c>
      <c r="M197" s="157">
        <f>E197*D197*31</f>
        <v>17707.2</v>
      </c>
      <c r="N197" s="157">
        <v>0</v>
      </c>
      <c r="O197" s="157">
        <v>0</v>
      </c>
      <c r="P197" s="157">
        <v>0</v>
      </c>
      <c r="Q197" s="157">
        <v>0</v>
      </c>
      <c r="R197" s="158">
        <v>0</v>
      </c>
      <c r="S197" s="2">
        <v>212</v>
      </c>
      <c r="T197"/>
      <c r="U197"/>
      <c r="V197" s="206"/>
    </row>
    <row r="198" spans="1:22" s="164" customFormat="1" x14ac:dyDescent="0.25">
      <c r="A198" s="159"/>
      <c r="B198" s="223">
        <v>1</v>
      </c>
      <c r="C198" s="224" t="s">
        <v>30</v>
      </c>
      <c r="D198" s="152">
        <v>71.400000000000006</v>
      </c>
      <c r="E198" s="153">
        <v>1</v>
      </c>
      <c r="F198" s="155">
        <f t="shared" ref="F198" si="110">+E198*S198*D198</f>
        <v>0</v>
      </c>
      <c r="G198" s="157">
        <v>0</v>
      </c>
      <c r="H198" s="189">
        <v>0</v>
      </c>
      <c r="I198" s="157">
        <v>0</v>
      </c>
      <c r="J198" s="157">
        <v>0</v>
      </c>
      <c r="K198" s="157">
        <v>0</v>
      </c>
      <c r="L198" s="157">
        <v>0</v>
      </c>
      <c r="M198" s="157">
        <v>0</v>
      </c>
      <c r="N198" s="157">
        <v>0</v>
      </c>
      <c r="O198" s="157">
        <v>0</v>
      </c>
      <c r="P198" s="157">
        <v>0</v>
      </c>
      <c r="Q198" s="157">
        <v>0</v>
      </c>
      <c r="R198" s="158">
        <v>0</v>
      </c>
      <c r="S198" s="2">
        <v>0</v>
      </c>
      <c r="T198"/>
      <c r="U198"/>
      <c r="V198" s="206"/>
    </row>
    <row r="199" spans="1:22" x14ac:dyDescent="0.25">
      <c r="A199" s="41"/>
      <c r="B199" s="80">
        <v>2</v>
      </c>
      <c r="C199" s="81" t="s">
        <v>66</v>
      </c>
      <c r="D199" s="82">
        <v>73.59</v>
      </c>
      <c r="E199" s="83">
        <v>1</v>
      </c>
      <c r="F199" s="85">
        <f t="shared" si="108"/>
        <v>15601.08</v>
      </c>
      <c r="G199" s="157">
        <f t="shared" si="109"/>
        <v>2281.29</v>
      </c>
      <c r="H199" s="189">
        <f t="shared" ref="H199:H207" si="111">E199*D199*28</f>
        <v>2060.52</v>
      </c>
      <c r="I199" s="157">
        <f t="shared" ref="I199:I207" si="112">E199*D199*31</f>
        <v>2281.29</v>
      </c>
      <c r="J199" s="157">
        <f t="shared" ref="J199:J207" si="113">E199*D199*30</f>
        <v>2207.7000000000003</v>
      </c>
      <c r="K199" s="157">
        <f t="shared" ref="K199:K207" si="114">E199*D199*31</f>
        <v>2281.29</v>
      </c>
      <c r="L199" s="157">
        <f t="shared" ref="L199:L207" si="115">E199*D199*30</f>
        <v>2207.7000000000003</v>
      </c>
      <c r="M199" s="157">
        <f t="shared" ref="M199:M207" si="116">E199*D199*31</f>
        <v>2281.29</v>
      </c>
      <c r="N199" s="157">
        <v>0</v>
      </c>
      <c r="O199" s="157">
        <v>0</v>
      </c>
      <c r="P199" s="157">
        <v>0</v>
      </c>
      <c r="Q199" s="157">
        <v>0</v>
      </c>
      <c r="R199" s="158">
        <v>0</v>
      </c>
      <c r="S199" s="2">
        <v>212</v>
      </c>
    </row>
    <row r="200" spans="1:22" x14ac:dyDescent="0.25">
      <c r="A200" s="41"/>
      <c r="B200" s="80">
        <v>3</v>
      </c>
      <c r="C200" s="81" t="s">
        <v>45</v>
      </c>
      <c r="D200" s="82">
        <v>74.63</v>
      </c>
      <c r="E200" s="83">
        <v>1</v>
      </c>
      <c r="F200" s="85">
        <f t="shared" si="108"/>
        <v>15821.56</v>
      </c>
      <c r="G200" s="157">
        <f t="shared" si="109"/>
        <v>2313.5299999999997</v>
      </c>
      <c r="H200" s="189">
        <f t="shared" si="111"/>
        <v>2089.64</v>
      </c>
      <c r="I200" s="157">
        <f t="shared" si="112"/>
        <v>2313.5299999999997</v>
      </c>
      <c r="J200" s="157">
        <f t="shared" si="113"/>
        <v>2238.8999999999996</v>
      </c>
      <c r="K200" s="157">
        <f t="shared" si="114"/>
        <v>2313.5299999999997</v>
      </c>
      <c r="L200" s="157">
        <f t="shared" si="115"/>
        <v>2238.8999999999996</v>
      </c>
      <c r="M200" s="157">
        <f t="shared" si="116"/>
        <v>2313.5299999999997</v>
      </c>
      <c r="N200" s="157">
        <v>0</v>
      </c>
      <c r="O200" s="157">
        <v>0</v>
      </c>
      <c r="P200" s="157">
        <v>0</v>
      </c>
      <c r="Q200" s="157">
        <v>0</v>
      </c>
      <c r="R200" s="158">
        <v>0</v>
      </c>
      <c r="S200" s="2">
        <v>212</v>
      </c>
    </row>
    <row r="201" spans="1:22" s="164" customFormat="1" x14ac:dyDescent="0.25">
      <c r="A201" s="159"/>
      <c r="B201" s="223">
        <v>4</v>
      </c>
      <c r="C201" s="161" t="s">
        <v>33</v>
      </c>
      <c r="D201" s="162">
        <v>71.400000000000006</v>
      </c>
      <c r="E201" s="83">
        <v>7</v>
      </c>
      <c r="F201" s="157">
        <f t="shared" si="108"/>
        <v>105957.6</v>
      </c>
      <c r="G201" s="157">
        <f t="shared" si="109"/>
        <v>15493.800000000003</v>
      </c>
      <c r="H201" s="189">
        <f t="shared" si="111"/>
        <v>13994.400000000001</v>
      </c>
      <c r="I201" s="157">
        <f t="shared" si="112"/>
        <v>15493.800000000003</v>
      </c>
      <c r="J201" s="157">
        <f t="shared" si="113"/>
        <v>14994.000000000002</v>
      </c>
      <c r="K201" s="157">
        <f t="shared" si="114"/>
        <v>15493.800000000003</v>
      </c>
      <c r="L201" s="157">
        <f t="shared" si="115"/>
        <v>14994.000000000002</v>
      </c>
      <c r="M201" s="157">
        <f t="shared" si="116"/>
        <v>15493.800000000003</v>
      </c>
      <c r="N201" s="157">
        <v>0</v>
      </c>
      <c r="O201" s="157">
        <v>0</v>
      </c>
      <c r="P201" s="157">
        <v>0</v>
      </c>
      <c r="Q201" s="157">
        <v>0</v>
      </c>
      <c r="R201" s="158">
        <v>0</v>
      </c>
      <c r="S201" s="2">
        <v>212</v>
      </c>
      <c r="T201"/>
      <c r="U201"/>
    </row>
    <row r="202" spans="1:22" ht="15.75" customHeight="1" x14ac:dyDescent="0.25">
      <c r="A202" s="41"/>
      <c r="B202" s="318">
        <v>5</v>
      </c>
      <c r="C202" s="81" t="s">
        <v>67</v>
      </c>
      <c r="D202" s="82">
        <v>72.540000000000006</v>
      </c>
      <c r="E202" s="83">
        <v>2</v>
      </c>
      <c r="F202" s="85">
        <f t="shared" si="108"/>
        <v>30756.960000000003</v>
      </c>
      <c r="G202" s="157">
        <f t="shared" si="109"/>
        <v>4497.4800000000005</v>
      </c>
      <c r="H202" s="189">
        <f t="shared" si="111"/>
        <v>4062.2400000000002</v>
      </c>
      <c r="I202" s="157">
        <f t="shared" si="112"/>
        <v>4497.4800000000005</v>
      </c>
      <c r="J202" s="157">
        <f t="shared" si="113"/>
        <v>4352.4000000000005</v>
      </c>
      <c r="K202" s="157">
        <f t="shared" si="114"/>
        <v>4497.4800000000005</v>
      </c>
      <c r="L202" s="157">
        <f t="shared" si="115"/>
        <v>4352.4000000000005</v>
      </c>
      <c r="M202" s="157">
        <f t="shared" si="116"/>
        <v>4497.4800000000005</v>
      </c>
      <c r="N202" s="157">
        <v>0</v>
      </c>
      <c r="O202" s="157">
        <v>0</v>
      </c>
      <c r="P202" s="157">
        <v>0</v>
      </c>
      <c r="Q202" s="157">
        <v>0</v>
      </c>
      <c r="R202" s="158">
        <v>0</v>
      </c>
      <c r="S202" s="2">
        <v>212</v>
      </c>
    </row>
    <row r="203" spans="1:22" x14ac:dyDescent="0.25">
      <c r="A203" s="41"/>
      <c r="B203" s="318">
        <v>6</v>
      </c>
      <c r="C203" s="81" t="s">
        <v>34</v>
      </c>
      <c r="D203" s="82">
        <v>78.25</v>
      </c>
      <c r="E203" s="83">
        <v>2</v>
      </c>
      <c r="F203" s="85">
        <f t="shared" si="108"/>
        <v>33178</v>
      </c>
      <c r="G203" s="157">
        <f t="shared" si="109"/>
        <v>4851.5</v>
      </c>
      <c r="H203" s="189">
        <f t="shared" si="111"/>
        <v>4382</v>
      </c>
      <c r="I203" s="157">
        <f t="shared" si="112"/>
        <v>4851.5</v>
      </c>
      <c r="J203" s="157">
        <f t="shared" si="113"/>
        <v>4695</v>
      </c>
      <c r="K203" s="157">
        <f t="shared" si="114"/>
        <v>4851.5</v>
      </c>
      <c r="L203" s="157">
        <f t="shared" si="115"/>
        <v>4695</v>
      </c>
      <c r="M203" s="157">
        <f t="shared" si="116"/>
        <v>4851.5</v>
      </c>
      <c r="N203" s="157">
        <v>0</v>
      </c>
      <c r="O203" s="157">
        <v>0</v>
      </c>
      <c r="P203" s="157">
        <v>0</v>
      </c>
      <c r="Q203" s="157">
        <v>0</v>
      </c>
      <c r="R203" s="158">
        <v>0</v>
      </c>
      <c r="S203" s="2">
        <v>212</v>
      </c>
    </row>
    <row r="204" spans="1:22" x14ac:dyDescent="0.25">
      <c r="A204" s="41"/>
      <c r="B204" s="223">
        <v>7</v>
      </c>
      <c r="C204" s="81" t="s">
        <v>35</v>
      </c>
      <c r="D204" s="82">
        <v>72.540000000000006</v>
      </c>
      <c r="E204" s="83">
        <v>1</v>
      </c>
      <c r="F204" s="85">
        <f t="shared" si="108"/>
        <v>15378.480000000001</v>
      </c>
      <c r="G204" s="157">
        <f t="shared" si="109"/>
        <v>2248.7400000000002</v>
      </c>
      <c r="H204" s="189">
        <f t="shared" si="111"/>
        <v>2031.1200000000001</v>
      </c>
      <c r="I204" s="157">
        <f t="shared" si="112"/>
        <v>2248.7400000000002</v>
      </c>
      <c r="J204" s="157">
        <f t="shared" si="113"/>
        <v>2176.2000000000003</v>
      </c>
      <c r="K204" s="157">
        <f t="shared" si="114"/>
        <v>2248.7400000000002</v>
      </c>
      <c r="L204" s="157">
        <f t="shared" si="115"/>
        <v>2176.2000000000003</v>
      </c>
      <c r="M204" s="157">
        <f t="shared" si="116"/>
        <v>2248.7400000000002</v>
      </c>
      <c r="N204" s="157">
        <v>0</v>
      </c>
      <c r="O204" s="157">
        <v>0</v>
      </c>
      <c r="P204" s="157">
        <v>0</v>
      </c>
      <c r="Q204" s="157">
        <v>0</v>
      </c>
      <c r="R204" s="158">
        <v>0</v>
      </c>
      <c r="S204" s="2">
        <v>212</v>
      </c>
    </row>
    <row r="205" spans="1:22" x14ac:dyDescent="0.25">
      <c r="A205" s="41"/>
      <c r="B205" s="318">
        <v>8</v>
      </c>
      <c r="C205" s="81" t="s">
        <v>68</v>
      </c>
      <c r="D205" s="82">
        <v>71.400000000000006</v>
      </c>
      <c r="E205" s="83">
        <v>4</v>
      </c>
      <c r="F205" s="85">
        <f t="shared" si="108"/>
        <v>60547.200000000004</v>
      </c>
      <c r="G205" s="157">
        <f t="shared" si="109"/>
        <v>8853.6</v>
      </c>
      <c r="H205" s="189">
        <f t="shared" si="111"/>
        <v>7996.8000000000011</v>
      </c>
      <c r="I205" s="157">
        <f t="shared" si="112"/>
        <v>8853.6</v>
      </c>
      <c r="J205" s="157">
        <f t="shared" si="113"/>
        <v>8568</v>
      </c>
      <c r="K205" s="157">
        <f t="shared" si="114"/>
        <v>8853.6</v>
      </c>
      <c r="L205" s="157">
        <f t="shared" si="115"/>
        <v>8568</v>
      </c>
      <c r="M205" s="157">
        <f t="shared" si="116"/>
        <v>8853.6</v>
      </c>
      <c r="N205" s="157">
        <v>0</v>
      </c>
      <c r="O205" s="157">
        <v>0</v>
      </c>
      <c r="P205" s="157">
        <v>0</v>
      </c>
      <c r="Q205" s="157">
        <v>0</v>
      </c>
      <c r="R205" s="158">
        <v>0</v>
      </c>
      <c r="S205" s="2">
        <v>212</v>
      </c>
    </row>
    <row r="206" spans="1:22" x14ac:dyDescent="0.25">
      <c r="A206" s="41"/>
      <c r="B206" s="331">
        <v>5</v>
      </c>
      <c r="C206" s="330" t="s">
        <v>32</v>
      </c>
      <c r="D206" s="82">
        <v>80.86</v>
      </c>
      <c r="E206" s="83">
        <v>5</v>
      </c>
      <c r="F206" s="85">
        <f>+E206*S206*D206</f>
        <v>29918.2</v>
      </c>
      <c r="G206" s="85">
        <v>0</v>
      </c>
      <c r="H206" s="86">
        <f>E206*D206*28+D206*E206*15</f>
        <v>17384.900000000001</v>
      </c>
      <c r="I206" s="85">
        <f>E206*D206*31</f>
        <v>12533.300000000001</v>
      </c>
      <c r="J206" s="85">
        <v>0</v>
      </c>
      <c r="K206" s="85">
        <v>0</v>
      </c>
      <c r="L206" s="85">
        <v>0</v>
      </c>
      <c r="M206" s="85">
        <v>0</v>
      </c>
      <c r="N206" s="85">
        <v>0</v>
      </c>
      <c r="O206" s="85"/>
      <c r="P206" s="85">
        <v>0</v>
      </c>
      <c r="Q206" s="85">
        <v>0</v>
      </c>
      <c r="R206" s="87">
        <v>0</v>
      </c>
      <c r="S206" s="2">
        <f>15+28+31</f>
        <v>74</v>
      </c>
    </row>
    <row r="207" spans="1:22" ht="14.25" customHeight="1" x14ac:dyDescent="0.25">
      <c r="A207" s="41"/>
      <c r="B207" s="318">
        <v>9</v>
      </c>
      <c r="C207" s="81" t="s">
        <v>32</v>
      </c>
      <c r="D207" s="82">
        <v>80.86</v>
      </c>
      <c r="E207" s="83">
        <v>1</v>
      </c>
      <c r="F207" s="85">
        <f t="shared" si="108"/>
        <v>17142.32</v>
      </c>
      <c r="G207" s="157">
        <f t="shared" si="109"/>
        <v>2506.66</v>
      </c>
      <c r="H207" s="189">
        <f t="shared" si="111"/>
        <v>2264.08</v>
      </c>
      <c r="I207" s="157">
        <f t="shared" si="112"/>
        <v>2506.66</v>
      </c>
      <c r="J207" s="157">
        <f t="shared" si="113"/>
        <v>2425.8000000000002</v>
      </c>
      <c r="K207" s="157">
        <f t="shared" si="114"/>
        <v>2506.66</v>
      </c>
      <c r="L207" s="157">
        <f t="shared" si="115"/>
        <v>2425.8000000000002</v>
      </c>
      <c r="M207" s="157">
        <f t="shared" si="116"/>
        <v>2506.66</v>
      </c>
      <c r="N207" s="157">
        <v>0</v>
      </c>
      <c r="O207" s="157">
        <v>0</v>
      </c>
      <c r="P207" s="157">
        <v>0</v>
      </c>
      <c r="Q207" s="157">
        <v>0</v>
      </c>
      <c r="R207" s="158">
        <v>0</v>
      </c>
      <c r="S207" s="2">
        <v>212</v>
      </c>
    </row>
    <row r="208" spans="1:22" ht="15" customHeight="1" thickBot="1" x14ac:dyDescent="0.3">
      <c r="A208" s="41"/>
      <c r="B208" s="225"/>
      <c r="C208" s="226" t="s">
        <v>39</v>
      </c>
      <c r="D208" s="227"/>
      <c r="E208" s="228"/>
      <c r="F208" s="229">
        <f>741393-SUM(F197:F207)+147569</f>
        <v>443566.19999999995</v>
      </c>
      <c r="G208" s="229"/>
      <c r="H208" s="230"/>
      <c r="I208" s="229"/>
      <c r="J208" s="231"/>
      <c r="K208" s="232"/>
      <c r="L208" s="232"/>
      <c r="M208" s="232"/>
      <c r="N208" s="232"/>
      <c r="O208" s="232"/>
      <c r="P208" s="232"/>
      <c r="Q208" s="232"/>
      <c r="R208" s="233">
        <f>F208</f>
        <v>443566.19999999995</v>
      </c>
      <c r="S208" s="234"/>
      <c r="T208" s="7"/>
    </row>
    <row r="209" spans="1:22" ht="39" customHeight="1" x14ac:dyDescent="0.25">
      <c r="A209" s="41"/>
      <c r="B209" s="192"/>
      <c r="C209" s="377" t="s">
        <v>69</v>
      </c>
      <c r="D209" s="378"/>
      <c r="E209" s="194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7"/>
      <c r="S209" s="326"/>
    </row>
    <row r="210" spans="1:22" ht="33" customHeight="1" thickBot="1" x14ac:dyDescent="0.3">
      <c r="A210" s="41"/>
      <c r="B210" s="235"/>
      <c r="C210" s="361" t="s">
        <v>123</v>
      </c>
      <c r="D210" s="361"/>
      <c r="E210" s="236">
        <f>SUM(E212:E237)</f>
        <v>118</v>
      </c>
      <c r="F210" s="237">
        <f>SUM(F212:F237)</f>
        <v>3142404</v>
      </c>
      <c r="G210" s="237">
        <f t="shared" ref="G210:Q210" si="117">SUM(G212:G236)</f>
        <v>246897.33</v>
      </c>
      <c r="H210" s="237">
        <f t="shared" si="117"/>
        <v>239394.12000000002</v>
      </c>
      <c r="I210" s="237">
        <f t="shared" si="117"/>
        <v>257928.98999999996</v>
      </c>
      <c r="J210" s="237">
        <f t="shared" si="117"/>
        <v>236756.70000000004</v>
      </c>
      <c r="K210" s="237">
        <f t="shared" si="117"/>
        <v>244648.59</v>
      </c>
      <c r="L210" s="237">
        <f t="shared" si="117"/>
        <v>236756.70000000004</v>
      </c>
      <c r="M210" s="237">
        <f t="shared" si="117"/>
        <v>244648.59</v>
      </c>
      <c r="N210" s="237">
        <f t="shared" si="117"/>
        <v>0</v>
      </c>
      <c r="O210" s="237">
        <f t="shared" si="117"/>
        <v>0</v>
      </c>
      <c r="P210" s="237">
        <f t="shared" si="117"/>
        <v>0</v>
      </c>
      <c r="Q210" s="237">
        <f t="shared" si="117"/>
        <v>0</v>
      </c>
      <c r="R210" s="238">
        <f>SUM(R212:R237)</f>
        <v>1435372.9799999997</v>
      </c>
      <c r="S210" s="326">
        <f>F210-SUM(G210:R210)</f>
        <v>0</v>
      </c>
    </row>
    <row r="211" spans="1:22" x14ac:dyDescent="0.25">
      <c r="A211" s="41"/>
      <c r="B211" s="80"/>
      <c r="C211" s="123"/>
      <c r="D211" s="123"/>
      <c r="E211" s="75" t="s">
        <v>29</v>
      </c>
      <c r="F211" s="319">
        <v>281288</v>
      </c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7"/>
      <c r="V211" s="149"/>
    </row>
    <row r="212" spans="1:22" x14ac:dyDescent="0.25">
      <c r="A212" s="41"/>
      <c r="B212" s="150">
        <v>1</v>
      </c>
      <c r="C212" s="335" t="s">
        <v>41</v>
      </c>
      <c r="D212" s="207">
        <v>72.540000000000006</v>
      </c>
      <c r="E212" s="208">
        <v>31</v>
      </c>
      <c r="F212" s="155">
        <f t="shared" ref="F212:F230" si="118">+E212*S212*D212</f>
        <v>476732.88000000006</v>
      </c>
      <c r="G212" s="157">
        <f>E212*D212*31</f>
        <v>69710.94</v>
      </c>
      <c r="H212" s="189">
        <f>E212*D212*28</f>
        <v>62964.720000000008</v>
      </c>
      <c r="I212" s="157">
        <f t="shared" ref="I212:I230" si="119">E212*D212*31</f>
        <v>69710.94</v>
      </c>
      <c r="J212" s="157">
        <f t="shared" ref="J212:J230" si="120">E212*D212*30</f>
        <v>67462.200000000012</v>
      </c>
      <c r="K212" s="157">
        <f t="shared" ref="K212:K230" si="121">E212*D212*31</f>
        <v>69710.94</v>
      </c>
      <c r="L212" s="157">
        <f t="shared" ref="L212:L230" si="122">E212*D212*30</f>
        <v>67462.200000000012</v>
      </c>
      <c r="M212" s="157">
        <f t="shared" ref="M212:M230" si="123">E212*D212*31</f>
        <v>69710.94</v>
      </c>
      <c r="N212" s="157">
        <v>0</v>
      </c>
      <c r="O212" s="157">
        <v>0</v>
      </c>
      <c r="P212" s="157">
        <v>0</v>
      </c>
      <c r="Q212" s="157">
        <v>0</v>
      </c>
      <c r="R212" s="158">
        <v>0</v>
      </c>
      <c r="S212" s="2">
        <v>212</v>
      </c>
    </row>
    <row r="213" spans="1:22" x14ac:dyDescent="0.25">
      <c r="A213" s="41"/>
      <c r="B213" s="150">
        <v>1</v>
      </c>
      <c r="C213" s="335" t="s">
        <v>41</v>
      </c>
      <c r="D213" s="207">
        <v>72.540000000000006</v>
      </c>
      <c r="E213" s="208">
        <v>1</v>
      </c>
      <c r="F213" s="155">
        <f t="shared" ref="F213" si="124">+E213*S213*D213</f>
        <v>2248.7400000000002</v>
      </c>
      <c r="G213" s="157">
        <f>E213*D213*31</f>
        <v>2248.7400000000002</v>
      </c>
      <c r="H213" s="189">
        <v>0</v>
      </c>
      <c r="I213" s="157">
        <v>0</v>
      </c>
      <c r="J213" s="157">
        <v>0</v>
      </c>
      <c r="K213" s="157">
        <v>0</v>
      </c>
      <c r="L213" s="157">
        <v>0</v>
      </c>
      <c r="M213" s="157">
        <v>0</v>
      </c>
      <c r="N213" s="157">
        <v>0</v>
      </c>
      <c r="O213" s="157">
        <v>0</v>
      </c>
      <c r="P213" s="157">
        <v>0</v>
      </c>
      <c r="Q213" s="157">
        <v>0</v>
      </c>
      <c r="R213" s="158">
        <v>0</v>
      </c>
      <c r="S213" s="2">
        <v>31</v>
      </c>
    </row>
    <row r="214" spans="1:22" x14ac:dyDescent="0.25">
      <c r="A214" s="41"/>
      <c r="B214" s="150">
        <v>1</v>
      </c>
      <c r="C214" s="335" t="s">
        <v>41</v>
      </c>
      <c r="D214" s="207">
        <v>72.540000000000006</v>
      </c>
      <c r="E214" s="208">
        <v>2</v>
      </c>
      <c r="F214" s="155">
        <f t="shared" ref="F214" si="125">+E214*S214*D214</f>
        <v>0</v>
      </c>
      <c r="G214" s="157">
        <v>0</v>
      </c>
      <c r="H214" s="189">
        <v>0</v>
      </c>
      <c r="I214" s="157">
        <v>0</v>
      </c>
      <c r="J214" s="157">
        <v>0</v>
      </c>
      <c r="K214" s="157">
        <v>0</v>
      </c>
      <c r="L214" s="157">
        <v>0</v>
      </c>
      <c r="M214" s="157">
        <v>0</v>
      </c>
      <c r="N214" s="157">
        <v>0</v>
      </c>
      <c r="O214" s="157">
        <v>0</v>
      </c>
      <c r="P214" s="157">
        <v>0</v>
      </c>
      <c r="Q214" s="157">
        <v>0</v>
      </c>
      <c r="R214" s="158">
        <v>0</v>
      </c>
      <c r="S214" s="2">
        <v>0</v>
      </c>
    </row>
    <row r="215" spans="1:22" x14ac:dyDescent="0.25">
      <c r="A215" s="41"/>
      <c r="B215" s="80">
        <v>2</v>
      </c>
      <c r="C215" s="336" t="s">
        <v>70</v>
      </c>
      <c r="D215" s="82">
        <v>73.59</v>
      </c>
      <c r="E215" s="83">
        <v>2</v>
      </c>
      <c r="F215" s="157">
        <f t="shared" si="118"/>
        <v>31202.16</v>
      </c>
      <c r="G215" s="157">
        <f t="shared" ref="G215:G230" si="126">E215*D215*31</f>
        <v>4562.58</v>
      </c>
      <c r="H215" s="189">
        <f t="shared" ref="H215:H230" si="127">E215*D215*28</f>
        <v>4121.04</v>
      </c>
      <c r="I215" s="157">
        <f t="shared" si="119"/>
        <v>4562.58</v>
      </c>
      <c r="J215" s="157">
        <f t="shared" si="120"/>
        <v>4415.4000000000005</v>
      </c>
      <c r="K215" s="157">
        <f t="shared" si="121"/>
        <v>4562.58</v>
      </c>
      <c r="L215" s="157">
        <f t="shared" si="122"/>
        <v>4415.4000000000005</v>
      </c>
      <c r="M215" s="157">
        <f t="shared" si="123"/>
        <v>4562.58</v>
      </c>
      <c r="N215" s="157">
        <v>0</v>
      </c>
      <c r="O215" s="157">
        <v>0</v>
      </c>
      <c r="P215" s="157">
        <v>0</v>
      </c>
      <c r="Q215" s="157">
        <v>0</v>
      </c>
      <c r="R215" s="158">
        <v>0</v>
      </c>
      <c r="S215" s="2">
        <v>212</v>
      </c>
    </row>
    <row r="216" spans="1:22" x14ac:dyDescent="0.25">
      <c r="A216" s="41"/>
      <c r="B216" s="80">
        <v>3</v>
      </c>
      <c r="C216" s="336" t="s">
        <v>71</v>
      </c>
      <c r="D216" s="82">
        <v>71.400000000000006</v>
      </c>
      <c r="E216" s="83">
        <v>28</v>
      </c>
      <c r="F216" s="157">
        <f t="shared" si="118"/>
        <v>423830.4</v>
      </c>
      <c r="G216" s="157">
        <f t="shared" si="126"/>
        <v>61975.200000000012</v>
      </c>
      <c r="H216" s="189">
        <f t="shared" si="127"/>
        <v>55977.600000000006</v>
      </c>
      <c r="I216" s="157">
        <f t="shared" si="119"/>
        <v>61975.200000000012</v>
      </c>
      <c r="J216" s="157">
        <f t="shared" si="120"/>
        <v>59976.000000000007</v>
      </c>
      <c r="K216" s="157">
        <f t="shared" si="121"/>
        <v>61975.200000000012</v>
      </c>
      <c r="L216" s="157">
        <f t="shared" si="122"/>
        <v>59976.000000000007</v>
      </c>
      <c r="M216" s="157">
        <f t="shared" si="123"/>
        <v>61975.200000000012</v>
      </c>
      <c r="N216" s="157">
        <v>0</v>
      </c>
      <c r="O216" s="157">
        <v>0</v>
      </c>
      <c r="P216" s="157">
        <v>0</v>
      </c>
      <c r="Q216" s="157">
        <v>0</v>
      </c>
      <c r="R216" s="158">
        <v>0</v>
      </c>
      <c r="S216" s="2">
        <v>212</v>
      </c>
    </row>
    <row r="217" spans="1:22" x14ac:dyDescent="0.25">
      <c r="A217" s="41"/>
      <c r="B217" s="331">
        <v>3</v>
      </c>
      <c r="C217" s="336" t="s">
        <v>71</v>
      </c>
      <c r="D217" s="82">
        <v>71.400000000000006</v>
      </c>
      <c r="E217" s="83">
        <v>1</v>
      </c>
      <c r="F217" s="157">
        <f t="shared" ref="F217" si="128">+E217*S217*D217</f>
        <v>0</v>
      </c>
      <c r="G217" s="157">
        <v>0</v>
      </c>
      <c r="H217" s="189">
        <v>0</v>
      </c>
      <c r="I217" s="157">
        <v>0</v>
      </c>
      <c r="J217" s="157">
        <v>0</v>
      </c>
      <c r="K217" s="157">
        <v>0</v>
      </c>
      <c r="L217" s="157">
        <v>0</v>
      </c>
      <c r="M217" s="157">
        <v>0</v>
      </c>
      <c r="N217" s="157">
        <v>0</v>
      </c>
      <c r="O217" s="157">
        <v>0</v>
      </c>
      <c r="P217" s="157">
        <v>0</v>
      </c>
      <c r="Q217" s="157">
        <v>0</v>
      </c>
      <c r="R217" s="158">
        <v>0</v>
      </c>
      <c r="S217" s="2">
        <v>0</v>
      </c>
    </row>
    <row r="218" spans="1:22" s="164" customFormat="1" x14ac:dyDescent="0.25">
      <c r="A218" s="159"/>
      <c r="B218" s="150">
        <v>4</v>
      </c>
      <c r="C218" s="337" t="s">
        <v>43</v>
      </c>
      <c r="D218" s="162">
        <v>71.400000000000006</v>
      </c>
      <c r="E218" s="83">
        <v>2</v>
      </c>
      <c r="F218" s="157">
        <f>+E218*S218*D218</f>
        <v>30273.600000000002</v>
      </c>
      <c r="G218" s="157">
        <f>E218*D218*31</f>
        <v>4426.8</v>
      </c>
      <c r="H218" s="189">
        <f>E218*D218*28</f>
        <v>3998.4000000000005</v>
      </c>
      <c r="I218" s="157">
        <f>E218*D218*31</f>
        <v>4426.8</v>
      </c>
      <c r="J218" s="157">
        <f>E218*D218*30</f>
        <v>4284</v>
      </c>
      <c r="K218" s="157">
        <f>E218*D218*31</f>
        <v>4426.8</v>
      </c>
      <c r="L218" s="157">
        <f>E218*D218*30</f>
        <v>4284</v>
      </c>
      <c r="M218" s="157">
        <f>E218*D218*31</f>
        <v>4426.8</v>
      </c>
      <c r="N218" s="157">
        <v>0</v>
      </c>
      <c r="O218" s="157">
        <v>0</v>
      </c>
      <c r="P218" s="157">
        <v>0</v>
      </c>
      <c r="Q218" s="157">
        <v>0</v>
      </c>
      <c r="R218" s="158">
        <v>0</v>
      </c>
      <c r="S218" s="2">
        <v>212</v>
      </c>
      <c r="T218"/>
      <c r="U218"/>
    </row>
    <row r="219" spans="1:22" s="164" customFormat="1" x14ac:dyDescent="0.25">
      <c r="A219" s="159"/>
      <c r="B219" s="318">
        <v>5</v>
      </c>
      <c r="C219" s="338" t="s">
        <v>72</v>
      </c>
      <c r="D219" s="162">
        <v>71.400000000000006</v>
      </c>
      <c r="E219" s="83">
        <v>1</v>
      </c>
      <c r="F219" s="157">
        <f t="shared" si="118"/>
        <v>15136.800000000001</v>
      </c>
      <c r="G219" s="157">
        <f t="shared" si="126"/>
        <v>2213.4</v>
      </c>
      <c r="H219" s="189">
        <f t="shared" si="127"/>
        <v>1999.2000000000003</v>
      </c>
      <c r="I219" s="157">
        <f t="shared" si="119"/>
        <v>2213.4</v>
      </c>
      <c r="J219" s="157">
        <f t="shared" si="120"/>
        <v>2142</v>
      </c>
      <c r="K219" s="157">
        <f t="shared" si="121"/>
        <v>2213.4</v>
      </c>
      <c r="L219" s="157">
        <f t="shared" si="122"/>
        <v>2142</v>
      </c>
      <c r="M219" s="157">
        <f t="shared" si="123"/>
        <v>2213.4</v>
      </c>
      <c r="N219" s="157">
        <v>0</v>
      </c>
      <c r="O219" s="157">
        <v>0</v>
      </c>
      <c r="P219" s="157">
        <v>0</v>
      </c>
      <c r="Q219" s="157">
        <v>0</v>
      </c>
      <c r="R219" s="158">
        <v>0</v>
      </c>
      <c r="S219" s="2">
        <v>212</v>
      </c>
      <c r="T219"/>
      <c r="U219"/>
    </row>
    <row r="220" spans="1:22" s="164" customFormat="1" x14ac:dyDescent="0.25">
      <c r="A220" s="159"/>
      <c r="B220" s="318">
        <v>6</v>
      </c>
      <c r="C220" s="338" t="s">
        <v>73</v>
      </c>
      <c r="D220" s="162">
        <v>71.400000000000006</v>
      </c>
      <c r="E220" s="83">
        <v>1</v>
      </c>
      <c r="F220" s="157">
        <f t="shared" si="118"/>
        <v>15136.800000000001</v>
      </c>
      <c r="G220" s="157">
        <f t="shared" si="126"/>
        <v>2213.4</v>
      </c>
      <c r="H220" s="189">
        <f t="shared" si="127"/>
        <v>1999.2000000000003</v>
      </c>
      <c r="I220" s="157">
        <f t="shared" si="119"/>
        <v>2213.4</v>
      </c>
      <c r="J220" s="157">
        <f t="shared" si="120"/>
        <v>2142</v>
      </c>
      <c r="K220" s="157">
        <f t="shared" si="121"/>
        <v>2213.4</v>
      </c>
      <c r="L220" s="157">
        <f t="shared" si="122"/>
        <v>2142</v>
      </c>
      <c r="M220" s="157">
        <f t="shared" si="123"/>
        <v>2213.4</v>
      </c>
      <c r="N220" s="157">
        <v>0</v>
      </c>
      <c r="O220" s="157">
        <v>0</v>
      </c>
      <c r="P220" s="157">
        <v>0</v>
      </c>
      <c r="Q220" s="157">
        <v>0</v>
      </c>
      <c r="R220" s="158">
        <v>0</v>
      </c>
      <c r="S220" s="2">
        <v>212</v>
      </c>
      <c r="T220"/>
      <c r="U220"/>
    </row>
    <row r="221" spans="1:22" s="164" customFormat="1" x14ac:dyDescent="0.25">
      <c r="A221" s="159"/>
      <c r="B221" s="150">
        <v>7</v>
      </c>
      <c r="C221" s="338" t="s">
        <v>30</v>
      </c>
      <c r="D221" s="162">
        <v>71.400000000000006</v>
      </c>
      <c r="E221" s="83">
        <v>9</v>
      </c>
      <c r="F221" s="157">
        <f t="shared" si="118"/>
        <v>136231.20000000001</v>
      </c>
      <c r="G221" s="157">
        <f t="shared" si="126"/>
        <v>19920.600000000002</v>
      </c>
      <c r="H221" s="189">
        <f t="shared" si="127"/>
        <v>17992.8</v>
      </c>
      <c r="I221" s="157">
        <f t="shared" si="119"/>
        <v>19920.600000000002</v>
      </c>
      <c r="J221" s="157">
        <f t="shared" si="120"/>
        <v>19278</v>
      </c>
      <c r="K221" s="157">
        <f t="shared" si="121"/>
        <v>19920.600000000002</v>
      </c>
      <c r="L221" s="157">
        <f t="shared" si="122"/>
        <v>19278</v>
      </c>
      <c r="M221" s="157">
        <f t="shared" si="123"/>
        <v>19920.600000000002</v>
      </c>
      <c r="N221" s="157">
        <v>0</v>
      </c>
      <c r="O221" s="157">
        <v>0</v>
      </c>
      <c r="P221" s="157">
        <v>0</v>
      </c>
      <c r="Q221" s="157">
        <v>0</v>
      </c>
      <c r="R221" s="158">
        <v>0</v>
      </c>
      <c r="S221" s="2">
        <v>212</v>
      </c>
      <c r="T221"/>
      <c r="U221"/>
    </row>
    <row r="222" spans="1:22" s="164" customFormat="1" x14ac:dyDescent="0.25">
      <c r="A222" s="159"/>
      <c r="B222" s="318">
        <v>8</v>
      </c>
      <c r="C222" s="338" t="s">
        <v>55</v>
      </c>
      <c r="D222" s="162">
        <v>72.540000000000006</v>
      </c>
      <c r="E222" s="83">
        <v>4</v>
      </c>
      <c r="F222" s="157">
        <f>+E222*S222*D222</f>
        <v>61513.920000000006</v>
      </c>
      <c r="G222" s="157">
        <f t="shared" si="126"/>
        <v>8994.9600000000009</v>
      </c>
      <c r="H222" s="189">
        <f t="shared" si="127"/>
        <v>8124.4800000000005</v>
      </c>
      <c r="I222" s="157">
        <f t="shared" si="119"/>
        <v>8994.9600000000009</v>
      </c>
      <c r="J222" s="157">
        <f t="shared" si="120"/>
        <v>8704.8000000000011</v>
      </c>
      <c r="K222" s="157">
        <f t="shared" si="121"/>
        <v>8994.9600000000009</v>
      </c>
      <c r="L222" s="157">
        <f t="shared" si="122"/>
        <v>8704.8000000000011</v>
      </c>
      <c r="M222" s="157">
        <f t="shared" si="123"/>
        <v>8994.9600000000009</v>
      </c>
      <c r="N222" s="157">
        <v>0</v>
      </c>
      <c r="O222" s="157">
        <v>0</v>
      </c>
      <c r="P222" s="157">
        <v>0</v>
      </c>
      <c r="Q222" s="157">
        <v>0</v>
      </c>
      <c r="R222" s="158">
        <v>0</v>
      </c>
      <c r="S222" s="2">
        <v>212</v>
      </c>
      <c r="T222"/>
      <c r="U222"/>
    </row>
    <row r="223" spans="1:22" s="164" customFormat="1" x14ac:dyDescent="0.25">
      <c r="A223" s="159"/>
      <c r="B223" s="318">
        <v>9</v>
      </c>
      <c r="C223" s="338" t="s">
        <v>60</v>
      </c>
      <c r="D223" s="162">
        <v>77.59</v>
      </c>
      <c r="E223" s="83">
        <v>1</v>
      </c>
      <c r="F223" s="157">
        <f t="shared" si="118"/>
        <v>16449.080000000002</v>
      </c>
      <c r="G223" s="157">
        <f t="shared" si="126"/>
        <v>2405.29</v>
      </c>
      <c r="H223" s="189">
        <f t="shared" si="127"/>
        <v>2172.52</v>
      </c>
      <c r="I223" s="157">
        <f t="shared" si="119"/>
        <v>2405.29</v>
      </c>
      <c r="J223" s="157">
        <f t="shared" si="120"/>
        <v>2327.7000000000003</v>
      </c>
      <c r="K223" s="157">
        <f t="shared" si="121"/>
        <v>2405.29</v>
      </c>
      <c r="L223" s="157">
        <f t="shared" si="122"/>
        <v>2327.7000000000003</v>
      </c>
      <c r="M223" s="157">
        <f t="shared" si="123"/>
        <v>2405.29</v>
      </c>
      <c r="N223" s="157">
        <v>0</v>
      </c>
      <c r="O223" s="157">
        <v>0</v>
      </c>
      <c r="P223" s="157">
        <v>0</v>
      </c>
      <c r="Q223" s="157">
        <v>0</v>
      </c>
      <c r="R223" s="158">
        <v>0</v>
      </c>
      <c r="S223" s="2">
        <v>212</v>
      </c>
      <c r="T223"/>
      <c r="U223"/>
    </row>
    <row r="224" spans="1:22" s="164" customFormat="1" x14ac:dyDescent="0.25">
      <c r="A224" s="159"/>
      <c r="B224" s="150">
        <v>10</v>
      </c>
      <c r="C224" s="338" t="s">
        <v>33</v>
      </c>
      <c r="D224" s="162">
        <v>71.400000000000006</v>
      </c>
      <c r="E224" s="83">
        <v>7</v>
      </c>
      <c r="F224" s="157">
        <f t="shared" si="118"/>
        <v>105957.6</v>
      </c>
      <c r="G224" s="157">
        <f t="shared" si="126"/>
        <v>15493.800000000003</v>
      </c>
      <c r="H224" s="189">
        <f t="shared" si="127"/>
        <v>13994.400000000001</v>
      </c>
      <c r="I224" s="157">
        <f t="shared" si="119"/>
        <v>15493.800000000003</v>
      </c>
      <c r="J224" s="157">
        <f t="shared" si="120"/>
        <v>14994.000000000002</v>
      </c>
      <c r="K224" s="157">
        <f t="shared" si="121"/>
        <v>15493.800000000003</v>
      </c>
      <c r="L224" s="157">
        <f t="shared" si="122"/>
        <v>14994.000000000002</v>
      </c>
      <c r="M224" s="157">
        <f t="shared" si="123"/>
        <v>15493.800000000003</v>
      </c>
      <c r="N224" s="157">
        <v>0</v>
      </c>
      <c r="O224" s="157">
        <v>0</v>
      </c>
      <c r="P224" s="157">
        <v>0</v>
      </c>
      <c r="Q224" s="157">
        <v>0</v>
      </c>
      <c r="R224" s="158">
        <v>0</v>
      </c>
      <c r="S224" s="2">
        <v>212</v>
      </c>
      <c r="T224"/>
      <c r="U224"/>
    </row>
    <row r="225" spans="1:22" x14ac:dyDescent="0.25">
      <c r="A225" s="41"/>
      <c r="B225" s="318">
        <v>11</v>
      </c>
      <c r="C225" s="336" t="s">
        <v>74</v>
      </c>
      <c r="D225" s="82">
        <v>73.59</v>
      </c>
      <c r="E225" s="83">
        <v>1</v>
      </c>
      <c r="F225" s="157">
        <f>+E225*S225*D225</f>
        <v>15601.08</v>
      </c>
      <c r="G225" s="157">
        <f>E225*D225*31</f>
        <v>2281.29</v>
      </c>
      <c r="H225" s="189">
        <f>E225*D225*28</f>
        <v>2060.52</v>
      </c>
      <c r="I225" s="157">
        <f>E225*D225*31</f>
        <v>2281.29</v>
      </c>
      <c r="J225" s="157">
        <f>E225*D225*30</f>
        <v>2207.7000000000003</v>
      </c>
      <c r="K225" s="157">
        <f>E225*D225*31</f>
        <v>2281.29</v>
      </c>
      <c r="L225" s="157">
        <f>E225*D225*30</f>
        <v>2207.7000000000003</v>
      </c>
      <c r="M225" s="157">
        <f>E225*D225*31</f>
        <v>2281.29</v>
      </c>
      <c r="N225" s="157">
        <v>0</v>
      </c>
      <c r="O225" s="157">
        <v>0</v>
      </c>
      <c r="P225" s="157">
        <v>0</v>
      </c>
      <c r="Q225" s="157">
        <v>0</v>
      </c>
      <c r="R225" s="158">
        <v>0</v>
      </c>
      <c r="S225" s="2">
        <v>212</v>
      </c>
    </row>
    <row r="226" spans="1:22" ht="15.75" customHeight="1" x14ac:dyDescent="0.25">
      <c r="A226" s="41"/>
      <c r="B226" s="318">
        <v>12</v>
      </c>
      <c r="C226" s="336" t="s">
        <v>61</v>
      </c>
      <c r="D226" s="82">
        <v>75.64</v>
      </c>
      <c r="E226" s="239">
        <v>1</v>
      </c>
      <c r="F226" s="157">
        <f>+E226*S226*D226</f>
        <v>16035.68</v>
      </c>
      <c r="G226" s="157">
        <f>E226*D226*31</f>
        <v>2344.84</v>
      </c>
      <c r="H226" s="189">
        <f>E226*D226*28</f>
        <v>2117.92</v>
      </c>
      <c r="I226" s="157">
        <f>E226*D226*31</f>
        <v>2344.84</v>
      </c>
      <c r="J226" s="157">
        <f>E226*D226*30</f>
        <v>2269.1999999999998</v>
      </c>
      <c r="K226" s="157">
        <f>E226*D226*31</f>
        <v>2344.84</v>
      </c>
      <c r="L226" s="157">
        <f>E226*D226*30</f>
        <v>2269.1999999999998</v>
      </c>
      <c r="M226" s="157">
        <f>E226*D226*31</f>
        <v>2344.84</v>
      </c>
      <c r="N226" s="157">
        <v>0</v>
      </c>
      <c r="O226" s="157">
        <v>0</v>
      </c>
      <c r="P226" s="157">
        <v>0</v>
      </c>
      <c r="Q226" s="157">
        <v>0</v>
      </c>
      <c r="R226" s="158">
        <v>0</v>
      </c>
      <c r="S226" s="2">
        <v>212</v>
      </c>
    </row>
    <row r="227" spans="1:22" x14ac:dyDescent="0.25">
      <c r="A227" s="41"/>
      <c r="B227" s="150">
        <v>13</v>
      </c>
      <c r="C227" s="336" t="s">
        <v>62</v>
      </c>
      <c r="D227" s="82">
        <v>71.400000000000006</v>
      </c>
      <c r="E227" s="83">
        <v>1</v>
      </c>
      <c r="F227" s="157">
        <f>+E227*S227*D227</f>
        <v>15136.800000000001</v>
      </c>
      <c r="G227" s="157">
        <f>E227*D227*31</f>
        <v>2213.4</v>
      </c>
      <c r="H227" s="189">
        <f>E227*D227*28</f>
        <v>1999.2000000000003</v>
      </c>
      <c r="I227" s="157">
        <f>E227*D227*31</f>
        <v>2213.4</v>
      </c>
      <c r="J227" s="157">
        <f>E227*D227*30</f>
        <v>2142</v>
      </c>
      <c r="K227" s="157">
        <f>E227*D227*31</f>
        <v>2213.4</v>
      </c>
      <c r="L227" s="157">
        <f>E227*D227*30</f>
        <v>2142</v>
      </c>
      <c r="M227" s="157">
        <f>E227*D227*31</f>
        <v>2213.4</v>
      </c>
      <c r="N227" s="157">
        <v>0</v>
      </c>
      <c r="O227" s="157">
        <v>0</v>
      </c>
      <c r="P227" s="157">
        <v>0</v>
      </c>
      <c r="Q227" s="157">
        <v>0</v>
      </c>
      <c r="R227" s="158">
        <v>0</v>
      </c>
      <c r="S227" s="2">
        <v>212</v>
      </c>
    </row>
    <row r="228" spans="1:22" x14ac:dyDescent="0.25">
      <c r="A228" s="41"/>
      <c r="B228" s="318">
        <v>14</v>
      </c>
      <c r="C228" s="336" t="s">
        <v>34</v>
      </c>
      <c r="D228" s="82">
        <v>78.25</v>
      </c>
      <c r="E228" s="83">
        <v>9</v>
      </c>
      <c r="F228" s="157">
        <f>+E228*S228*D228</f>
        <v>149301</v>
      </c>
      <c r="G228" s="157">
        <f>E228*D228*31</f>
        <v>21831.75</v>
      </c>
      <c r="H228" s="189">
        <f>E228*D228*28</f>
        <v>19719</v>
      </c>
      <c r="I228" s="157">
        <f>E228*D228*31</f>
        <v>21831.75</v>
      </c>
      <c r="J228" s="157">
        <f>E228*D228*30</f>
        <v>21127.5</v>
      </c>
      <c r="K228" s="157">
        <f>E228*D228*31</f>
        <v>21831.75</v>
      </c>
      <c r="L228" s="157">
        <f>E228*D228*30</f>
        <v>21127.5</v>
      </c>
      <c r="M228" s="157">
        <f>E228*D228*31</f>
        <v>21831.75</v>
      </c>
      <c r="N228" s="157">
        <v>0</v>
      </c>
      <c r="O228" s="157">
        <v>0</v>
      </c>
      <c r="P228" s="157">
        <v>0</v>
      </c>
      <c r="Q228" s="157">
        <v>0</v>
      </c>
      <c r="R228" s="158">
        <v>0</v>
      </c>
      <c r="S228" s="2">
        <v>212</v>
      </c>
    </row>
    <row r="229" spans="1:22" x14ac:dyDescent="0.25">
      <c r="A229" s="41"/>
      <c r="B229" s="318">
        <v>15</v>
      </c>
      <c r="C229" s="336" t="s">
        <v>35</v>
      </c>
      <c r="D229" s="82">
        <v>72.540000000000006</v>
      </c>
      <c r="E229" s="83">
        <v>1</v>
      </c>
      <c r="F229" s="157">
        <f t="shared" si="118"/>
        <v>15378.480000000001</v>
      </c>
      <c r="G229" s="157">
        <f t="shared" si="126"/>
        <v>2248.7400000000002</v>
      </c>
      <c r="H229" s="189">
        <f t="shared" si="127"/>
        <v>2031.1200000000001</v>
      </c>
      <c r="I229" s="157">
        <f t="shared" si="119"/>
        <v>2248.7400000000002</v>
      </c>
      <c r="J229" s="157">
        <f t="shared" si="120"/>
        <v>2176.2000000000003</v>
      </c>
      <c r="K229" s="157">
        <f t="shared" si="121"/>
        <v>2248.7400000000002</v>
      </c>
      <c r="L229" s="157">
        <f t="shared" si="122"/>
        <v>2176.2000000000003</v>
      </c>
      <c r="M229" s="157">
        <f t="shared" si="123"/>
        <v>2248.7400000000002</v>
      </c>
      <c r="N229" s="157">
        <v>0</v>
      </c>
      <c r="O229" s="157">
        <v>0</v>
      </c>
      <c r="P229" s="157">
        <v>0</v>
      </c>
      <c r="Q229" s="157">
        <v>0</v>
      </c>
      <c r="R229" s="158">
        <v>0</v>
      </c>
      <c r="S229" s="2">
        <v>212</v>
      </c>
    </row>
    <row r="230" spans="1:22" x14ac:dyDescent="0.25">
      <c r="A230" s="41"/>
      <c r="B230" s="150">
        <v>16</v>
      </c>
      <c r="C230" s="336" t="s">
        <v>54</v>
      </c>
      <c r="D230" s="82">
        <v>71.400000000000006</v>
      </c>
      <c r="E230" s="83">
        <v>2</v>
      </c>
      <c r="F230" s="157">
        <f t="shared" si="118"/>
        <v>30273.600000000002</v>
      </c>
      <c r="G230" s="157">
        <f t="shared" si="126"/>
        <v>4426.8</v>
      </c>
      <c r="H230" s="189">
        <f t="shared" si="127"/>
        <v>3998.4000000000005</v>
      </c>
      <c r="I230" s="157">
        <f t="shared" si="119"/>
        <v>4426.8</v>
      </c>
      <c r="J230" s="157">
        <f t="shared" si="120"/>
        <v>4284</v>
      </c>
      <c r="K230" s="157">
        <f t="shared" si="121"/>
        <v>4426.8</v>
      </c>
      <c r="L230" s="157">
        <f t="shared" si="122"/>
        <v>4284</v>
      </c>
      <c r="M230" s="157">
        <f t="shared" si="123"/>
        <v>4426.8</v>
      </c>
      <c r="N230" s="157">
        <v>0</v>
      </c>
      <c r="O230" s="157">
        <v>0</v>
      </c>
      <c r="P230" s="157">
        <v>0</v>
      </c>
      <c r="Q230" s="157">
        <v>0</v>
      </c>
      <c r="R230" s="158">
        <v>0</v>
      </c>
      <c r="S230" s="2">
        <v>212</v>
      </c>
    </row>
    <row r="231" spans="1:22" ht="25.5" x14ac:dyDescent="0.25">
      <c r="A231" s="41"/>
      <c r="B231" s="318">
        <v>17</v>
      </c>
      <c r="C231" s="336" t="s">
        <v>38</v>
      </c>
      <c r="D231" s="82">
        <v>75.64</v>
      </c>
      <c r="E231" s="83">
        <v>1</v>
      </c>
      <c r="F231" s="157">
        <f>+E231*S231*D231</f>
        <v>16035.68</v>
      </c>
      <c r="G231" s="157">
        <f>E231*D231*31</f>
        <v>2344.84</v>
      </c>
      <c r="H231" s="189">
        <f>E231*D231*28</f>
        <v>2117.92</v>
      </c>
      <c r="I231" s="157">
        <f t="shared" ref="I231:I236" si="129">E231*D231*31</f>
        <v>2344.84</v>
      </c>
      <c r="J231" s="157">
        <f>E231*D231*30</f>
        <v>2269.1999999999998</v>
      </c>
      <c r="K231" s="157">
        <f>E231*D231*31</f>
        <v>2344.84</v>
      </c>
      <c r="L231" s="157">
        <f>E231*D231*30</f>
        <v>2269.1999999999998</v>
      </c>
      <c r="M231" s="157">
        <f>E231*D231*31</f>
        <v>2344.84</v>
      </c>
      <c r="N231" s="157">
        <v>0</v>
      </c>
      <c r="O231" s="157">
        <v>0</v>
      </c>
      <c r="P231" s="157">
        <v>0</v>
      </c>
      <c r="Q231" s="157">
        <v>0</v>
      </c>
      <c r="R231" s="158">
        <v>0</v>
      </c>
      <c r="S231" s="2">
        <v>212</v>
      </c>
    </row>
    <row r="232" spans="1:22" x14ac:dyDescent="0.25">
      <c r="A232" s="41"/>
      <c r="B232" s="150">
        <v>19</v>
      </c>
      <c r="C232" s="336" t="s">
        <v>32</v>
      </c>
      <c r="D232" s="82">
        <v>80.86</v>
      </c>
      <c r="E232" s="83">
        <v>6</v>
      </c>
      <c r="F232" s="157">
        <f t="shared" ref="F232" si="130">+E232*S232*D232</f>
        <v>102853.92</v>
      </c>
      <c r="G232" s="157">
        <f>E232*D232*31</f>
        <v>15039.96</v>
      </c>
      <c r="H232" s="189">
        <f>E232*D232*28</f>
        <v>13584.48</v>
      </c>
      <c r="I232" s="157">
        <f t="shared" si="129"/>
        <v>15039.96</v>
      </c>
      <c r="J232" s="157">
        <f>E232*D232*30</f>
        <v>14554.8</v>
      </c>
      <c r="K232" s="157">
        <f>E232*D232*31</f>
        <v>15039.96</v>
      </c>
      <c r="L232" s="157">
        <f>E232*D232*30</f>
        <v>14554.8</v>
      </c>
      <c r="M232" s="157">
        <f>E232*D232*31</f>
        <v>15039.96</v>
      </c>
      <c r="N232" s="157">
        <v>0</v>
      </c>
      <c r="O232" s="157">
        <v>0</v>
      </c>
      <c r="P232" s="157">
        <v>0</v>
      </c>
      <c r="Q232" s="157">
        <v>0</v>
      </c>
      <c r="R232" s="158">
        <v>0</v>
      </c>
      <c r="S232" s="2">
        <v>212</v>
      </c>
    </row>
    <row r="233" spans="1:22" x14ac:dyDescent="0.25">
      <c r="A233" s="41"/>
      <c r="B233" s="150">
        <v>20</v>
      </c>
      <c r="C233" s="336" t="s">
        <v>71</v>
      </c>
      <c r="D233" s="82">
        <v>71.400000000000006</v>
      </c>
      <c r="E233" s="83">
        <v>2</v>
      </c>
      <c r="F233" s="157">
        <f t="shared" ref="F233:F236" si="131">+E233*S233*D233</f>
        <v>10567.2</v>
      </c>
      <c r="G233" s="157">
        <v>0</v>
      </c>
      <c r="H233" s="189">
        <f t="shared" ref="H233:H236" si="132">E233*D233*28+D233*E233*15</f>
        <v>6140.4000000000005</v>
      </c>
      <c r="I233" s="157">
        <f t="shared" si="129"/>
        <v>4426.8</v>
      </c>
      <c r="J233" s="157">
        <v>0</v>
      </c>
      <c r="K233" s="157">
        <v>0</v>
      </c>
      <c r="L233" s="157">
        <v>0</v>
      </c>
      <c r="M233" s="157">
        <v>0</v>
      </c>
      <c r="N233" s="157">
        <v>0</v>
      </c>
      <c r="O233" s="157">
        <v>0</v>
      </c>
      <c r="P233" s="157">
        <v>0</v>
      </c>
      <c r="Q233" s="157">
        <v>0</v>
      </c>
      <c r="R233" s="158">
        <v>0</v>
      </c>
      <c r="S233" s="2">
        <f>15+28+31</f>
        <v>74</v>
      </c>
    </row>
    <row r="234" spans="1:22" x14ac:dyDescent="0.25">
      <c r="A234" s="41"/>
      <c r="B234" s="150">
        <v>21</v>
      </c>
      <c r="C234" s="338" t="s">
        <v>72</v>
      </c>
      <c r="D234" s="162">
        <v>71.400000000000006</v>
      </c>
      <c r="E234" s="83">
        <v>2</v>
      </c>
      <c r="F234" s="157">
        <f t="shared" si="131"/>
        <v>10567.2</v>
      </c>
      <c r="G234" s="157">
        <v>0</v>
      </c>
      <c r="H234" s="189">
        <f t="shared" si="132"/>
        <v>6140.4000000000005</v>
      </c>
      <c r="I234" s="157">
        <f t="shared" si="129"/>
        <v>4426.8</v>
      </c>
      <c r="J234" s="157">
        <v>0</v>
      </c>
      <c r="K234" s="157">
        <v>0</v>
      </c>
      <c r="L234" s="157">
        <v>0</v>
      </c>
      <c r="M234" s="157">
        <v>0</v>
      </c>
      <c r="N234" s="157">
        <v>0</v>
      </c>
      <c r="O234" s="157">
        <v>0</v>
      </c>
      <c r="P234" s="157">
        <v>0</v>
      </c>
      <c r="Q234" s="157">
        <v>0</v>
      </c>
      <c r="R234" s="158">
        <v>0</v>
      </c>
      <c r="S234" s="2">
        <f t="shared" ref="S234:S236" si="133">15+28+31</f>
        <v>74</v>
      </c>
    </row>
    <row r="235" spans="1:22" x14ac:dyDescent="0.25">
      <c r="A235" s="41"/>
      <c r="B235" s="150">
        <v>22</v>
      </c>
      <c r="C235" s="334" t="s">
        <v>48</v>
      </c>
      <c r="D235" s="162">
        <v>71.400000000000006</v>
      </c>
      <c r="E235" s="83">
        <v>1</v>
      </c>
      <c r="F235" s="157">
        <f t="shared" si="131"/>
        <v>5283.6</v>
      </c>
      <c r="G235" s="157">
        <v>0</v>
      </c>
      <c r="H235" s="189">
        <f t="shared" si="132"/>
        <v>3070.2000000000003</v>
      </c>
      <c r="I235" s="157">
        <f t="shared" si="129"/>
        <v>2213.4</v>
      </c>
      <c r="J235" s="157">
        <v>0</v>
      </c>
      <c r="K235" s="157">
        <v>0</v>
      </c>
      <c r="L235" s="157">
        <v>0</v>
      </c>
      <c r="M235" s="157">
        <v>0</v>
      </c>
      <c r="N235" s="157">
        <v>0</v>
      </c>
      <c r="O235" s="157">
        <v>0</v>
      </c>
      <c r="P235" s="157">
        <v>0</v>
      </c>
      <c r="Q235" s="157">
        <v>0</v>
      </c>
      <c r="R235" s="158">
        <v>0</v>
      </c>
      <c r="S235" s="2">
        <f t="shared" si="133"/>
        <v>74</v>
      </c>
    </row>
    <row r="236" spans="1:22" x14ac:dyDescent="0.25">
      <c r="A236" s="41"/>
      <c r="B236" s="150">
        <v>23</v>
      </c>
      <c r="C236" s="338" t="s">
        <v>30</v>
      </c>
      <c r="D236" s="162">
        <v>71.400000000000006</v>
      </c>
      <c r="E236" s="83">
        <v>1</v>
      </c>
      <c r="F236" s="157">
        <f t="shared" si="131"/>
        <v>5283.6</v>
      </c>
      <c r="G236" s="157">
        <v>0</v>
      </c>
      <c r="H236" s="189">
        <f t="shared" si="132"/>
        <v>3070.2000000000003</v>
      </c>
      <c r="I236" s="157">
        <f t="shared" si="129"/>
        <v>2213.4</v>
      </c>
      <c r="J236" s="157">
        <v>0</v>
      </c>
      <c r="K236" s="157">
        <v>0</v>
      </c>
      <c r="L236" s="157">
        <v>0</v>
      </c>
      <c r="M236" s="157">
        <v>0</v>
      </c>
      <c r="N236" s="157">
        <v>0</v>
      </c>
      <c r="O236" s="157">
        <v>0</v>
      </c>
      <c r="P236" s="157">
        <v>0</v>
      </c>
      <c r="Q236" s="157">
        <v>0</v>
      </c>
      <c r="R236" s="158">
        <v>0</v>
      </c>
      <c r="S236" s="2">
        <f t="shared" si="133"/>
        <v>74</v>
      </c>
    </row>
    <row r="237" spans="1:22" ht="15.75" thickBot="1" x14ac:dyDescent="0.3">
      <c r="A237" s="41"/>
      <c r="B237" s="89"/>
      <c r="C237" s="90" t="s">
        <v>39</v>
      </c>
      <c r="D237" s="91"/>
      <c r="E237" s="217"/>
      <c r="F237" s="240">
        <f xml:space="preserve"> 2861116-SUM(F212:F236)+281288</f>
        <v>1435372.9799999997</v>
      </c>
      <c r="G237" s="93"/>
      <c r="H237" s="115"/>
      <c r="I237" s="95"/>
      <c r="J237" s="241"/>
      <c r="K237" s="241"/>
      <c r="L237" s="95"/>
      <c r="M237" s="241"/>
      <c r="N237" s="95"/>
      <c r="O237" s="95"/>
      <c r="P237" s="95"/>
      <c r="Q237" s="95"/>
      <c r="R237" s="242">
        <f>F237</f>
        <v>1435372.9799999997</v>
      </c>
      <c r="S237" s="25"/>
    </row>
    <row r="238" spans="1:22" ht="51.75" x14ac:dyDescent="0.25">
      <c r="A238" s="41"/>
      <c r="B238" s="98"/>
      <c r="C238" s="243" t="s">
        <v>75</v>
      </c>
      <c r="D238" s="244"/>
      <c r="E238" s="245"/>
      <c r="F238" s="246"/>
      <c r="G238" s="246"/>
      <c r="H238" s="246"/>
      <c r="I238" s="246"/>
      <c r="J238" s="246"/>
      <c r="K238" s="246"/>
      <c r="L238" s="246"/>
      <c r="M238" s="246"/>
      <c r="N238" s="100"/>
      <c r="O238" s="100"/>
      <c r="P238" s="100"/>
      <c r="Q238" s="100"/>
      <c r="R238" s="197"/>
      <c r="S238" s="25"/>
    </row>
    <row r="239" spans="1:22" ht="34.5" customHeight="1" thickBot="1" x14ac:dyDescent="0.3">
      <c r="A239" s="41"/>
      <c r="B239" s="235"/>
      <c r="C239" s="361" t="s">
        <v>124</v>
      </c>
      <c r="D239" s="361"/>
      <c r="E239" s="247">
        <f>SUM(E241:E258)</f>
        <v>158</v>
      </c>
      <c r="F239" s="248">
        <f t="shared" ref="F239:R239" si="134">SUM(F241:F259)</f>
        <v>4195852</v>
      </c>
      <c r="G239" s="248">
        <f t="shared" si="134"/>
        <v>355851.17000000004</v>
      </c>
      <c r="H239" s="248">
        <f t="shared" si="134"/>
        <v>324623.04999999993</v>
      </c>
      <c r="I239" s="248">
        <f t="shared" si="134"/>
        <v>358164.7</v>
      </c>
      <c r="J239" s="248">
        <f t="shared" si="134"/>
        <v>344372.10000000003</v>
      </c>
      <c r="K239" s="248">
        <f t="shared" si="134"/>
        <v>355851.17000000004</v>
      </c>
      <c r="L239" s="248">
        <f t="shared" si="134"/>
        <v>344372.10000000003</v>
      </c>
      <c r="M239" s="248">
        <f t="shared" si="134"/>
        <v>355851.17000000004</v>
      </c>
      <c r="N239" s="248">
        <f t="shared" si="134"/>
        <v>0</v>
      </c>
      <c r="O239" s="248">
        <f t="shared" si="134"/>
        <v>0</v>
      </c>
      <c r="P239" s="248">
        <f t="shared" si="134"/>
        <v>0</v>
      </c>
      <c r="Q239" s="248">
        <f t="shared" si="134"/>
        <v>0</v>
      </c>
      <c r="R239" s="249">
        <f t="shared" si="134"/>
        <v>1756766.54</v>
      </c>
      <c r="S239" s="326">
        <f>F239-SUM(G239:R239)</f>
        <v>0</v>
      </c>
    </row>
    <row r="240" spans="1:22" x14ac:dyDescent="0.25">
      <c r="A240" s="41"/>
      <c r="B240" s="80"/>
      <c r="C240" s="123"/>
      <c r="D240" s="123"/>
      <c r="E240" s="75" t="s">
        <v>29</v>
      </c>
      <c r="F240" s="319">
        <v>-21300</v>
      </c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250"/>
      <c r="S240" s="148"/>
      <c r="V240" s="149"/>
    </row>
    <row r="241" spans="1:22" x14ac:dyDescent="0.25">
      <c r="A241" s="41"/>
      <c r="B241" s="150">
        <v>1</v>
      </c>
      <c r="C241" s="151" t="s">
        <v>41</v>
      </c>
      <c r="D241" s="82">
        <v>72.540000000000006</v>
      </c>
      <c r="E241" s="83">
        <v>20</v>
      </c>
      <c r="F241" s="157">
        <f t="shared" ref="F241:F258" si="135">+E241*S241*D241</f>
        <v>307569.60000000003</v>
      </c>
      <c r="G241" s="157">
        <f t="shared" ref="G241:G258" si="136">E241*D241*31</f>
        <v>44974.8</v>
      </c>
      <c r="H241" s="189">
        <f t="shared" ref="H241:H258" si="137">E241*D241*28</f>
        <v>40622.400000000009</v>
      </c>
      <c r="I241" s="157">
        <f t="shared" ref="I241:I258" si="138">E241*D241*31</f>
        <v>44974.8</v>
      </c>
      <c r="J241" s="157">
        <f t="shared" ref="J241:J258" si="139">E241*D241*30</f>
        <v>43524.000000000007</v>
      </c>
      <c r="K241" s="157">
        <f t="shared" ref="K241:K258" si="140">E241*D241*31</f>
        <v>44974.8</v>
      </c>
      <c r="L241" s="157">
        <f t="shared" ref="L241:L258" si="141">E241*D241*30</f>
        <v>43524.000000000007</v>
      </c>
      <c r="M241" s="157">
        <f t="shared" ref="M241:M258" si="142">E241*D241*31</f>
        <v>44974.8</v>
      </c>
      <c r="N241" s="157">
        <v>0</v>
      </c>
      <c r="O241" s="157">
        <v>0</v>
      </c>
      <c r="P241" s="157">
        <v>0</v>
      </c>
      <c r="Q241" s="157">
        <v>0</v>
      </c>
      <c r="R241" s="158">
        <v>0</v>
      </c>
      <c r="S241" s="2">
        <v>212</v>
      </c>
      <c r="V241" s="149"/>
    </row>
    <row r="242" spans="1:22" x14ac:dyDescent="0.25">
      <c r="A242" s="41"/>
      <c r="B242" s="80">
        <v>2</v>
      </c>
      <c r="C242" s="81" t="s">
        <v>52</v>
      </c>
      <c r="D242" s="82">
        <v>73.59</v>
      </c>
      <c r="E242" s="83">
        <v>17</v>
      </c>
      <c r="F242" s="157">
        <f t="shared" si="135"/>
        <v>265218.36</v>
      </c>
      <c r="G242" s="157">
        <f t="shared" si="136"/>
        <v>38781.93</v>
      </c>
      <c r="H242" s="189">
        <f t="shared" si="137"/>
        <v>35028.839999999997</v>
      </c>
      <c r="I242" s="157">
        <f t="shared" si="138"/>
        <v>38781.93</v>
      </c>
      <c r="J242" s="157">
        <f t="shared" si="139"/>
        <v>37530.9</v>
      </c>
      <c r="K242" s="157">
        <f t="shared" si="140"/>
        <v>38781.93</v>
      </c>
      <c r="L242" s="157">
        <f t="shared" si="141"/>
        <v>37530.9</v>
      </c>
      <c r="M242" s="157">
        <f t="shared" si="142"/>
        <v>38781.93</v>
      </c>
      <c r="N242" s="157">
        <v>0</v>
      </c>
      <c r="O242" s="157">
        <v>0</v>
      </c>
      <c r="P242" s="157">
        <v>0</v>
      </c>
      <c r="Q242" s="157">
        <v>0</v>
      </c>
      <c r="R242" s="158">
        <v>0</v>
      </c>
      <c r="S242" s="2">
        <v>212</v>
      </c>
      <c r="V242" s="149"/>
    </row>
    <row r="243" spans="1:22" x14ac:dyDescent="0.25">
      <c r="A243" s="41"/>
      <c r="B243" s="80">
        <v>3</v>
      </c>
      <c r="C243" s="81" t="s">
        <v>53</v>
      </c>
      <c r="D243" s="82">
        <v>74.63</v>
      </c>
      <c r="E243" s="83">
        <v>13</v>
      </c>
      <c r="F243" s="157">
        <f t="shared" si="135"/>
        <v>205680.28</v>
      </c>
      <c r="G243" s="157">
        <f t="shared" si="136"/>
        <v>30075.89</v>
      </c>
      <c r="H243" s="189">
        <f t="shared" si="137"/>
        <v>27165.32</v>
      </c>
      <c r="I243" s="157">
        <f t="shared" si="138"/>
        <v>30075.89</v>
      </c>
      <c r="J243" s="157">
        <f t="shared" si="139"/>
        <v>29105.699999999997</v>
      </c>
      <c r="K243" s="157">
        <f t="shared" si="140"/>
        <v>30075.89</v>
      </c>
      <c r="L243" s="157">
        <f t="shared" si="141"/>
        <v>29105.699999999997</v>
      </c>
      <c r="M243" s="157">
        <f t="shared" si="142"/>
        <v>30075.89</v>
      </c>
      <c r="N243" s="157">
        <v>0</v>
      </c>
      <c r="O243" s="157">
        <v>0</v>
      </c>
      <c r="P243" s="157">
        <v>0</v>
      </c>
      <c r="Q243" s="157">
        <v>0</v>
      </c>
      <c r="R243" s="158">
        <v>0</v>
      </c>
      <c r="S243" s="2">
        <v>212</v>
      </c>
      <c r="V243" s="149"/>
    </row>
    <row r="244" spans="1:22" x14ac:dyDescent="0.25">
      <c r="A244" s="41"/>
      <c r="B244" s="150">
        <v>18</v>
      </c>
      <c r="C244" s="333" t="s">
        <v>53</v>
      </c>
      <c r="D244" s="82">
        <v>74.63</v>
      </c>
      <c r="E244" s="83">
        <v>1</v>
      </c>
      <c r="F244" s="157">
        <f t="shared" si="135"/>
        <v>5522.62</v>
      </c>
      <c r="G244" s="157">
        <v>0</v>
      </c>
      <c r="H244" s="189">
        <f>E244*D244*28+D244*E244*15</f>
        <v>3209.0899999999997</v>
      </c>
      <c r="I244" s="157">
        <f t="shared" si="138"/>
        <v>2313.5299999999997</v>
      </c>
      <c r="J244" s="157">
        <v>0</v>
      </c>
      <c r="K244" s="157">
        <v>0</v>
      </c>
      <c r="L244" s="157">
        <v>0</v>
      </c>
      <c r="M244" s="157">
        <v>0</v>
      </c>
      <c r="N244" s="157">
        <v>0</v>
      </c>
      <c r="O244" s="157">
        <v>0</v>
      </c>
      <c r="P244" s="157">
        <v>0</v>
      </c>
      <c r="Q244" s="157">
        <v>0</v>
      </c>
      <c r="R244" s="158">
        <v>0</v>
      </c>
      <c r="S244" s="2">
        <f>15+28+31</f>
        <v>74</v>
      </c>
      <c r="V244" s="149"/>
    </row>
    <row r="245" spans="1:22" x14ac:dyDescent="0.25">
      <c r="A245" s="41"/>
      <c r="B245" s="150">
        <v>4</v>
      </c>
      <c r="C245" s="81" t="s">
        <v>71</v>
      </c>
      <c r="D245" s="82">
        <v>71.400000000000006</v>
      </c>
      <c r="E245" s="83">
        <v>5</v>
      </c>
      <c r="F245" s="157">
        <f t="shared" si="135"/>
        <v>75684</v>
      </c>
      <c r="G245" s="157">
        <f t="shared" si="136"/>
        <v>11067</v>
      </c>
      <c r="H245" s="189">
        <f t="shared" si="137"/>
        <v>9996</v>
      </c>
      <c r="I245" s="157">
        <f t="shared" si="138"/>
        <v>11067</v>
      </c>
      <c r="J245" s="157">
        <f t="shared" si="139"/>
        <v>10710</v>
      </c>
      <c r="K245" s="157">
        <f t="shared" si="140"/>
        <v>11067</v>
      </c>
      <c r="L245" s="157">
        <f t="shared" si="141"/>
        <v>10710</v>
      </c>
      <c r="M245" s="157">
        <f t="shared" si="142"/>
        <v>11067</v>
      </c>
      <c r="N245" s="157">
        <v>0</v>
      </c>
      <c r="O245" s="157">
        <v>0</v>
      </c>
      <c r="P245" s="157">
        <v>0</v>
      </c>
      <c r="Q245" s="157">
        <v>0</v>
      </c>
      <c r="R245" s="158">
        <v>0</v>
      </c>
      <c r="S245" s="2">
        <v>212</v>
      </c>
      <c r="V245" s="149"/>
    </row>
    <row r="246" spans="1:22" x14ac:dyDescent="0.25">
      <c r="A246" s="41"/>
      <c r="B246" s="318">
        <v>5</v>
      </c>
      <c r="C246" s="81" t="s">
        <v>72</v>
      </c>
      <c r="D246" s="82">
        <v>71.400000000000006</v>
      </c>
      <c r="E246" s="83">
        <v>1</v>
      </c>
      <c r="F246" s="157">
        <f t="shared" si="135"/>
        <v>15136.800000000001</v>
      </c>
      <c r="G246" s="157">
        <f t="shared" si="136"/>
        <v>2213.4</v>
      </c>
      <c r="H246" s="189">
        <f t="shared" si="137"/>
        <v>1999.2000000000003</v>
      </c>
      <c r="I246" s="157">
        <f t="shared" si="138"/>
        <v>2213.4</v>
      </c>
      <c r="J246" s="157">
        <f t="shared" si="139"/>
        <v>2142</v>
      </c>
      <c r="K246" s="157">
        <f t="shared" si="140"/>
        <v>2213.4</v>
      </c>
      <c r="L246" s="157">
        <f t="shared" si="141"/>
        <v>2142</v>
      </c>
      <c r="M246" s="157">
        <f t="shared" si="142"/>
        <v>2213.4</v>
      </c>
      <c r="N246" s="157">
        <v>0</v>
      </c>
      <c r="O246" s="157">
        <v>0</v>
      </c>
      <c r="P246" s="157">
        <v>0</v>
      </c>
      <c r="Q246" s="157">
        <v>0</v>
      </c>
      <c r="R246" s="158">
        <v>0</v>
      </c>
      <c r="S246" s="2">
        <v>212</v>
      </c>
      <c r="V246" s="149"/>
    </row>
    <row r="247" spans="1:22" x14ac:dyDescent="0.25">
      <c r="A247" s="41"/>
      <c r="B247" s="318">
        <v>6</v>
      </c>
      <c r="C247" s="81" t="s">
        <v>30</v>
      </c>
      <c r="D247" s="82">
        <v>71.400000000000006</v>
      </c>
      <c r="E247" s="83">
        <v>4</v>
      </c>
      <c r="F247" s="157">
        <f t="shared" si="135"/>
        <v>60547.200000000004</v>
      </c>
      <c r="G247" s="157">
        <f t="shared" si="136"/>
        <v>8853.6</v>
      </c>
      <c r="H247" s="189">
        <f t="shared" si="137"/>
        <v>7996.8000000000011</v>
      </c>
      <c r="I247" s="157">
        <f t="shared" si="138"/>
        <v>8853.6</v>
      </c>
      <c r="J247" s="157">
        <f t="shared" si="139"/>
        <v>8568</v>
      </c>
      <c r="K247" s="157">
        <f t="shared" si="140"/>
        <v>8853.6</v>
      </c>
      <c r="L247" s="157">
        <f t="shared" si="141"/>
        <v>8568</v>
      </c>
      <c r="M247" s="157">
        <f t="shared" si="142"/>
        <v>8853.6</v>
      </c>
      <c r="N247" s="157">
        <v>0</v>
      </c>
      <c r="O247" s="157">
        <v>0</v>
      </c>
      <c r="P247" s="157">
        <v>0</v>
      </c>
      <c r="Q247" s="157">
        <v>0</v>
      </c>
      <c r="R247" s="158">
        <v>0</v>
      </c>
      <c r="S247" s="2">
        <v>212</v>
      </c>
      <c r="V247" s="149"/>
    </row>
    <row r="248" spans="1:22" ht="15.75" customHeight="1" x14ac:dyDescent="0.25">
      <c r="A248" s="41"/>
      <c r="B248" s="150">
        <v>7</v>
      </c>
      <c r="C248" s="81" t="s">
        <v>66</v>
      </c>
      <c r="D248" s="82">
        <v>73.59</v>
      </c>
      <c r="E248" s="83">
        <v>4</v>
      </c>
      <c r="F248" s="157">
        <f t="shared" si="135"/>
        <v>62404.32</v>
      </c>
      <c r="G248" s="157">
        <f t="shared" si="136"/>
        <v>9125.16</v>
      </c>
      <c r="H248" s="189">
        <f t="shared" si="137"/>
        <v>8242.08</v>
      </c>
      <c r="I248" s="157">
        <f t="shared" si="138"/>
        <v>9125.16</v>
      </c>
      <c r="J248" s="157">
        <f t="shared" si="139"/>
        <v>8830.8000000000011</v>
      </c>
      <c r="K248" s="157">
        <f t="shared" si="140"/>
        <v>9125.16</v>
      </c>
      <c r="L248" s="157">
        <f t="shared" si="141"/>
        <v>8830.8000000000011</v>
      </c>
      <c r="M248" s="157">
        <f t="shared" si="142"/>
        <v>9125.16</v>
      </c>
      <c r="N248" s="157">
        <v>0</v>
      </c>
      <c r="O248" s="157">
        <v>0</v>
      </c>
      <c r="P248" s="157">
        <v>0</v>
      </c>
      <c r="Q248" s="157">
        <v>0</v>
      </c>
      <c r="R248" s="158">
        <v>0</v>
      </c>
      <c r="S248" s="2">
        <v>212</v>
      </c>
      <c r="V248" s="149"/>
    </row>
    <row r="249" spans="1:22" x14ac:dyDescent="0.25">
      <c r="A249" s="41"/>
      <c r="B249" s="318">
        <v>8</v>
      </c>
      <c r="C249" s="81" t="s">
        <v>45</v>
      </c>
      <c r="D249" s="82">
        <v>74.63</v>
      </c>
      <c r="E249" s="83">
        <v>1</v>
      </c>
      <c r="F249" s="157">
        <f t="shared" si="135"/>
        <v>15821.56</v>
      </c>
      <c r="G249" s="157">
        <f t="shared" si="136"/>
        <v>2313.5299999999997</v>
      </c>
      <c r="H249" s="189">
        <f t="shared" si="137"/>
        <v>2089.64</v>
      </c>
      <c r="I249" s="157">
        <f t="shared" si="138"/>
        <v>2313.5299999999997</v>
      </c>
      <c r="J249" s="157">
        <f t="shared" si="139"/>
        <v>2238.8999999999996</v>
      </c>
      <c r="K249" s="157">
        <f t="shared" si="140"/>
        <v>2313.5299999999997</v>
      </c>
      <c r="L249" s="157">
        <f t="shared" si="141"/>
        <v>2238.8999999999996</v>
      </c>
      <c r="M249" s="157">
        <f t="shared" si="142"/>
        <v>2313.5299999999997</v>
      </c>
      <c r="N249" s="157">
        <v>0</v>
      </c>
      <c r="O249" s="157">
        <v>0</v>
      </c>
      <c r="P249" s="157">
        <v>0</v>
      </c>
      <c r="Q249" s="157">
        <v>0</v>
      </c>
      <c r="R249" s="158">
        <v>0</v>
      </c>
      <c r="S249" s="2">
        <v>212</v>
      </c>
      <c r="V249" s="149"/>
    </row>
    <row r="250" spans="1:22" x14ac:dyDescent="0.25">
      <c r="A250" s="41"/>
      <c r="B250" s="318">
        <v>9</v>
      </c>
      <c r="C250" s="81" t="s">
        <v>76</v>
      </c>
      <c r="D250" s="82">
        <v>72.540000000000006</v>
      </c>
      <c r="E250" s="83">
        <v>1</v>
      </c>
      <c r="F250" s="157">
        <f t="shared" si="135"/>
        <v>15378.480000000001</v>
      </c>
      <c r="G250" s="157">
        <f t="shared" si="136"/>
        <v>2248.7400000000002</v>
      </c>
      <c r="H250" s="189">
        <f t="shared" si="137"/>
        <v>2031.1200000000001</v>
      </c>
      <c r="I250" s="157">
        <f t="shared" si="138"/>
        <v>2248.7400000000002</v>
      </c>
      <c r="J250" s="157">
        <f t="shared" si="139"/>
        <v>2176.2000000000003</v>
      </c>
      <c r="K250" s="157">
        <f t="shared" si="140"/>
        <v>2248.7400000000002</v>
      </c>
      <c r="L250" s="157">
        <f t="shared" si="141"/>
        <v>2176.2000000000003</v>
      </c>
      <c r="M250" s="157">
        <f t="shared" si="142"/>
        <v>2248.7400000000002</v>
      </c>
      <c r="N250" s="157">
        <v>0</v>
      </c>
      <c r="O250" s="157">
        <v>0</v>
      </c>
      <c r="P250" s="157">
        <v>0</v>
      </c>
      <c r="Q250" s="157">
        <v>0</v>
      </c>
      <c r="R250" s="158">
        <v>0</v>
      </c>
      <c r="S250" s="2">
        <v>212</v>
      </c>
      <c r="V250" s="149"/>
    </row>
    <row r="251" spans="1:22" x14ac:dyDescent="0.25">
      <c r="A251" s="41"/>
      <c r="B251" s="150">
        <v>10</v>
      </c>
      <c r="C251" s="81" t="s">
        <v>33</v>
      </c>
      <c r="D251" s="82">
        <v>71.400000000000006</v>
      </c>
      <c r="E251" s="83">
        <v>2</v>
      </c>
      <c r="F251" s="157">
        <f t="shared" si="135"/>
        <v>30273.600000000002</v>
      </c>
      <c r="G251" s="157">
        <f t="shared" si="136"/>
        <v>4426.8</v>
      </c>
      <c r="H251" s="189">
        <f t="shared" si="137"/>
        <v>3998.4000000000005</v>
      </c>
      <c r="I251" s="157">
        <f t="shared" si="138"/>
        <v>4426.8</v>
      </c>
      <c r="J251" s="157">
        <f t="shared" si="139"/>
        <v>4284</v>
      </c>
      <c r="K251" s="157">
        <f t="shared" si="140"/>
        <v>4426.8</v>
      </c>
      <c r="L251" s="157">
        <f t="shared" si="141"/>
        <v>4284</v>
      </c>
      <c r="M251" s="157">
        <f t="shared" si="142"/>
        <v>4426.8</v>
      </c>
      <c r="N251" s="157">
        <v>0</v>
      </c>
      <c r="O251" s="157">
        <v>0</v>
      </c>
      <c r="P251" s="157">
        <v>0</v>
      </c>
      <c r="Q251" s="157">
        <v>0</v>
      </c>
      <c r="R251" s="158">
        <v>0</v>
      </c>
      <c r="S251" s="2">
        <v>212</v>
      </c>
      <c r="V251" s="149"/>
    </row>
    <row r="252" spans="1:22" x14ac:dyDescent="0.25">
      <c r="A252" s="41"/>
      <c r="B252" s="318">
        <v>11</v>
      </c>
      <c r="C252" s="81" t="s">
        <v>63</v>
      </c>
      <c r="D252" s="82">
        <v>80.86</v>
      </c>
      <c r="E252" s="83">
        <v>1</v>
      </c>
      <c r="F252" s="157">
        <f t="shared" si="135"/>
        <v>17142.32</v>
      </c>
      <c r="G252" s="157">
        <f t="shared" si="136"/>
        <v>2506.66</v>
      </c>
      <c r="H252" s="189">
        <f t="shared" si="137"/>
        <v>2264.08</v>
      </c>
      <c r="I252" s="157">
        <f t="shared" si="138"/>
        <v>2506.66</v>
      </c>
      <c r="J252" s="157">
        <f t="shared" si="139"/>
        <v>2425.8000000000002</v>
      </c>
      <c r="K252" s="157">
        <f t="shared" si="140"/>
        <v>2506.66</v>
      </c>
      <c r="L252" s="157">
        <f t="shared" si="141"/>
        <v>2425.8000000000002</v>
      </c>
      <c r="M252" s="157">
        <f t="shared" si="142"/>
        <v>2506.66</v>
      </c>
      <c r="N252" s="157">
        <v>0</v>
      </c>
      <c r="O252" s="157">
        <v>0</v>
      </c>
      <c r="P252" s="157">
        <v>0</v>
      </c>
      <c r="Q252" s="157">
        <v>0</v>
      </c>
      <c r="R252" s="158">
        <v>0</v>
      </c>
      <c r="S252" s="2">
        <v>212</v>
      </c>
      <c r="V252" s="149"/>
    </row>
    <row r="253" spans="1:22" x14ac:dyDescent="0.25">
      <c r="A253" s="41"/>
      <c r="B253" s="318">
        <v>12</v>
      </c>
      <c r="C253" s="81" t="s">
        <v>34</v>
      </c>
      <c r="D253" s="82">
        <v>78.25</v>
      </c>
      <c r="E253" s="83">
        <v>20</v>
      </c>
      <c r="F253" s="157">
        <f t="shared" si="135"/>
        <v>331780</v>
      </c>
      <c r="G253" s="157">
        <f t="shared" si="136"/>
        <v>48515</v>
      </c>
      <c r="H253" s="189">
        <f t="shared" si="137"/>
        <v>43820</v>
      </c>
      <c r="I253" s="157">
        <f t="shared" si="138"/>
        <v>48515</v>
      </c>
      <c r="J253" s="157">
        <f t="shared" si="139"/>
        <v>46950</v>
      </c>
      <c r="K253" s="157">
        <f t="shared" si="140"/>
        <v>48515</v>
      </c>
      <c r="L253" s="157">
        <f t="shared" si="141"/>
        <v>46950</v>
      </c>
      <c r="M253" s="157">
        <f t="shared" si="142"/>
        <v>48515</v>
      </c>
      <c r="N253" s="157">
        <v>0</v>
      </c>
      <c r="O253" s="157">
        <v>0</v>
      </c>
      <c r="P253" s="157">
        <v>0</v>
      </c>
      <c r="Q253" s="157">
        <v>0</v>
      </c>
      <c r="R253" s="158">
        <v>0</v>
      </c>
      <c r="S253" s="2">
        <v>212</v>
      </c>
      <c r="V253" s="149"/>
    </row>
    <row r="254" spans="1:22" x14ac:dyDescent="0.25">
      <c r="A254" s="41"/>
      <c r="B254" s="150">
        <v>13</v>
      </c>
      <c r="C254" s="81" t="s">
        <v>77</v>
      </c>
      <c r="D254" s="82">
        <v>72.540000000000006</v>
      </c>
      <c r="E254" s="83">
        <v>2</v>
      </c>
      <c r="F254" s="157">
        <f t="shared" si="135"/>
        <v>30756.960000000003</v>
      </c>
      <c r="G254" s="157">
        <f t="shared" si="136"/>
        <v>4497.4800000000005</v>
      </c>
      <c r="H254" s="189">
        <f t="shared" si="137"/>
        <v>4062.2400000000002</v>
      </c>
      <c r="I254" s="157">
        <f t="shared" si="138"/>
        <v>4497.4800000000005</v>
      </c>
      <c r="J254" s="157">
        <f t="shared" si="139"/>
        <v>4352.4000000000005</v>
      </c>
      <c r="K254" s="157">
        <f t="shared" si="140"/>
        <v>4497.4800000000005</v>
      </c>
      <c r="L254" s="157">
        <f t="shared" si="141"/>
        <v>4352.4000000000005</v>
      </c>
      <c r="M254" s="157">
        <f t="shared" si="142"/>
        <v>4497.4800000000005</v>
      </c>
      <c r="N254" s="157">
        <v>0</v>
      </c>
      <c r="O254" s="157">
        <v>0</v>
      </c>
      <c r="P254" s="157">
        <v>0</v>
      </c>
      <c r="Q254" s="157">
        <v>0</v>
      </c>
      <c r="R254" s="158">
        <v>0</v>
      </c>
      <c r="S254" s="2">
        <v>212</v>
      </c>
      <c r="V254" s="149"/>
    </row>
    <row r="255" spans="1:22" x14ac:dyDescent="0.25">
      <c r="A255" s="41"/>
      <c r="B255" s="318">
        <v>14</v>
      </c>
      <c r="C255" s="161" t="s">
        <v>48</v>
      </c>
      <c r="D255" s="162">
        <v>71.400000000000006</v>
      </c>
      <c r="E255" s="83">
        <v>38</v>
      </c>
      <c r="F255" s="157">
        <f t="shared" si="135"/>
        <v>575198.4</v>
      </c>
      <c r="G255" s="157">
        <f t="shared" si="136"/>
        <v>84109.200000000012</v>
      </c>
      <c r="H255" s="189">
        <f t="shared" si="137"/>
        <v>75969.600000000006</v>
      </c>
      <c r="I255" s="157">
        <f t="shared" si="138"/>
        <v>84109.200000000012</v>
      </c>
      <c r="J255" s="157">
        <f t="shared" si="139"/>
        <v>81396.000000000015</v>
      </c>
      <c r="K255" s="157">
        <f t="shared" si="140"/>
        <v>84109.200000000012</v>
      </c>
      <c r="L255" s="157">
        <f t="shared" si="141"/>
        <v>81396.000000000015</v>
      </c>
      <c r="M255" s="157">
        <f t="shared" si="142"/>
        <v>84109.200000000012</v>
      </c>
      <c r="N255" s="157">
        <v>0</v>
      </c>
      <c r="O255" s="157">
        <v>0</v>
      </c>
      <c r="P255" s="157">
        <v>0</v>
      </c>
      <c r="Q255" s="157">
        <v>0</v>
      </c>
      <c r="R255" s="158">
        <v>0</v>
      </c>
      <c r="S255" s="2">
        <v>212</v>
      </c>
      <c r="V255" s="149"/>
    </row>
    <row r="256" spans="1:22" x14ac:dyDescent="0.25">
      <c r="A256" s="41"/>
      <c r="B256" s="318">
        <v>15</v>
      </c>
      <c r="C256" s="81" t="s">
        <v>54</v>
      </c>
      <c r="D256" s="82">
        <v>71.400000000000006</v>
      </c>
      <c r="E256" s="83">
        <v>26</v>
      </c>
      <c r="F256" s="157">
        <f t="shared" si="135"/>
        <v>393556.80000000005</v>
      </c>
      <c r="G256" s="157">
        <f t="shared" si="136"/>
        <v>57548.4</v>
      </c>
      <c r="H256" s="189">
        <f t="shared" si="137"/>
        <v>51979.200000000004</v>
      </c>
      <c r="I256" s="157">
        <f t="shared" si="138"/>
        <v>57548.4</v>
      </c>
      <c r="J256" s="157">
        <f t="shared" si="139"/>
        <v>55692</v>
      </c>
      <c r="K256" s="157">
        <f t="shared" si="140"/>
        <v>57548.4</v>
      </c>
      <c r="L256" s="157">
        <f t="shared" si="141"/>
        <v>55692</v>
      </c>
      <c r="M256" s="157">
        <f t="shared" si="142"/>
        <v>57548.4</v>
      </c>
      <c r="N256" s="157">
        <v>0</v>
      </c>
      <c r="O256" s="157">
        <v>0</v>
      </c>
      <c r="P256" s="157">
        <v>0</v>
      </c>
      <c r="Q256" s="157">
        <v>0</v>
      </c>
      <c r="R256" s="158">
        <v>0</v>
      </c>
      <c r="S256" s="2">
        <v>212</v>
      </c>
      <c r="V256" s="149"/>
    </row>
    <row r="257" spans="1:22" x14ac:dyDescent="0.25">
      <c r="A257" s="41"/>
      <c r="B257" s="150">
        <v>16</v>
      </c>
      <c r="C257" s="81" t="s">
        <v>49</v>
      </c>
      <c r="D257" s="82">
        <v>72.540000000000006</v>
      </c>
      <c r="E257" s="83">
        <v>1</v>
      </c>
      <c r="F257" s="157">
        <f t="shared" si="135"/>
        <v>15378.480000000001</v>
      </c>
      <c r="G257" s="157">
        <f t="shared" si="136"/>
        <v>2248.7400000000002</v>
      </c>
      <c r="H257" s="189">
        <f t="shared" si="137"/>
        <v>2031.1200000000001</v>
      </c>
      <c r="I257" s="157">
        <f t="shared" si="138"/>
        <v>2248.7400000000002</v>
      </c>
      <c r="J257" s="157">
        <f t="shared" si="139"/>
        <v>2176.2000000000003</v>
      </c>
      <c r="K257" s="157">
        <f t="shared" si="140"/>
        <v>2248.7400000000002</v>
      </c>
      <c r="L257" s="157">
        <f t="shared" si="141"/>
        <v>2176.2000000000003</v>
      </c>
      <c r="M257" s="157">
        <f t="shared" si="142"/>
        <v>2248.7400000000002</v>
      </c>
      <c r="N257" s="157">
        <v>0</v>
      </c>
      <c r="O257" s="157">
        <v>0</v>
      </c>
      <c r="P257" s="157">
        <v>0</v>
      </c>
      <c r="Q257" s="157">
        <v>0</v>
      </c>
      <c r="R257" s="158">
        <v>0</v>
      </c>
      <c r="S257" s="2">
        <v>212</v>
      </c>
      <c r="V257" s="149"/>
    </row>
    <row r="258" spans="1:22" ht="15" customHeight="1" x14ac:dyDescent="0.25">
      <c r="A258" s="41"/>
      <c r="B258" s="150">
        <v>17</v>
      </c>
      <c r="C258" s="81" t="s">
        <v>38</v>
      </c>
      <c r="D258" s="82">
        <v>75.64</v>
      </c>
      <c r="E258" s="83">
        <v>1</v>
      </c>
      <c r="F258" s="157">
        <f t="shared" si="135"/>
        <v>16035.68</v>
      </c>
      <c r="G258" s="157">
        <f t="shared" si="136"/>
        <v>2344.84</v>
      </c>
      <c r="H258" s="189">
        <f t="shared" si="137"/>
        <v>2117.92</v>
      </c>
      <c r="I258" s="157">
        <f t="shared" si="138"/>
        <v>2344.84</v>
      </c>
      <c r="J258" s="157">
        <f t="shared" si="139"/>
        <v>2269.1999999999998</v>
      </c>
      <c r="K258" s="157">
        <f t="shared" si="140"/>
        <v>2344.84</v>
      </c>
      <c r="L258" s="157">
        <f t="shared" si="141"/>
        <v>2269.1999999999998</v>
      </c>
      <c r="M258" s="157">
        <f t="shared" si="142"/>
        <v>2344.84</v>
      </c>
      <c r="N258" s="157">
        <v>0</v>
      </c>
      <c r="O258" s="157">
        <v>0</v>
      </c>
      <c r="P258" s="157">
        <v>0</v>
      </c>
      <c r="Q258" s="157">
        <v>0</v>
      </c>
      <c r="R258" s="158">
        <v>0</v>
      </c>
      <c r="S258" s="2">
        <v>212</v>
      </c>
      <c r="V258" s="149"/>
    </row>
    <row r="259" spans="1:22" ht="15.75" thickBot="1" x14ac:dyDescent="0.3">
      <c r="A259" s="41"/>
      <c r="B259" s="89"/>
      <c r="C259" s="90" t="s">
        <v>39</v>
      </c>
      <c r="D259" s="91"/>
      <c r="E259" s="217"/>
      <c r="F259" s="95">
        <f>4217152-SUM(F241:F258)-21300</f>
        <v>1756766.54</v>
      </c>
      <c r="G259" s="93"/>
      <c r="H259" s="94"/>
      <c r="I259" s="95"/>
      <c r="J259" s="241"/>
      <c r="K259" s="95"/>
      <c r="L259" s="241"/>
      <c r="M259" s="95"/>
      <c r="N259" s="95"/>
      <c r="O259" s="95"/>
      <c r="P259" s="95"/>
      <c r="Q259" s="95"/>
      <c r="R259" s="97">
        <f>F259</f>
        <v>1756766.54</v>
      </c>
      <c r="S259" s="25"/>
      <c r="V259" s="149"/>
    </row>
    <row r="260" spans="1:22" ht="15.75" thickBot="1" x14ac:dyDescent="0.3">
      <c r="A260" s="41"/>
      <c r="B260" s="301"/>
      <c r="C260" s="292" t="s">
        <v>78</v>
      </c>
      <c r="D260" s="251"/>
      <c r="E260" s="252">
        <v>0</v>
      </c>
      <c r="F260" s="253">
        <f>F262</f>
        <v>553322</v>
      </c>
      <c r="G260" s="253">
        <f t="shared" ref="G260:R260" si="143">G262</f>
        <v>0</v>
      </c>
      <c r="H260" s="253">
        <f t="shared" si="143"/>
        <v>0</v>
      </c>
      <c r="I260" s="253">
        <f t="shared" si="143"/>
        <v>0</v>
      </c>
      <c r="J260" s="253">
        <f t="shared" si="143"/>
        <v>0</v>
      </c>
      <c r="K260" s="253">
        <f t="shared" si="143"/>
        <v>0</v>
      </c>
      <c r="L260" s="253">
        <f t="shared" si="143"/>
        <v>0</v>
      </c>
      <c r="M260" s="253">
        <f t="shared" si="143"/>
        <v>0</v>
      </c>
      <c r="N260" s="253">
        <f t="shared" si="143"/>
        <v>0</v>
      </c>
      <c r="O260" s="253">
        <f t="shared" si="143"/>
        <v>0</v>
      </c>
      <c r="P260" s="253">
        <f t="shared" si="143"/>
        <v>0</v>
      </c>
      <c r="Q260" s="253">
        <f t="shared" si="143"/>
        <v>0</v>
      </c>
      <c r="R260" s="254">
        <f t="shared" si="143"/>
        <v>553322</v>
      </c>
    </row>
    <row r="261" spans="1:22" x14ac:dyDescent="0.25">
      <c r="A261" s="41"/>
      <c r="B261" s="98"/>
      <c r="C261" s="387" t="s">
        <v>56</v>
      </c>
      <c r="D261" s="388"/>
      <c r="E261" s="255"/>
      <c r="F261" s="256"/>
      <c r="G261" s="256"/>
      <c r="H261" s="256"/>
      <c r="I261" s="256"/>
      <c r="J261" s="256"/>
      <c r="K261" s="256"/>
      <c r="L261" s="256"/>
      <c r="M261" s="256"/>
      <c r="N261" s="256"/>
      <c r="O261" s="256"/>
      <c r="P261" s="256"/>
      <c r="Q261" s="256"/>
      <c r="R261" s="257"/>
    </row>
    <row r="262" spans="1:22" ht="34.5" customHeight="1" thickBot="1" x14ac:dyDescent="0.3">
      <c r="A262" s="41"/>
      <c r="B262" s="235"/>
      <c r="C262" s="339" t="s">
        <v>114</v>
      </c>
      <c r="D262" s="339"/>
      <c r="E262" s="247">
        <f>SUM(E264:E272)</f>
        <v>0</v>
      </c>
      <c r="F262" s="248">
        <f>F263</f>
        <v>553322</v>
      </c>
      <c r="G262" s="248">
        <f>SUM(G264:G272)</f>
        <v>0</v>
      </c>
      <c r="H262" s="248">
        <f>SUM(H264:H272)</f>
        <v>0</v>
      </c>
      <c r="I262" s="248">
        <f>SUM(I264:I272)</f>
        <v>0</v>
      </c>
      <c r="J262" s="248">
        <f t="shared" ref="J262:R262" si="144">J263</f>
        <v>0</v>
      </c>
      <c r="K262" s="248">
        <f t="shared" si="144"/>
        <v>0</v>
      </c>
      <c r="L262" s="248">
        <f t="shared" si="144"/>
        <v>0</v>
      </c>
      <c r="M262" s="248">
        <f t="shared" si="144"/>
        <v>0</v>
      </c>
      <c r="N262" s="248">
        <f t="shared" si="144"/>
        <v>0</v>
      </c>
      <c r="O262" s="248">
        <f t="shared" si="144"/>
        <v>0</v>
      </c>
      <c r="P262" s="248">
        <f t="shared" si="144"/>
        <v>0</v>
      </c>
      <c r="Q262" s="248">
        <f t="shared" si="144"/>
        <v>0</v>
      </c>
      <c r="R262" s="328">
        <f t="shared" si="144"/>
        <v>553322</v>
      </c>
      <c r="S262" s="326">
        <f>F262-SUM(G262:R262)</f>
        <v>0</v>
      </c>
    </row>
    <row r="263" spans="1:22" s="164" customFormat="1" ht="30" customHeight="1" x14ac:dyDescent="0.25">
      <c r="A263" s="159"/>
      <c r="B263" s="160"/>
      <c r="C263" s="379" t="s">
        <v>116</v>
      </c>
      <c r="D263" s="379"/>
      <c r="E263" s="169">
        <f>SUM(E265:E272)</f>
        <v>0</v>
      </c>
      <c r="F263" s="121">
        <f>SUM(F265:F273)</f>
        <v>553322</v>
      </c>
      <c r="G263" s="121">
        <f t="shared" ref="G263:H263" si="145">SUM(G265:G272)</f>
        <v>0</v>
      </c>
      <c r="H263" s="121">
        <f t="shared" si="145"/>
        <v>0</v>
      </c>
      <c r="I263" s="121">
        <f>SUM(I265:I272)</f>
        <v>0</v>
      </c>
      <c r="J263" s="121">
        <f t="shared" ref="J263:Q263" si="146">SUM(J265:J272)</f>
        <v>0</v>
      </c>
      <c r="K263" s="121">
        <f t="shared" si="146"/>
        <v>0</v>
      </c>
      <c r="L263" s="121">
        <f t="shared" si="146"/>
        <v>0</v>
      </c>
      <c r="M263" s="121">
        <f t="shared" si="146"/>
        <v>0</v>
      </c>
      <c r="N263" s="121">
        <f t="shared" si="146"/>
        <v>0</v>
      </c>
      <c r="O263" s="121">
        <f t="shared" si="146"/>
        <v>0</v>
      </c>
      <c r="P263" s="121">
        <f t="shared" si="146"/>
        <v>0</v>
      </c>
      <c r="Q263" s="121">
        <f t="shared" si="146"/>
        <v>0</v>
      </c>
      <c r="R263" s="122">
        <f>SUM(R265:R273)</f>
        <v>553322</v>
      </c>
      <c r="S263" s="326">
        <f>F263-SUM(G263:R263)</f>
        <v>0</v>
      </c>
    </row>
    <row r="264" spans="1:22" x14ac:dyDescent="0.25">
      <c r="A264" s="41"/>
      <c r="B264" s="315"/>
      <c r="C264" s="316"/>
      <c r="D264" s="316"/>
      <c r="E264" s="317" t="s">
        <v>29</v>
      </c>
      <c r="F264" s="319">
        <v>553322</v>
      </c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7"/>
      <c r="S264" s="148"/>
      <c r="V264" s="149"/>
    </row>
    <row r="265" spans="1:22" s="164" customFormat="1" x14ac:dyDescent="0.25">
      <c r="A265" s="159"/>
      <c r="B265" s="160">
        <v>1</v>
      </c>
      <c r="C265" s="161" t="s">
        <v>41</v>
      </c>
      <c r="D265" s="162">
        <v>72.540000000000006</v>
      </c>
      <c r="E265" s="83">
        <v>0</v>
      </c>
      <c r="F265" s="157">
        <f>+E265*S265*D265</f>
        <v>0</v>
      </c>
      <c r="G265" s="157">
        <v>0</v>
      </c>
      <c r="H265" s="157">
        <v>0</v>
      </c>
      <c r="I265" s="157">
        <v>0</v>
      </c>
      <c r="J265" s="157">
        <f>E265*D265*30</f>
        <v>0</v>
      </c>
      <c r="K265" s="157">
        <f t="shared" ref="K265" si="147">E265*D265*31</f>
        <v>0</v>
      </c>
      <c r="L265" s="157">
        <f t="shared" ref="L265" si="148">E265*D265*30</f>
        <v>0</v>
      </c>
      <c r="M265" s="157">
        <f t="shared" ref="M265" si="149">E265*D265*31</f>
        <v>0</v>
      </c>
      <c r="N265" s="157">
        <f>E265*D265*31</f>
        <v>0</v>
      </c>
      <c r="O265" s="157">
        <f>E265*D265*30</f>
        <v>0</v>
      </c>
      <c r="P265" s="157">
        <f>E265*D265*31</f>
        <v>0</v>
      </c>
      <c r="Q265" s="157">
        <f>E265*D265*30</f>
        <v>0</v>
      </c>
      <c r="R265" s="158">
        <f>E265*D265*31</f>
        <v>0</v>
      </c>
      <c r="S265" s="210">
        <f>30+31+30+31+31+30+31+30+31</f>
        <v>275</v>
      </c>
    </row>
    <row r="266" spans="1:22" s="164" customFormat="1" x14ac:dyDescent="0.25">
      <c r="A266" s="159"/>
      <c r="B266" s="160">
        <v>2</v>
      </c>
      <c r="C266" s="161" t="s">
        <v>30</v>
      </c>
      <c r="D266" s="162">
        <v>71.400000000000006</v>
      </c>
      <c r="E266" s="83">
        <v>0</v>
      </c>
      <c r="F266" s="157">
        <f t="shared" ref="F266:F272" si="150">+E266*S266*D266</f>
        <v>0</v>
      </c>
      <c r="G266" s="157">
        <v>0</v>
      </c>
      <c r="H266" s="157">
        <v>0</v>
      </c>
      <c r="I266" s="157">
        <v>0</v>
      </c>
      <c r="J266" s="157">
        <f t="shared" ref="J266:J272" si="151">E266*D266*30</f>
        <v>0</v>
      </c>
      <c r="K266" s="157">
        <f t="shared" ref="K266:K272" si="152">E266*D266*31</f>
        <v>0</v>
      </c>
      <c r="L266" s="157">
        <f t="shared" ref="L266:L272" si="153">E266*D266*30</f>
        <v>0</v>
      </c>
      <c r="M266" s="157">
        <f t="shared" ref="M266:M272" si="154">E266*D266*31</f>
        <v>0</v>
      </c>
      <c r="N266" s="157">
        <f t="shared" ref="N266:N268" si="155">E266*D266*31</f>
        <v>0</v>
      </c>
      <c r="O266" s="157">
        <f t="shared" ref="O266:O268" si="156">E266*D266*30</f>
        <v>0</v>
      </c>
      <c r="P266" s="157">
        <f t="shared" ref="P266:P268" si="157">E266*D266*31</f>
        <v>0</v>
      </c>
      <c r="Q266" s="157">
        <f t="shared" ref="Q266:Q268" si="158">E266*D266*30</f>
        <v>0</v>
      </c>
      <c r="R266" s="158">
        <f t="shared" ref="R266:R268" si="159">E266*D266*31</f>
        <v>0</v>
      </c>
      <c r="S266" s="210">
        <f t="shared" ref="S266:S272" si="160">30+31+30+31+31+30+31+30+31</f>
        <v>275</v>
      </c>
    </row>
    <row r="267" spans="1:22" s="164" customFormat="1" x14ac:dyDescent="0.25">
      <c r="A267" s="159"/>
      <c r="B267" s="160">
        <v>3</v>
      </c>
      <c r="C267" s="161" t="s">
        <v>33</v>
      </c>
      <c r="D267" s="162">
        <v>71.400000000000006</v>
      </c>
      <c r="E267" s="83">
        <v>0</v>
      </c>
      <c r="F267" s="157">
        <f t="shared" si="150"/>
        <v>0</v>
      </c>
      <c r="G267" s="157">
        <v>0</v>
      </c>
      <c r="H267" s="157">
        <v>0</v>
      </c>
      <c r="I267" s="157">
        <v>0</v>
      </c>
      <c r="J267" s="157">
        <f t="shared" si="151"/>
        <v>0</v>
      </c>
      <c r="K267" s="157">
        <f t="shared" si="152"/>
        <v>0</v>
      </c>
      <c r="L267" s="157">
        <f t="shared" si="153"/>
        <v>0</v>
      </c>
      <c r="M267" s="157">
        <f t="shared" si="154"/>
        <v>0</v>
      </c>
      <c r="N267" s="157">
        <f t="shared" si="155"/>
        <v>0</v>
      </c>
      <c r="O267" s="157">
        <f t="shared" si="156"/>
        <v>0</v>
      </c>
      <c r="P267" s="157">
        <f t="shared" si="157"/>
        <v>0</v>
      </c>
      <c r="Q267" s="157">
        <f t="shared" si="158"/>
        <v>0</v>
      </c>
      <c r="R267" s="158">
        <f t="shared" si="159"/>
        <v>0</v>
      </c>
      <c r="S267" s="210">
        <f t="shared" si="160"/>
        <v>275</v>
      </c>
    </row>
    <row r="268" spans="1:22" s="164" customFormat="1" x14ac:dyDescent="0.25">
      <c r="A268" s="159"/>
      <c r="B268" s="160">
        <v>4</v>
      </c>
      <c r="C268" s="161" t="s">
        <v>63</v>
      </c>
      <c r="D268" s="162">
        <v>80.86</v>
      </c>
      <c r="E268" s="83">
        <v>0</v>
      </c>
      <c r="F268" s="157">
        <f t="shared" si="150"/>
        <v>0</v>
      </c>
      <c r="G268" s="157">
        <v>0</v>
      </c>
      <c r="H268" s="157">
        <v>0</v>
      </c>
      <c r="I268" s="157">
        <v>0</v>
      </c>
      <c r="J268" s="157">
        <f t="shared" si="151"/>
        <v>0</v>
      </c>
      <c r="K268" s="157">
        <f t="shared" si="152"/>
        <v>0</v>
      </c>
      <c r="L268" s="157">
        <f t="shared" si="153"/>
        <v>0</v>
      </c>
      <c r="M268" s="157">
        <f t="shared" si="154"/>
        <v>0</v>
      </c>
      <c r="N268" s="157">
        <f t="shared" si="155"/>
        <v>0</v>
      </c>
      <c r="O268" s="157">
        <f t="shared" si="156"/>
        <v>0</v>
      </c>
      <c r="P268" s="157">
        <f t="shared" si="157"/>
        <v>0</v>
      </c>
      <c r="Q268" s="157">
        <f t="shared" si="158"/>
        <v>0</v>
      </c>
      <c r="R268" s="158">
        <f t="shared" si="159"/>
        <v>0</v>
      </c>
      <c r="S268" s="210">
        <f t="shared" si="160"/>
        <v>275</v>
      </c>
    </row>
    <row r="269" spans="1:22" s="164" customFormat="1" x14ac:dyDescent="0.25">
      <c r="A269" s="159"/>
      <c r="B269" s="160">
        <v>7</v>
      </c>
      <c r="C269" s="161" t="s">
        <v>54</v>
      </c>
      <c r="D269" s="162">
        <v>71.400000000000006</v>
      </c>
      <c r="E269" s="83">
        <v>0</v>
      </c>
      <c r="F269" s="157">
        <f t="shared" si="150"/>
        <v>0</v>
      </c>
      <c r="G269" s="157">
        <v>0</v>
      </c>
      <c r="H269" s="157">
        <v>0</v>
      </c>
      <c r="I269" s="157">
        <v>0</v>
      </c>
      <c r="J269" s="157">
        <f t="shared" si="151"/>
        <v>0</v>
      </c>
      <c r="K269" s="157">
        <f t="shared" si="152"/>
        <v>0</v>
      </c>
      <c r="L269" s="157">
        <f t="shared" si="153"/>
        <v>0</v>
      </c>
      <c r="M269" s="157">
        <f t="shared" si="154"/>
        <v>0</v>
      </c>
      <c r="N269" s="157">
        <f>E269*D269*31</f>
        <v>0</v>
      </c>
      <c r="O269" s="157">
        <f>E269*D269*30</f>
        <v>0</v>
      </c>
      <c r="P269" s="157">
        <f>E269*D269*31</f>
        <v>0</v>
      </c>
      <c r="Q269" s="157">
        <f>E269*D269*30</f>
        <v>0</v>
      </c>
      <c r="R269" s="158">
        <f>E269*D269*31</f>
        <v>0</v>
      </c>
      <c r="S269" s="210">
        <f t="shared" si="160"/>
        <v>275</v>
      </c>
    </row>
    <row r="270" spans="1:22" s="164" customFormat="1" x14ac:dyDescent="0.25">
      <c r="A270" s="159"/>
      <c r="B270" s="160">
        <v>7</v>
      </c>
      <c r="C270" s="161" t="s">
        <v>30</v>
      </c>
      <c r="D270" s="162">
        <v>71.400000000000006</v>
      </c>
      <c r="E270" s="83">
        <v>0</v>
      </c>
      <c r="F270" s="157">
        <f t="shared" si="150"/>
        <v>0</v>
      </c>
      <c r="G270" s="157">
        <v>0</v>
      </c>
      <c r="H270" s="157">
        <v>0</v>
      </c>
      <c r="I270" s="157">
        <v>0</v>
      </c>
      <c r="J270" s="157">
        <f t="shared" si="151"/>
        <v>0</v>
      </c>
      <c r="K270" s="157">
        <f t="shared" ref="K270" si="161">E270*D270*31</f>
        <v>0</v>
      </c>
      <c r="L270" s="157">
        <f t="shared" ref="L270" si="162">E270*D270*30</f>
        <v>0</v>
      </c>
      <c r="M270" s="157">
        <f t="shared" ref="M270" si="163">E270*D270*31</f>
        <v>0</v>
      </c>
      <c r="N270" s="157">
        <f t="shared" ref="N270:N272" si="164">E270*D270*31</f>
        <v>0</v>
      </c>
      <c r="O270" s="157">
        <f t="shared" ref="O270:O272" si="165">E270*D270*30</f>
        <v>0</v>
      </c>
      <c r="P270" s="157">
        <f t="shared" ref="P270:P272" si="166">E270*D270*31</f>
        <v>0</v>
      </c>
      <c r="Q270" s="157">
        <f t="shared" ref="Q270:Q272" si="167">E270*D270*30</f>
        <v>0</v>
      </c>
      <c r="R270" s="158">
        <f t="shared" ref="R270:R272" si="168">E270*D270*31</f>
        <v>0</v>
      </c>
      <c r="S270" s="210">
        <f t="shared" si="160"/>
        <v>275</v>
      </c>
    </row>
    <row r="271" spans="1:22" s="164" customFormat="1" x14ac:dyDescent="0.25">
      <c r="A271" s="159"/>
      <c r="B271" s="160">
        <v>5</v>
      </c>
      <c r="C271" s="161" t="s">
        <v>31</v>
      </c>
      <c r="D271" s="162">
        <v>72.540000000000006</v>
      </c>
      <c r="E271" s="83">
        <v>0</v>
      </c>
      <c r="F271" s="157">
        <f t="shared" si="150"/>
        <v>0</v>
      </c>
      <c r="G271" s="157">
        <v>0</v>
      </c>
      <c r="H271" s="157">
        <v>0</v>
      </c>
      <c r="I271" s="157">
        <v>0</v>
      </c>
      <c r="J271" s="157">
        <f t="shared" si="151"/>
        <v>0</v>
      </c>
      <c r="K271" s="157">
        <f t="shared" si="152"/>
        <v>0</v>
      </c>
      <c r="L271" s="157">
        <f t="shared" si="153"/>
        <v>0</v>
      </c>
      <c r="M271" s="157">
        <f t="shared" si="154"/>
        <v>0</v>
      </c>
      <c r="N271" s="157">
        <f t="shared" si="164"/>
        <v>0</v>
      </c>
      <c r="O271" s="157">
        <f t="shared" si="165"/>
        <v>0</v>
      </c>
      <c r="P271" s="157">
        <f t="shared" si="166"/>
        <v>0</v>
      </c>
      <c r="Q271" s="157">
        <f t="shared" si="167"/>
        <v>0</v>
      </c>
      <c r="R271" s="158">
        <f t="shared" si="168"/>
        <v>0</v>
      </c>
      <c r="S271" s="210">
        <f t="shared" si="160"/>
        <v>275</v>
      </c>
    </row>
    <row r="272" spans="1:22" s="164" customFormat="1" x14ac:dyDescent="0.25">
      <c r="A272" s="159"/>
      <c r="B272" s="160">
        <v>6</v>
      </c>
      <c r="C272" s="161" t="s">
        <v>54</v>
      </c>
      <c r="D272" s="162">
        <v>71.400000000000006</v>
      </c>
      <c r="E272" s="83">
        <v>0</v>
      </c>
      <c r="F272" s="157">
        <f t="shared" si="150"/>
        <v>0</v>
      </c>
      <c r="G272" s="157">
        <v>0</v>
      </c>
      <c r="H272" s="157">
        <v>0</v>
      </c>
      <c r="I272" s="157">
        <v>0</v>
      </c>
      <c r="J272" s="157">
        <f t="shared" si="151"/>
        <v>0</v>
      </c>
      <c r="K272" s="157">
        <f t="shared" si="152"/>
        <v>0</v>
      </c>
      <c r="L272" s="157">
        <f t="shared" si="153"/>
        <v>0</v>
      </c>
      <c r="M272" s="157">
        <f t="shared" si="154"/>
        <v>0</v>
      </c>
      <c r="N272" s="157">
        <f t="shared" si="164"/>
        <v>0</v>
      </c>
      <c r="O272" s="157">
        <f t="shared" si="165"/>
        <v>0</v>
      </c>
      <c r="P272" s="157">
        <f t="shared" si="166"/>
        <v>0</v>
      </c>
      <c r="Q272" s="157">
        <f t="shared" si="167"/>
        <v>0</v>
      </c>
      <c r="R272" s="158">
        <f t="shared" si="168"/>
        <v>0</v>
      </c>
      <c r="S272" s="210">
        <f t="shared" si="160"/>
        <v>275</v>
      </c>
    </row>
    <row r="273" spans="1:19" s="164" customFormat="1" ht="15.75" thickBot="1" x14ac:dyDescent="0.3">
      <c r="A273" s="159"/>
      <c r="B273" s="160"/>
      <c r="C273" s="161" t="s">
        <v>39</v>
      </c>
      <c r="D273" s="162"/>
      <c r="E273" s="83"/>
      <c r="F273" s="157">
        <f>553322-SUM(F265:F272)</f>
        <v>553322</v>
      </c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8">
        <f>F273</f>
        <v>553322</v>
      </c>
      <c r="S273" s="210"/>
    </row>
    <row r="274" spans="1:19" ht="15.75" hidden="1" thickBot="1" x14ac:dyDescent="0.3">
      <c r="A274" s="41"/>
      <c r="B274" s="301"/>
      <c r="C274" s="322" t="s">
        <v>78</v>
      </c>
      <c r="D274" s="251"/>
      <c r="E274" s="252">
        <f>E276+E287</f>
        <v>0</v>
      </c>
      <c r="F274" s="253">
        <f>F276+F287</f>
        <v>0</v>
      </c>
      <c r="G274" s="253">
        <f t="shared" ref="G274:R274" si="169">G276+G287</f>
        <v>0</v>
      </c>
      <c r="H274" s="253">
        <f t="shared" si="169"/>
        <v>0</v>
      </c>
      <c r="I274" s="253">
        <f t="shared" si="169"/>
        <v>0</v>
      </c>
      <c r="J274" s="253">
        <f t="shared" si="169"/>
        <v>0</v>
      </c>
      <c r="K274" s="253">
        <f t="shared" si="169"/>
        <v>0</v>
      </c>
      <c r="L274" s="253">
        <f t="shared" si="169"/>
        <v>0</v>
      </c>
      <c r="M274" s="253">
        <f t="shared" si="169"/>
        <v>0</v>
      </c>
      <c r="N274" s="253">
        <f t="shared" si="169"/>
        <v>0</v>
      </c>
      <c r="O274" s="253">
        <f t="shared" si="169"/>
        <v>0</v>
      </c>
      <c r="P274" s="253">
        <f t="shared" si="169"/>
        <v>0</v>
      </c>
      <c r="Q274" s="253">
        <f t="shared" si="169"/>
        <v>0</v>
      </c>
      <c r="R274" s="254">
        <f t="shared" si="169"/>
        <v>0</v>
      </c>
    </row>
    <row r="275" spans="1:19" ht="15" hidden="1" customHeight="1" x14ac:dyDescent="0.3">
      <c r="A275" s="41"/>
      <c r="B275" s="98"/>
      <c r="C275" s="381" t="s">
        <v>42</v>
      </c>
      <c r="D275" s="382"/>
      <c r="E275" s="255"/>
      <c r="F275" s="256"/>
      <c r="G275" s="256"/>
      <c r="H275" s="256"/>
      <c r="I275" s="256"/>
      <c r="J275" s="256"/>
      <c r="K275" s="256"/>
      <c r="L275" s="256"/>
      <c r="M275" s="256"/>
      <c r="N275" s="256"/>
      <c r="O275" s="256"/>
      <c r="P275" s="256"/>
      <c r="Q275" s="256"/>
      <c r="R275" s="257"/>
    </row>
    <row r="276" spans="1:19" ht="34.5" hidden="1" customHeight="1" thickBot="1" x14ac:dyDescent="0.3">
      <c r="A276" s="41"/>
      <c r="B276" s="235"/>
      <c r="C276" s="383" t="s">
        <v>79</v>
      </c>
      <c r="D276" s="384"/>
      <c r="E276" s="258">
        <f t="shared" ref="E276:R276" si="170">E277+E281+E285+E289+E293+E297</f>
        <v>0</v>
      </c>
      <c r="F276" s="237">
        <f>F277+F281+F285+F289+F293+F297</f>
        <v>0</v>
      </c>
      <c r="G276" s="237">
        <f>G277+G281+G285+G289+G293+G297</f>
        <v>0</v>
      </c>
      <c r="H276" s="237">
        <f t="shared" si="170"/>
        <v>0</v>
      </c>
      <c r="I276" s="237">
        <f t="shared" si="170"/>
        <v>0</v>
      </c>
      <c r="J276" s="237">
        <f t="shared" si="170"/>
        <v>0</v>
      </c>
      <c r="K276" s="237">
        <f t="shared" si="170"/>
        <v>0</v>
      </c>
      <c r="L276" s="237">
        <f t="shared" si="170"/>
        <v>0</v>
      </c>
      <c r="M276" s="237">
        <f t="shared" si="170"/>
        <v>0</v>
      </c>
      <c r="N276" s="237">
        <f t="shared" si="170"/>
        <v>0</v>
      </c>
      <c r="O276" s="237">
        <f t="shared" si="170"/>
        <v>0</v>
      </c>
      <c r="P276" s="237">
        <f t="shared" si="170"/>
        <v>0</v>
      </c>
      <c r="Q276" s="237">
        <f t="shared" si="170"/>
        <v>0</v>
      </c>
      <c r="R276" s="238">
        <f t="shared" si="170"/>
        <v>0</v>
      </c>
    </row>
    <row r="277" spans="1:19" ht="15" hidden="1" customHeight="1" x14ac:dyDescent="0.3">
      <c r="A277" s="41"/>
      <c r="B277" s="259"/>
      <c r="C277" s="385" t="s">
        <v>80</v>
      </c>
      <c r="D277" s="386"/>
      <c r="E277" s="260">
        <f t="shared" ref="E277:R277" si="171">SUM(E279:E279)</f>
        <v>0</v>
      </c>
      <c r="F277" s="261">
        <f t="shared" si="171"/>
        <v>0</v>
      </c>
      <c r="G277" s="261">
        <f t="shared" si="171"/>
        <v>0</v>
      </c>
      <c r="H277" s="261">
        <f t="shared" si="171"/>
        <v>0</v>
      </c>
      <c r="I277" s="261">
        <f t="shared" si="171"/>
        <v>0</v>
      </c>
      <c r="J277" s="261">
        <f t="shared" si="171"/>
        <v>0</v>
      </c>
      <c r="K277" s="261">
        <f t="shared" si="171"/>
        <v>0</v>
      </c>
      <c r="L277" s="261">
        <f t="shared" si="171"/>
        <v>0</v>
      </c>
      <c r="M277" s="261">
        <f t="shared" si="171"/>
        <v>0</v>
      </c>
      <c r="N277" s="261">
        <f t="shared" si="171"/>
        <v>0</v>
      </c>
      <c r="O277" s="261">
        <f t="shared" si="171"/>
        <v>0</v>
      </c>
      <c r="P277" s="261">
        <f t="shared" si="171"/>
        <v>0</v>
      </c>
      <c r="Q277" s="261">
        <f t="shared" si="171"/>
        <v>0</v>
      </c>
      <c r="R277" s="262">
        <f t="shared" si="171"/>
        <v>0</v>
      </c>
    </row>
    <row r="278" spans="1:19" ht="15.75" hidden="1" thickBot="1" x14ac:dyDescent="0.3">
      <c r="A278" s="41"/>
      <c r="B278" s="263"/>
      <c r="C278" s="264"/>
      <c r="D278" s="265"/>
      <c r="E278" s="266"/>
      <c r="F278" s="267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2"/>
    </row>
    <row r="279" spans="1:19" ht="15.75" hidden="1" thickBot="1" x14ac:dyDescent="0.3">
      <c r="A279" s="41"/>
      <c r="B279" s="315"/>
      <c r="C279" s="314" t="s">
        <v>39</v>
      </c>
      <c r="D279" s="82"/>
      <c r="E279" s="116"/>
      <c r="F279" s="85">
        <v>0</v>
      </c>
      <c r="G279" s="118"/>
      <c r="H279" s="86"/>
      <c r="I279" s="85"/>
      <c r="J279" s="85"/>
      <c r="K279" s="85"/>
      <c r="L279" s="85"/>
      <c r="M279" s="85"/>
      <c r="N279" s="85"/>
      <c r="O279" s="85"/>
      <c r="P279" s="85"/>
      <c r="Q279" s="85"/>
      <c r="R279" s="87">
        <v>0</v>
      </c>
      <c r="S279" s="234"/>
    </row>
    <row r="280" spans="1:19" ht="15" hidden="1" customHeight="1" x14ac:dyDescent="0.3">
      <c r="A280" s="41"/>
      <c r="B280" s="315"/>
      <c r="C280" s="368" t="s">
        <v>81</v>
      </c>
      <c r="D280" s="369"/>
      <c r="E280" s="116"/>
      <c r="F280" s="85"/>
      <c r="G280" s="85"/>
      <c r="H280" s="86"/>
      <c r="I280" s="85"/>
      <c r="J280" s="85"/>
      <c r="K280" s="85"/>
      <c r="L280" s="85"/>
      <c r="M280" s="85"/>
      <c r="N280" s="85"/>
      <c r="O280" s="85"/>
      <c r="P280" s="85"/>
      <c r="Q280" s="85"/>
      <c r="R280" s="87"/>
    </row>
    <row r="281" spans="1:19" ht="15" hidden="1" customHeight="1" x14ac:dyDescent="0.3">
      <c r="A281" s="41"/>
      <c r="B281" s="150"/>
      <c r="C281" s="370"/>
      <c r="D281" s="371"/>
      <c r="E281" s="269">
        <f t="shared" ref="E281:R281" si="172">SUM(E283:E283)</f>
        <v>0</v>
      </c>
      <c r="F281" s="270">
        <f t="shared" si="172"/>
        <v>0</v>
      </c>
      <c r="G281" s="270">
        <f t="shared" si="172"/>
        <v>0</v>
      </c>
      <c r="H281" s="270">
        <f t="shared" si="172"/>
        <v>0</v>
      </c>
      <c r="I281" s="270">
        <f t="shared" si="172"/>
        <v>0</v>
      </c>
      <c r="J281" s="270">
        <f t="shared" si="172"/>
        <v>0</v>
      </c>
      <c r="K281" s="270">
        <f t="shared" si="172"/>
        <v>0</v>
      </c>
      <c r="L281" s="270">
        <f t="shared" si="172"/>
        <v>0</v>
      </c>
      <c r="M281" s="270">
        <f t="shared" si="172"/>
        <v>0</v>
      </c>
      <c r="N281" s="270">
        <f t="shared" si="172"/>
        <v>0</v>
      </c>
      <c r="O281" s="270">
        <f t="shared" si="172"/>
        <v>0</v>
      </c>
      <c r="P281" s="270">
        <f t="shared" si="172"/>
        <v>0</v>
      </c>
      <c r="Q281" s="270">
        <f t="shared" si="172"/>
        <v>0</v>
      </c>
      <c r="R281" s="271">
        <f t="shared" si="172"/>
        <v>0</v>
      </c>
    </row>
    <row r="282" spans="1:19" ht="27" hidden="1" customHeight="1" x14ac:dyDescent="0.3">
      <c r="A282" s="41"/>
      <c r="B282" s="80"/>
      <c r="C282" s="264"/>
      <c r="D282" s="265"/>
      <c r="E282" s="266"/>
      <c r="F282" s="267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2"/>
    </row>
    <row r="283" spans="1:19" ht="15.75" hidden="1" thickBot="1" x14ac:dyDescent="0.3">
      <c r="A283" s="41"/>
      <c r="B283" s="80"/>
      <c r="C283" s="268" t="s">
        <v>39</v>
      </c>
      <c r="D283" s="82"/>
      <c r="E283" s="116"/>
      <c r="F283" s="85">
        <v>0</v>
      </c>
      <c r="G283" s="118"/>
      <c r="H283" s="86"/>
      <c r="I283" s="85"/>
      <c r="J283" s="85"/>
      <c r="K283" s="85"/>
      <c r="L283" s="85"/>
      <c r="M283" s="85"/>
      <c r="N283" s="85"/>
      <c r="O283" s="85"/>
      <c r="P283" s="85"/>
      <c r="Q283" s="85"/>
      <c r="R283" s="87">
        <v>0</v>
      </c>
    </row>
    <row r="284" spans="1:19" ht="15" hidden="1" customHeight="1" x14ac:dyDescent="0.3">
      <c r="A284" s="41"/>
      <c r="B284" s="110"/>
      <c r="C284" s="368" t="s">
        <v>82</v>
      </c>
      <c r="D284" s="369"/>
      <c r="E284" s="272"/>
      <c r="F284" s="211"/>
      <c r="G284" s="211"/>
      <c r="H284" s="212"/>
      <c r="I284" s="211"/>
      <c r="J284" s="211"/>
      <c r="K284" s="211"/>
      <c r="L284" s="211"/>
      <c r="M284" s="211"/>
      <c r="N284" s="211"/>
      <c r="O284" s="211"/>
      <c r="P284" s="211"/>
      <c r="Q284" s="211"/>
      <c r="R284" s="273"/>
    </row>
    <row r="285" spans="1:19" ht="15" hidden="1" customHeight="1" x14ac:dyDescent="0.3">
      <c r="A285" s="41"/>
      <c r="B285" s="110"/>
      <c r="C285" s="370"/>
      <c r="D285" s="371"/>
      <c r="E285" s="274">
        <f t="shared" ref="E285:R285" si="173">SUM(E287:E287)</f>
        <v>0</v>
      </c>
      <c r="F285" s="270">
        <f t="shared" si="173"/>
        <v>0</v>
      </c>
      <c r="G285" s="270">
        <f t="shared" si="173"/>
        <v>0</v>
      </c>
      <c r="H285" s="270">
        <f t="shared" si="173"/>
        <v>0</v>
      </c>
      <c r="I285" s="270">
        <f t="shared" si="173"/>
        <v>0</v>
      </c>
      <c r="J285" s="270">
        <f t="shared" si="173"/>
        <v>0</v>
      </c>
      <c r="K285" s="270">
        <f t="shared" si="173"/>
        <v>0</v>
      </c>
      <c r="L285" s="270">
        <f t="shared" si="173"/>
        <v>0</v>
      </c>
      <c r="M285" s="270">
        <f t="shared" si="173"/>
        <v>0</v>
      </c>
      <c r="N285" s="270">
        <f t="shared" si="173"/>
        <v>0</v>
      </c>
      <c r="O285" s="270">
        <f t="shared" si="173"/>
        <v>0</v>
      </c>
      <c r="P285" s="270">
        <f t="shared" si="173"/>
        <v>0</v>
      </c>
      <c r="Q285" s="270">
        <f t="shared" si="173"/>
        <v>0</v>
      </c>
      <c r="R285" s="271">
        <f t="shared" si="173"/>
        <v>0</v>
      </c>
    </row>
    <row r="286" spans="1:19" ht="15.75" hidden="1" thickBot="1" x14ac:dyDescent="0.3">
      <c r="A286" s="41"/>
      <c r="B286" s="80"/>
      <c r="C286" s="264"/>
      <c r="D286" s="265"/>
      <c r="E286" s="266"/>
      <c r="F286" s="267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2"/>
    </row>
    <row r="287" spans="1:19" ht="15.75" hidden="1" thickBot="1" x14ac:dyDescent="0.3">
      <c r="A287" s="41"/>
      <c r="B287" s="80"/>
      <c r="C287" s="268" t="s">
        <v>39</v>
      </c>
      <c r="D287" s="82"/>
      <c r="E287" s="116"/>
      <c r="F287" s="85">
        <v>0</v>
      </c>
      <c r="G287" s="118"/>
      <c r="H287" s="126"/>
      <c r="I287" s="85"/>
      <c r="J287" s="85"/>
      <c r="K287" s="85"/>
      <c r="L287" s="88"/>
      <c r="M287" s="85"/>
      <c r="N287" s="85"/>
      <c r="O287" s="85"/>
      <c r="P287" s="85"/>
      <c r="Q287" s="85"/>
      <c r="R287" s="87">
        <v>0</v>
      </c>
    </row>
    <row r="288" spans="1:19" ht="15.75" hidden="1" thickBot="1" x14ac:dyDescent="0.3">
      <c r="A288" s="41"/>
      <c r="B288" s="110"/>
      <c r="C288" s="275"/>
      <c r="D288" s="276"/>
      <c r="E288" s="272"/>
      <c r="F288" s="211"/>
      <c r="G288" s="211"/>
      <c r="H288" s="277"/>
      <c r="I288" s="211"/>
      <c r="J288" s="211"/>
      <c r="K288" s="211"/>
      <c r="L288" s="278"/>
      <c r="M288" s="211"/>
      <c r="N288" s="211"/>
      <c r="O288" s="211"/>
      <c r="P288" s="211"/>
      <c r="Q288" s="211"/>
      <c r="R288" s="273"/>
    </row>
    <row r="289" spans="1:18" ht="31.5" hidden="1" customHeight="1" x14ac:dyDescent="0.3">
      <c r="A289" s="41"/>
      <c r="B289" s="110"/>
      <c r="C289" s="362" t="s">
        <v>83</v>
      </c>
      <c r="D289" s="363"/>
      <c r="E289" s="274">
        <v>0</v>
      </c>
      <c r="F289" s="270">
        <f t="shared" ref="F289:R289" si="174">SUM(F291:F291)</f>
        <v>0</v>
      </c>
      <c r="G289" s="270">
        <f t="shared" si="174"/>
        <v>0</v>
      </c>
      <c r="H289" s="270">
        <f t="shared" si="174"/>
        <v>0</v>
      </c>
      <c r="I289" s="270">
        <f t="shared" si="174"/>
        <v>0</v>
      </c>
      <c r="J289" s="270">
        <f t="shared" si="174"/>
        <v>0</v>
      </c>
      <c r="K289" s="270">
        <f t="shared" si="174"/>
        <v>0</v>
      </c>
      <c r="L289" s="270">
        <f t="shared" si="174"/>
        <v>0</v>
      </c>
      <c r="M289" s="270">
        <f t="shared" si="174"/>
        <v>0</v>
      </c>
      <c r="N289" s="270">
        <f t="shared" si="174"/>
        <v>0</v>
      </c>
      <c r="O289" s="270">
        <f t="shared" si="174"/>
        <v>0</v>
      </c>
      <c r="P289" s="270">
        <f t="shared" si="174"/>
        <v>0</v>
      </c>
      <c r="Q289" s="270">
        <f t="shared" si="174"/>
        <v>0</v>
      </c>
      <c r="R289" s="271">
        <f t="shared" si="174"/>
        <v>0</v>
      </c>
    </row>
    <row r="290" spans="1:18" ht="15.75" hidden="1" thickBot="1" x14ac:dyDescent="0.3">
      <c r="A290" s="41"/>
      <c r="B290" s="80"/>
      <c r="C290" s="264"/>
      <c r="D290" s="265"/>
      <c r="E290" s="266"/>
      <c r="F290" s="267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2"/>
    </row>
    <row r="291" spans="1:18" ht="15.75" hidden="1" thickBot="1" x14ac:dyDescent="0.3">
      <c r="A291" s="41"/>
      <c r="B291" s="80"/>
      <c r="C291" s="268" t="s">
        <v>39</v>
      </c>
      <c r="D291" s="82"/>
      <c r="E291" s="116"/>
      <c r="F291" s="85">
        <v>0</v>
      </c>
      <c r="G291" s="118"/>
      <c r="H291" s="126"/>
      <c r="I291" s="85"/>
      <c r="J291" s="85"/>
      <c r="K291" s="85"/>
      <c r="L291" s="88"/>
      <c r="M291" s="85"/>
      <c r="N291" s="85"/>
      <c r="O291" s="85"/>
      <c r="P291" s="85"/>
      <c r="Q291" s="85"/>
      <c r="R291" s="87">
        <v>0</v>
      </c>
    </row>
    <row r="292" spans="1:18" ht="15" hidden="1" customHeight="1" x14ac:dyDescent="0.3">
      <c r="A292" s="41"/>
      <c r="B292" s="110"/>
      <c r="C292" s="364" t="s">
        <v>84</v>
      </c>
      <c r="D292" s="365"/>
      <c r="E292" s="272"/>
      <c r="F292" s="211"/>
      <c r="G292" s="278"/>
      <c r="H292" s="277"/>
      <c r="I292" s="211"/>
      <c r="J292" s="211"/>
      <c r="K292" s="211"/>
      <c r="L292" s="278"/>
      <c r="M292" s="211"/>
      <c r="N292" s="211"/>
      <c r="O292" s="211"/>
      <c r="P292" s="211"/>
      <c r="Q292" s="211"/>
      <c r="R292" s="273"/>
    </row>
    <row r="293" spans="1:18" ht="15" hidden="1" customHeight="1" x14ac:dyDescent="0.3">
      <c r="A293" s="41"/>
      <c r="B293" s="110"/>
      <c r="C293" s="366"/>
      <c r="D293" s="367"/>
      <c r="E293" s="269">
        <f t="shared" ref="E293:R293" si="175">SUM(E295:E295)</f>
        <v>0</v>
      </c>
      <c r="F293" s="270">
        <f t="shared" si="175"/>
        <v>0</v>
      </c>
      <c r="G293" s="270">
        <f t="shared" si="175"/>
        <v>0</v>
      </c>
      <c r="H293" s="270">
        <f t="shared" si="175"/>
        <v>0</v>
      </c>
      <c r="I293" s="270">
        <f t="shared" si="175"/>
        <v>0</v>
      </c>
      <c r="J293" s="270">
        <f t="shared" si="175"/>
        <v>0</v>
      </c>
      <c r="K293" s="270">
        <f t="shared" si="175"/>
        <v>0</v>
      </c>
      <c r="L293" s="270">
        <f t="shared" si="175"/>
        <v>0</v>
      </c>
      <c r="M293" s="270">
        <f t="shared" si="175"/>
        <v>0</v>
      </c>
      <c r="N293" s="270">
        <f t="shared" si="175"/>
        <v>0</v>
      </c>
      <c r="O293" s="270">
        <f t="shared" si="175"/>
        <v>0</v>
      </c>
      <c r="P293" s="270">
        <f t="shared" si="175"/>
        <v>0</v>
      </c>
      <c r="Q293" s="270">
        <f t="shared" si="175"/>
        <v>0</v>
      </c>
      <c r="R293" s="271">
        <f t="shared" si="175"/>
        <v>0</v>
      </c>
    </row>
    <row r="294" spans="1:18" ht="15.75" hidden="1" thickBot="1" x14ac:dyDescent="0.3">
      <c r="A294" s="41"/>
      <c r="B294" s="80"/>
      <c r="C294" s="264"/>
      <c r="D294" s="265"/>
      <c r="E294" s="266"/>
      <c r="F294" s="267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2"/>
    </row>
    <row r="295" spans="1:18" ht="15.75" hidden="1" thickBot="1" x14ac:dyDescent="0.3">
      <c r="A295" s="41"/>
      <c r="B295" s="80"/>
      <c r="C295" s="268" t="s">
        <v>39</v>
      </c>
      <c r="D295" s="82"/>
      <c r="E295" s="116"/>
      <c r="F295" s="85">
        <v>0</v>
      </c>
      <c r="G295" s="118"/>
      <c r="H295" s="86"/>
      <c r="I295" s="85"/>
      <c r="J295" s="85"/>
      <c r="K295" s="85"/>
      <c r="L295" s="85"/>
      <c r="M295" s="85"/>
      <c r="N295" s="85"/>
      <c r="O295" s="85"/>
      <c r="P295" s="85"/>
      <c r="Q295" s="85"/>
      <c r="R295" s="87">
        <v>0</v>
      </c>
    </row>
    <row r="296" spans="1:18" ht="15" hidden="1" customHeight="1" x14ac:dyDescent="0.3">
      <c r="A296" s="41"/>
      <c r="B296" s="110"/>
      <c r="C296" s="368" t="s">
        <v>85</v>
      </c>
      <c r="D296" s="369"/>
      <c r="E296" s="272"/>
      <c r="F296" s="278"/>
      <c r="G296" s="278"/>
      <c r="H296" s="277"/>
      <c r="I296" s="211"/>
      <c r="J296" s="211"/>
      <c r="K296" s="211"/>
      <c r="L296" s="211"/>
      <c r="M296" s="211"/>
      <c r="N296" s="211"/>
      <c r="O296" s="211"/>
      <c r="P296" s="211"/>
      <c r="Q296" s="211"/>
      <c r="R296" s="273"/>
    </row>
    <row r="297" spans="1:18" ht="15" hidden="1" customHeight="1" x14ac:dyDescent="0.3">
      <c r="A297" s="41"/>
      <c r="B297" s="110"/>
      <c r="C297" s="370"/>
      <c r="D297" s="371"/>
      <c r="E297" s="274">
        <v>0</v>
      </c>
      <c r="F297" s="270">
        <f t="shared" ref="F297:R297" si="176">SUM(F299:F299)</f>
        <v>0</v>
      </c>
      <c r="G297" s="270">
        <f t="shared" si="176"/>
        <v>0</v>
      </c>
      <c r="H297" s="270">
        <f t="shared" si="176"/>
        <v>0</v>
      </c>
      <c r="I297" s="270">
        <f t="shared" si="176"/>
        <v>0</v>
      </c>
      <c r="J297" s="270">
        <f t="shared" si="176"/>
        <v>0</v>
      </c>
      <c r="K297" s="270">
        <f t="shared" si="176"/>
        <v>0</v>
      </c>
      <c r="L297" s="270">
        <f t="shared" si="176"/>
        <v>0</v>
      </c>
      <c r="M297" s="270">
        <f t="shared" si="176"/>
        <v>0</v>
      </c>
      <c r="N297" s="270">
        <f t="shared" si="176"/>
        <v>0</v>
      </c>
      <c r="O297" s="270">
        <f t="shared" si="176"/>
        <v>0</v>
      </c>
      <c r="P297" s="270">
        <f t="shared" si="176"/>
        <v>0</v>
      </c>
      <c r="Q297" s="270">
        <f t="shared" si="176"/>
        <v>0</v>
      </c>
      <c r="R297" s="271">
        <f t="shared" si="176"/>
        <v>0</v>
      </c>
    </row>
    <row r="298" spans="1:18" ht="15.75" hidden="1" thickBot="1" x14ac:dyDescent="0.3">
      <c r="A298" s="41"/>
      <c r="B298" s="80"/>
      <c r="C298" s="264"/>
      <c r="D298" s="265"/>
      <c r="E298" s="266"/>
      <c r="F298" s="267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2"/>
    </row>
    <row r="299" spans="1:18" ht="15.75" hidden="1" thickBot="1" x14ac:dyDescent="0.3">
      <c r="A299" s="41"/>
      <c r="B299" s="225"/>
      <c r="C299" s="268" t="s">
        <v>39</v>
      </c>
      <c r="D299" s="82"/>
      <c r="E299" s="116"/>
      <c r="F299" s="85">
        <v>0</v>
      </c>
      <c r="G299" s="118"/>
      <c r="H299" s="86"/>
      <c r="I299" s="85"/>
      <c r="J299" s="85"/>
      <c r="K299" s="85"/>
      <c r="L299" s="85"/>
      <c r="M299" s="85"/>
      <c r="N299" s="85"/>
      <c r="O299" s="85"/>
      <c r="P299" s="85"/>
      <c r="Q299" s="85"/>
      <c r="R299" s="87">
        <v>0</v>
      </c>
    </row>
    <row r="300" spans="1:18" ht="39.75" hidden="1" thickBot="1" x14ac:dyDescent="0.3">
      <c r="A300" s="41"/>
      <c r="B300" s="192"/>
      <c r="C300" s="243" t="s">
        <v>56</v>
      </c>
      <c r="D300" s="279"/>
      <c r="E300" s="280"/>
      <c r="F300" s="281"/>
      <c r="G300" s="281"/>
      <c r="H300" s="282"/>
      <c r="I300" s="195"/>
      <c r="J300" s="195"/>
      <c r="K300" s="195"/>
      <c r="L300" s="195"/>
      <c r="M300" s="195"/>
      <c r="N300" s="195"/>
      <c r="O300" s="195"/>
      <c r="P300" s="195"/>
      <c r="Q300" s="195"/>
      <c r="R300" s="197"/>
    </row>
    <row r="301" spans="1:18" ht="27" hidden="1" customHeight="1" thickBot="1" x14ac:dyDescent="0.3">
      <c r="A301" s="41"/>
      <c r="B301" s="283"/>
      <c r="C301" s="361" t="s">
        <v>86</v>
      </c>
      <c r="D301" s="361"/>
      <c r="E301" s="284">
        <f t="shared" ref="E301:R301" si="177">SUM(E303:E303)</f>
        <v>0</v>
      </c>
      <c r="F301" s="220">
        <f t="shared" si="177"/>
        <v>0</v>
      </c>
      <c r="G301" s="220">
        <f t="shared" si="177"/>
        <v>0</v>
      </c>
      <c r="H301" s="220">
        <f t="shared" si="177"/>
        <v>0</v>
      </c>
      <c r="I301" s="220">
        <f t="shared" si="177"/>
        <v>0</v>
      </c>
      <c r="J301" s="220">
        <f t="shared" si="177"/>
        <v>0</v>
      </c>
      <c r="K301" s="220">
        <f t="shared" si="177"/>
        <v>0</v>
      </c>
      <c r="L301" s="220">
        <f t="shared" si="177"/>
        <v>0</v>
      </c>
      <c r="M301" s="220">
        <f t="shared" si="177"/>
        <v>0</v>
      </c>
      <c r="N301" s="220">
        <f t="shared" si="177"/>
        <v>0</v>
      </c>
      <c r="O301" s="220">
        <f t="shared" si="177"/>
        <v>0</v>
      </c>
      <c r="P301" s="220">
        <f t="shared" si="177"/>
        <v>0</v>
      </c>
      <c r="Q301" s="220">
        <f t="shared" si="177"/>
        <v>0</v>
      </c>
      <c r="R301" s="285">
        <f t="shared" si="177"/>
        <v>0</v>
      </c>
    </row>
    <row r="302" spans="1:18" ht="15.75" hidden="1" thickBot="1" x14ac:dyDescent="0.3">
      <c r="A302" s="41"/>
      <c r="B302" s="259"/>
      <c r="C302" s="286"/>
      <c r="D302" s="287"/>
      <c r="E302" s="288"/>
      <c r="F302" s="289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3"/>
    </row>
    <row r="303" spans="1:18" ht="15.75" hidden="1" thickBot="1" x14ac:dyDescent="0.3">
      <c r="A303" s="41"/>
      <c r="B303" s="290"/>
      <c r="C303" s="226" t="s">
        <v>39</v>
      </c>
      <c r="D303" s="82"/>
      <c r="E303" s="116"/>
      <c r="F303" s="85">
        <v>0</v>
      </c>
      <c r="G303" s="118"/>
      <c r="H303" s="86"/>
      <c r="I303" s="85"/>
      <c r="J303" s="85"/>
      <c r="K303" s="85"/>
      <c r="L303" s="85"/>
      <c r="M303" s="85"/>
      <c r="N303" s="85"/>
      <c r="O303" s="85"/>
      <c r="P303" s="85"/>
      <c r="Q303" s="85"/>
      <c r="R303" s="87">
        <v>0</v>
      </c>
    </row>
    <row r="304" spans="1:18" ht="15.75" hidden="1" thickBot="1" x14ac:dyDescent="0.3">
      <c r="A304" s="41"/>
      <c r="B304" s="291"/>
      <c r="C304" s="292" t="s">
        <v>87</v>
      </c>
      <c r="D304" s="251"/>
      <c r="E304" s="252">
        <f t="shared" ref="E304:R304" si="178">+SUM(E306,E310,E314)</f>
        <v>0</v>
      </c>
      <c r="F304" s="253">
        <f t="shared" si="178"/>
        <v>0</v>
      </c>
      <c r="G304" s="253">
        <f t="shared" si="178"/>
        <v>0</v>
      </c>
      <c r="H304" s="253">
        <f t="shared" si="178"/>
        <v>0</v>
      </c>
      <c r="I304" s="253">
        <f t="shared" si="178"/>
        <v>0</v>
      </c>
      <c r="J304" s="253">
        <f t="shared" si="178"/>
        <v>0</v>
      </c>
      <c r="K304" s="253">
        <f t="shared" si="178"/>
        <v>0</v>
      </c>
      <c r="L304" s="253">
        <f t="shared" si="178"/>
        <v>0</v>
      </c>
      <c r="M304" s="253">
        <f t="shared" si="178"/>
        <v>0</v>
      </c>
      <c r="N304" s="253">
        <f t="shared" si="178"/>
        <v>0</v>
      </c>
      <c r="O304" s="253">
        <f t="shared" si="178"/>
        <v>0</v>
      </c>
      <c r="P304" s="253">
        <f t="shared" si="178"/>
        <v>0</v>
      </c>
      <c r="Q304" s="253">
        <f t="shared" si="178"/>
        <v>0</v>
      </c>
      <c r="R304" s="254">
        <f t="shared" si="178"/>
        <v>0</v>
      </c>
    </row>
    <row r="305" spans="1:19" ht="15.75" hidden="1" thickBot="1" x14ac:dyDescent="0.3">
      <c r="A305" s="41"/>
      <c r="B305" s="192"/>
      <c r="C305" s="381" t="s">
        <v>42</v>
      </c>
      <c r="D305" s="382"/>
      <c r="E305" s="293"/>
      <c r="F305" s="294"/>
      <c r="G305" s="294"/>
      <c r="H305" s="294"/>
      <c r="I305" s="294"/>
      <c r="J305" s="294"/>
      <c r="K305" s="294"/>
      <c r="L305" s="294"/>
      <c r="M305" s="294"/>
      <c r="N305" s="294"/>
      <c r="O305" s="294"/>
      <c r="P305" s="294"/>
      <c r="Q305" s="294"/>
      <c r="R305" s="295"/>
    </row>
    <row r="306" spans="1:19" ht="32.25" hidden="1" customHeight="1" thickBot="1" x14ac:dyDescent="0.3">
      <c r="A306" s="41"/>
      <c r="B306" s="235"/>
      <c r="C306" s="361" t="s">
        <v>88</v>
      </c>
      <c r="D306" s="361"/>
      <c r="E306" s="284">
        <f t="shared" ref="E306:R306" si="179">SUM(E308:E308)</f>
        <v>0</v>
      </c>
      <c r="F306" s="220">
        <f>F308</f>
        <v>0</v>
      </c>
      <c r="G306" s="220">
        <f t="shared" si="179"/>
        <v>0</v>
      </c>
      <c r="H306" s="220">
        <f t="shared" si="179"/>
        <v>0</v>
      </c>
      <c r="I306" s="220">
        <f t="shared" si="179"/>
        <v>0</v>
      </c>
      <c r="J306" s="220">
        <f t="shared" si="179"/>
        <v>0</v>
      </c>
      <c r="K306" s="220">
        <f t="shared" si="179"/>
        <v>0</v>
      </c>
      <c r="L306" s="220">
        <f t="shared" si="179"/>
        <v>0</v>
      </c>
      <c r="M306" s="220">
        <f t="shared" si="179"/>
        <v>0</v>
      </c>
      <c r="N306" s="220">
        <f t="shared" si="179"/>
        <v>0</v>
      </c>
      <c r="O306" s="220">
        <f t="shared" si="179"/>
        <v>0</v>
      </c>
      <c r="P306" s="220">
        <f t="shared" si="179"/>
        <v>0</v>
      </c>
      <c r="Q306" s="220">
        <f t="shared" si="179"/>
        <v>0</v>
      </c>
      <c r="R306" s="285">
        <f t="shared" si="179"/>
        <v>0</v>
      </c>
    </row>
    <row r="307" spans="1:19" ht="15.75" hidden="1" thickBot="1" x14ac:dyDescent="0.3">
      <c r="A307" s="41"/>
      <c r="B307" s="150"/>
      <c r="C307" s="296" t="s">
        <v>89</v>
      </c>
      <c r="D307" s="297"/>
      <c r="E307" s="298"/>
      <c r="F307" s="299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9"/>
    </row>
    <row r="308" spans="1:19" ht="15.75" hidden="1" thickBot="1" x14ac:dyDescent="0.3">
      <c r="A308" s="41"/>
      <c r="B308" s="80"/>
      <c r="C308" s="81" t="s">
        <v>39</v>
      </c>
      <c r="D308" s="82"/>
      <c r="E308" s="116"/>
      <c r="F308" s="85">
        <v>0</v>
      </c>
      <c r="G308" s="118"/>
      <c r="H308" s="86"/>
      <c r="I308" s="85"/>
      <c r="J308" s="85"/>
      <c r="K308" s="85"/>
      <c r="L308" s="85"/>
      <c r="M308" s="85"/>
      <c r="N308" s="85"/>
      <c r="O308" s="85"/>
      <c r="P308" s="85"/>
      <c r="Q308" s="85"/>
      <c r="R308" s="87">
        <v>0</v>
      </c>
    </row>
    <row r="309" spans="1:19" ht="39.75" hidden="1" thickBot="1" x14ac:dyDescent="0.3">
      <c r="A309" s="41"/>
      <c r="B309" s="192"/>
      <c r="C309" s="243" t="s">
        <v>56</v>
      </c>
      <c r="D309" s="279"/>
      <c r="E309" s="280"/>
      <c r="F309" s="281"/>
      <c r="G309" s="281"/>
      <c r="H309" s="282"/>
      <c r="I309" s="195"/>
      <c r="J309" s="195"/>
      <c r="K309" s="195"/>
      <c r="L309" s="195"/>
      <c r="M309" s="195"/>
      <c r="N309" s="195"/>
      <c r="O309" s="195"/>
      <c r="P309" s="195"/>
      <c r="Q309" s="195"/>
      <c r="R309" s="197"/>
    </row>
    <row r="310" spans="1:19" ht="32.25" hidden="1" customHeight="1" thickBot="1" x14ac:dyDescent="0.3">
      <c r="A310" s="41"/>
      <c r="B310" s="235"/>
      <c r="C310" s="361" t="s">
        <v>90</v>
      </c>
      <c r="D310" s="361"/>
      <c r="E310" s="284">
        <v>0</v>
      </c>
      <c r="F310" s="220">
        <f t="shared" ref="F310:R310" si="180">SUM(F312:F312)</f>
        <v>0</v>
      </c>
      <c r="G310" s="220">
        <f t="shared" si="180"/>
        <v>0</v>
      </c>
      <c r="H310" s="220">
        <f t="shared" si="180"/>
        <v>0</v>
      </c>
      <c r="I310" s="220">
        <f t="shared" si="180"/>
        <v>0</v>
      </c>
      <c r="J310" s="220">
        <f t="shared" si="180"/>
        <v>0</v>
      </c>
      <c r="K310" s="220">
        <f t="shared" si="180"/>
        <v>0</v>
      </c>
      <c r="L310" s="220">
        <f t="shared" si="180"/>
        <v>0</v>
      </c>
      <c r="M310" s="220">
        <f t="shared" si="180"/>
        <v>0</v>
      </c>
      <c r="N310" s="220">
        <f t="shared" si="180"/>
        <v>0</v>
      </c>
      <c r="O310" s="220">
        <f t="shared" si="180"/>
        <v>0</v>
      </c>
      <c r="P310" s="220">
        <f t="shared" si="180"/>
        <v>0</v>
      </c>
      <c r="Q310" s="220">
        <f t="shared" si="180"/>
        <v>0</v>
      </c>
      <c r="R310" s="285">
        <f t="shared" si="180"/>
        <v>0</v>
      </c>
    </row>
    <row r="311" spans="1:19" ht="15.75" hidden="1" thickBot="1" x14ac:dyDescent="0.3">
      <c r="A311" s="41"/>
      <c r="B311" s="150"/>
      <c r="C311" s="296"/>
      <c r="D311" s="297"/>
      <c r="E311" s="298"/>
      <c r="F311" s="299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9"/>
    </row>
    <row r="312" spans="1:19" ht="15.75" hidden="1" thickBot="1" x14ac:dyDescent="0.3">
      <c r="A312" s="41"/>
      <c r="B312" s="80"/>
      <c r="C312" s="81" t="s">
        <v>39</v>
      </c>
      <c r="D312" s="82"/>
      <c r="E312" s="116"/>
      <c r="F312" s="88">
        <v>0</v>
      </c>
      <c r="G312" s="118"/>
      <c r="H312" s="86"/>
      <c r="I312" s="85"/>
      <c r="J312" s="85"/>
      <c r="K312" s="85"/>
      <c r="L312" s="85"/>
      <c r="M312" s="85"/>
      <c r="N312" s="85"/>
      <c r="O312" s="85"/>
      <c r="P312" s="85"/>
      <c r="Q312" s="85"/>
      <c r="R312" s="127">
        <v>0</v>
      </c>
    </row>
    <row r="313" spans="1:19" ht="27" hidden="1" thickBot="1" x14ac:dyDescent="0.3">
      <c r="A313" s="41"/>
      <c r="B313" s="98"/>
      <c r="C313" s="300" t="s">
        <v>91</v>
      </c>
      <c r="D313" s="194"/>
      <c r="E313" s="194"/>
      <c r="F313" s="195"/>
      <c r="G313" s="195"/>
      <c r="H313" s="196"/>
      <c r="I313" s="195"/>
      <c r="J313" s="195"/>
      <c r="K313" s="195"/>
      <c r="L313" s="195"/>
      <c r="M313" s="195"/>
      <c r="N313" s="195"/>
      <c r="O313" s="195"/>
      <c r="P313" s="195"/>
      <c r="Q313" s="195"/>
      <c r="R313" s="197"/>
    </row>
    <row r="314" spans="1:19" ht="27" hidden="1" customHeight="1" thickBot="1" x14ac:dyDescent="0.3">
      <c r="A314" s="41"/>
      <c r="B314" s="235"/>
      <c r="C314" s="361" t="s">
        <v>92</v>
      </c>
      <c r="D314" s="361"/>
      <c r="E314" s="284">
        <v>0</v>
      </c>
      <c r="F314" s="220">
        <f>SUM(F316:F316)</f>
        <v>0</v>
      </c>
      <c r="G314" s="220">
        <f t="shared" ref="G314:R314" si="181">SUM(G316:G316)</f>
        <v>0</v>
      </c>
      <c r="H314" s="220">
        <f t="shared" si="181"/>
        <v>0</v>
      </c>
      <c r="I314" s="220">
        <f t="shared" si="181"/>
        <v>0</v>
      </c>
      <c r="J314" s="220">
        <f t="shared" si="181"/>
        <v>0</v>
      </c>
      <c r="K314" s="220">
        <f t="shared" si="181"/>
        <v>0</v>
      </c>
      <c r="L314" s="220">
        <f t="shared" si="181"/>
        <v>0</v>
      </c>
      <c r="M314" s="220">
        <f t="shared" si="181"/>
        <v>0</v>
      </c>
      <c r="N314" s="220">
        <f t="shared" si="181"/>
        <v>0</v>
      </c>
      <c r="O314" s="220">
        <f t="shared" si="181"/>
        <v>0</v>
      </c>
      <c r="P314" s="220">
        <f t="shared" si="181"/>
        <v>0</v>
      </c>
      <c r="Q314" s="220">
        <f t="shared" si="181"/>
        <v>0</v>
      </c>
      <c r="R314" s="285">
        <f t="shared" si="181"/>
        <v>0</v>
      </c>
    </row>
    <row r="315" spans="1:19" ht="15.75" hidden="1" thickBot="1" x14ac:dyDescent="0.3">
      <c r="A315" s="41"/>
      <c r="B315" s="150"/>
      <c r="C315" s="296"/>
      <c r="D315" s="297"/>
      <c r="E315" s="298"/>
      <c r="F315" s="299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9"/>
    </row>
    <row r="316" spans="1:19" ht="15.75" hidden="1" thickBot="1" x14ac:dyDescent="0.3">
      <c r="A316" s="41"/>
      <c r="B316" s="80"/>
      <c r="C316" s="81" t="s">
        <v>39</v>
      </c>
      <c r="D316" s="82"/>
      <c r="E316" s="116"/>
      <c r="F316" s="85">
        <v>0</v>
      </c>
      <c r="G316" s="118"/>
      <c r="H316" s="86"/>
      <c r="I316" s="85"/>
      <c r="J316" s="85"/>
      <c r="K316" s="85"/>
      <c r="L316" s="85"/>
      <c r="M316" s="85"/>
      <c r="N316" s="85"/>
      <c r="O316" s="85"/>
      <c r="P316" s="85"/>
      <c r="Q316" s="85"/>
      <c r="R316" s="87">
        <v>0</v>
      </c>
    </row>
    <row r="317" spans="1:19" ht="15.75" thickBot="1" x14ac:dyDescent="0.3">
      <c r="A317" s="41"/>
      <c r="B317" s="301"/>
      <c r="C317" s="292" t="s">
        <v>87</v>
      </c>
      <c r="D317" s="251"/>
      <c r="E317" s="252">
        <f>E319+E330</f>
        <v>0</v>
      </c>
      <c r="F317" s="253">
        <f>F319+F330</f>
        <v>4712664</v>
      </c>
      <c r="G317" s="253">
        <f t="shared" ref="G317:R317" si="182">G319+G330</f>
        <v>0</v>
      </c>
      <c r="H317" s="253">
        <f t="shared" si="182"/>
        <v>0</v>
      </c>
      <c r="I317" s="253">
        <f t="shared" si="182"/>
        <v>0</v>
      </c>
      <c r="J317" s="253">
        <f t="shared" si="182"/>
        <v>0</v>
      </c>
      <c r="K317" s="253">
        <f t="shared" si="182"/>
        <v>0</v>
      </c>
      <c r="L317" s="253">
        <f t="shared" si="182"/>
        <v>0</v>
      </c>
      <c r="M317" s="253">
        <f t="shared" si="182"/>
        <v>0</v>
      </c>
      <c r="N317" s="253">
        <f t="shared" si="182"/>
        <v>0</v>
      </c>
      <c r="O317" s="253">
        <f t="shared" si="182"/>
        <v>0</v>
      </c>
      <c r="P317" s="253">
        <f t="shared" si="182"/>
        <v>0</v>
      </c>
      <c r="Q317" s="253">
        <f t="shared" si="182"/>
        <v>0</v>
      </c>
      <c r="R317" s="254">
        <f t="shared" si="182"/>
        <v>4712664</v>
      </c>
      <c r="S317" s="326">
        <f>F317-SUM(G317:R317)</f>
        <v>0</v>
      </c>
    </row>
    <row r="318" spans="1:19" x14ac:dyDescent="0.25">
      <c r="A318" s="41"/>
      <c r="B318" s="98"/>
      <c r="C318" s="380" t="s">
        <v>42</v>
      </c>
      <c r="D318" s="378"/>
      <c r="E318" s="293"/>
      <c r="F318" s="294"/>
      <c r="G318" s="294"/>
      <c r="H318" s="294"/>
      <c r="I318" s="294"/>
      <c r="J318" s="294"/>
      <c r="K318" s="294"/>
      <c r="L318" s="294"/>
      <c r="M318" s="294"/>
      <c r="N318" s="294"/>
      <c r="O318" s="294"/>
      <c r="P318" s="294"/>
      <c r="Q318" s="294"/>
      <c r="R318" s="295"/>
      <c r="S318" s="25"/>
    </row>
    <row r="319" spans="1:19" ht="31.5" customHeight="1" thickBot="1" x14ac:dyDescent="0.3">
      <c r="A319" s="41"/>
      <c r="B319" s="235"/>
      <c r="C319" s="361" t="s">
        <v>125</v>
      </c>
      <c r="D319" s="361"/>
      <c r="E319" s="284">
        <v>0</v>
      </c>
      <c r="F319" s="220">
        <f t="shared" ref="F319:R319" si="183">SUM(F321:F328)</f>
        <v>417030</v>
      </c>
      <c r="G319" s="220">
        <f t="shared" si="183"/>
        <v>0</v>
      </c>
      <c r="H319" s="220">
        <f t="shared" si="183"/>
        <v>0</v>
      </c>
      <c r="I319" s="220">
        <f t="shared" si="183"/>
        <v>0</v>
      </c>
      <c r="J319" s="220">
        <f t="shared" si="183"/>
        <v>0</v>
      </c>
      <c r="K319" s="220">
        <f t="shared" si="183"/>
        <v>0</v>
      </c>
      <c r="L319" s="220">
        <f t="shared" si="183"/>
        <v>0</v>
      </c>
      <c r="M319" s="220">
        <f t="shared" si="183"/>
        <v>0</v>
      </c>
      <c r="N319" s="220">
        <f t="shared" si="183"/>
        <v>0</v>
      </c>
      <c r="O319" s="220">
        <f t="shared" si="183"/>
        <v>0</v>
      </c>
      <c r="P319" s="220">
        <f t="shared" si="183"/>
        <v>0</v>
      </c>
      <c r="Q319" s="220">
        <f t="shared" si="183"/>
        <v>0</v>
      </c>
      <c r="R319" s="285">
        <f t="shared" si="183"/>
        <v>417030</v>
      </c>
      <c r="S319" s="326"/>
    </row>
    <row r="320" spans="1:19" x14ac:dyDescent="0.25">
      <c r="A320" s="41"/>
      <c r="B320" s="150"/>
      <c r="C320" s="9"/>
      <c r="D320" s="297"/>
      <c r="E320" s="317" t="s">
        <v>29</v>
      </c>
      <c r="F320" s="299">
        <v>0</v>
      </c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9"/>
    </row>
    <row r="321" spans="1:23" hidden="1" x14ac:dyDescent="0.25">
      <c r="A321" s="41"/>
      <c r="B321" s="80">
        <v>1</v>
      </c>
      <c r="C321" s="81" t="s">
        <v>41</v>
      </c>
      <c r="D321" s="82">
        <v>72.540000000000006</v>
      </c>
      <c r="E321" s="83">
        <v>3</v>
      </c>
      <c r="F321" s="85">
        <f t="shared" ref="F321:F327" si="184">+E321*S321*D321</f>
        <v>0</v>
      </c>
      <c r="G321" s="85"/>
      <c r="H321" s="86"/>
      <c r="I321" s="85"/>
      <c r="J321" s="85"/>
      <c r="K321" s="85"/>
      <c r="L321" s="85"/>
      <c r="M321" s="85"/>
      <c r="N321" s="85">
        <v>0</v>
      </c>
      <c r="O321" s="85">
        <v>0</v>
      </c>
      <c r="P321" s="85">
        <v>0</v>
      </c>
      <c r="Q321" s="85">
        <v>0</v>
      </c>
      <c r="R321" s="87">
        <v>0</v>
      </c>
    </row>
    <row r="322" spans="1:23" hidden="1" x14ac:dyDescent="0.25">
      <c r="A322" s="41"/>
      <c r="B322" s="80">
        <v>2</v>
      </c>
      <c r="C322" s="81" t="s">
        <v>71</v>
      </c>
      <c r="D322" s="82">
        <v>71.400000000000006</v>
      </c>
      <c r="E322" s="83">
        <v>7</v>
      </c>
      <c r="F322" s="85">
        <f t="shared" si="184"/>
        <v>0</v>
      </c>
      <c r="G322" s="85"/>
      <c r="H322" s="86"/>
      <c r="I322" s="85"/>
      <c r="J322" s="85"/>
      <c r="K322" s="85"/>
      <c r="L322" s="85"/>
      <c r="M322" s="85"/>
      <c r="N322" s="85">
        <v>0</v>
      </c>
      <c r="O322" s="85">
        <v>0</v>
      </c>
      <c r="P322" s="85">
        <v>0</v>
      </c>
      <c r="Q322" s="85">
        <v>0</v>
      </c>
      <c r="R322" s="87">
        <v>0</v>
      </c>
    </row>
    <row r="323" spans="1:23" hidden="1" x14ac:dyDescent="0.25">
      <c r="A323" s="41"/>
      <c r="B323" s="80">
        <v>3</v>
      </c>
      <c r="C323" s="81" t="s">
        <v>30</v>
      </c>
      <c r="D323" s="82">
        <v>71.400000000000006</v>
      </c>
      <c r="E323" s="83">
        <v>3</v>
      </c>
      <c r="F323" s="85">
        <f t="shared" si="184"/>
        <v>0</v>
      </c>
      <c r="G323" s="85"/>
      <c r="H323" s="86"/>
      <c r="I323" s="85"/>
      <c r="J323" s="85"/>
      <c r="K323" s="85"/>
      <c r="L323" s="85"/>
      <c r="M323" s="85"/>
      <c r="N323" s="85">
        <v>0</v>
      </c>
      <c r="O323" s="85">
        <v>0</v>
      </c>
      <c r="P323" s="85">
        <v>0</v>
      </c>
      <c r="Q323" s="85">
        <v>0</v>
      </c>
      <c r="R323" s="87">
        <v>0</v>
      </c>
    </row>
    <row r="324" spans="1:23" hidden="1" x14ac:dyDescent="0.25">
      <c r="A324" s="41"/>
      <c r="B324" s="80">
        <v>4</v>
      </c>
      <c r="C324" s="81" t="s">
        <v>66</v>
      </c>
      <c r="D324" s="82">
        <v>73.59</v>
      </c>
      <c r="E324" s="83">
        <v>1</v>
      </c>
      <c r="F324" s="85">
        <f t="shared" si="184"/>
        <v>0</v>
      </c>
      <c r="G324" s="85"/>
      <c r="H324" s="86"/>
      <c r="I324" s="85"/>
      <c r="J324" s="85"/>
      <c r="K324" s="85"/>
      <c r="L324" s="85"/>
      <c r="M324" s="85"/>
      <c r="N324" s="85">
        <v>0</v>
      </c>
      <c r="O324" s="85">
        <v>0</v>
      </c>
      <c r="P324" s="85">
        <v>0</v>
      </c>
      <c r="Q324" s="85">
        <v>0</v>
      </c>
      <c r="R324" s="87">
        <v>0</v>
      </c>
    </row>
    <row r="325" spans="1:23" hidden="1" x14ac:dyDescent="0.25">
      <c r="A325" s="41"/>
      <c r="B325" s="80">
        <v>5</v>
      </c>
      <c r="C325" s="81" t="s">
        <v>34</v>
      </c>
      <c r="D325" s="82">
        <v>78.25</v>
      </c>
      <c r="E325" s="83">
        <v>1</v>
      </c>
      <c r="F325" s="85">
        <f t="shared" si="184"/>
        <v>0</v>
      </c>
      <c r="G325" s="85"/>
      <c r="H325" s="86"/>
      <c r="I325" s="85"/>
      <c r="J325" s="85"/>
      <c r="K325" s="85"/>
      <c r="L325" s="85"/>
      <c r="M325" s="85"/>
      <c r="N325" s="85">
        <v>0</v>
      </c>
      <c r="O325" s="85">
        <v>0</v>
      </c>
      <c r="P325" s="85">
        <v>0</v>
      </c>
      <c r="Q325" s="85">
        <v>0</v>
      </c>
      <c r="R325" s="87">
        <v>0</v>
      </c>
    </row>
    <row r="326" spans="1:23" s="164" customFormat="1" hidden="1" x14ac:dyDescent="0.25">
      <c r="A326" s="159"/>
      <c r="B326" s="160">
        <v>6</v>
      </c>
      <c r="C326" s="161" t="s">
        <v>48</v>
      </c>
      <c r="D326" s="162">
        <v>71.400000000000006</v>
      </c>
      <c r="E326" s="83">
        <v>8</v>
      </c>
      <c r="F326" s="157">
        <f t="shared" si="184"/>
        <v>0</v>
      </c>
      <c r="G326" s="85"/>
      <c r="H326" s="86"/>
      <c r="I326" s="85"/>
      <c r="J326" s="85"/>
      <c r="K326" s="85"/>
      <c r="L326" s="85"/>
      <c r="M326" s="85"/>
      <c r="N326" s="85">
        <v>0</v>
      </c>
      <c r="O326" s="85">
        <v>0</v>
      </c>
      <c r="P326" s="85">
        <v>0</v>
      </c>
      <c r="Q326" s="85">
        <v>0</v>
      </c>
      <c r="R326" s="87">
        <v>0</v>
      </c>
      <c r="S326" s="2"/>
    </row>
    <row r="327" spans="1:23" hidden="1" x14ac:dyDescent="0.25">
      <c r="A327" s="41"/>
      <c r="B327" s="80">
        <v>7</v>
      </c>
      <c r="C327" s="81" t="s">
        <v>54</v>
      </c>
      <c r="D327" s="82">
        <v>71.400000000000006</v>
      </c>
      <c r="E327" s="83">
        <v>15</v>
      </c>
      <c r="F327" s="85">
        <f t="shared" si="184"/>
        <v>0</v>
      </c>
      <c r="G327" s="85"/>
      <c r="H327" s="86"/>
      <c r="I327" s="85"/>
      <c r="J327" s="85"/>
      <c r="K327" s="85"/>
      <c r="L327" s="85"/>
      <c r="M327" s="85"/>
      <c r="N327" s="85">
        <v>0</v>
      </c>
      <c r="O327" s="85">
        <v>0</v>
      </c>
      <c r="P327" s="85">
        <v>0</v>
      </c>
      <c r="Q327" s="85">
        <v>0</v>
      </c>
      <c r="R327" s="87">
        <v>0</v>
      </c>
    </row>
    <row r="328" spans="1:23" ht="15.75" thickBot="1" x14ac:dyDescent="0.3">
      <c r="A328" s="41"/>
      <c r="B328" s="225"/>
      <c r="C328" s="226" t="s">
        <v>39</v>
      </c>
      <c r="D328" s="227"/>
      <c r="E328" s="228"/>
      <c r="F328" s="232">
        <f xml:space="preserve"> 994870-SUM(F321:F327)-577840</f>
        <v>417030</v>
      </c>
      <c r="G328" s="231"/>
      <c r="H328" s="230"/>
      <c r="I328" s="232"/>
      <c r="J328" s="232"/>
      <c r="K328" s="232"/>
      <c r="L328" s="232"/>
      <c r="M328" s="232"/>
      <c r="N328" s="232"/>
      <c r="O328" s="232"/>
      <c r="P328" s="232"/>
      <c r="Q328" s="232"/>
      <c r="R328" s="302">
        <f>F328</f>
        <v>417030</v>
      </c>
      <c r="S328" s="326"/>
    </row>
    <row r="329" spans="1:23" ht="26.25" x14ac:dyDescent="0.25">
      <c r="A329" s="41"/>
      <c r="B329" s="192"/>
      <c r="C329" s="303" t="s">
        <v>91</v>
      </c>
      <c r="D329" s="194"/>
      <c r="E329" s="194"/>
      <c r="F329" s="195"/>
      <c r="G329" s="195"/>
      <c r="H329" s="196"/>
      <c r="I329" s="195"/>
      <c r="J329" s="195"/>
      <c r="K329" s="195"/>
      <c r="L329" s="195"/>
      <c r="M329" s="195"/>
      <c r="N329" s="195"/>
      <c r="O329" s="195"/>
      <c r="P329" s="195"/>
      <c r="Q329" s="195"/>
      <c r="R329" s="197"/>
      <c r="S329" s="25"/>
    </row>
    <row r="330" spans="1:23" ht="30" customHeight="1" thickBot="1" x14ac:dyDescent="0.3">
      <c r="A330" s="41"/>
      <c r="B330" s="235"/>
      <c r="C330" s="361" t="s">
        <v>126</v>
      </c>
      <c r="D330" s="361"/>
      <c r="E330" s="284">
        <f>SUM(E332:E343)</f>
        <v>0</v>
      </c>
      <c r="F330" s="220">
        <f>SUM(F332:F344)</f>
        <v>4295634</v>
      </c>
      <c r="G330" s="220">
        <f t="shared" ref="G330:Q330" si="185">SUM(G332:G343)</f>
        <v>0</v>
      </c>
      <c r="H330" s="220">
        <f t="shared" si="185"/>
        <v>0</v>
      </c>
      <c r="I330" s="220">
        <f t="shared" si="185"/>
        <v>0</v>
      </c>
      <c r="J330" s="220">
        <f t="shared" si="185"/>
        <v>0</v>
      </c>
      <c r="K330" s="220">
        <f t="shared" si="185"/>
        <v>0</v>
      </c>
      <c r="L330" s="220">
        <f t="shared" si="185"/>
        <v>0</v>
      </c>
      <c r="M330" s="220">
        <f t="shared" si="185"/>
        <v>0</v>
      </c>
      <c r="N330" s="220">
        <f t="shared" si="185"/>
        <v>0</v>
      </c>
      <c r="O330" s="220">
        <f t="shared" si="185"/>
        <v>0</v>
      </c>
      <c r="P330" s="220">
        <f t="shared" si="185"/>
        <v>0</v>
      </c>
      <c r="Q330" s="220">
        <f t="shared" si="185"/>
        <v>0</v>
      </c>
      <c r="R330" s="285">
        <f>SUM(R332:R344)</f>
        <v>4295634</v>
      </c>
      <c r="S330" s="234"/>
      <c r="V330" s="33"/>
    </row>
    <row r="331" spans="1:23" x14ac:dyDescent="0.25">
      <c r="A331" s="41"/>
      <c r="B331" s="80"/>
      <c r="C331" s="123"/>
      <c r="D331" s="123"/>
      <c r="E331" s="75" t="s">
        <v>29</v>
      </c>
      <c r="F331" s="202">
        <v>0</v>
      </c>
      <c r="G331" s="146"/>
      <c r="H331" s="146"/>
      <c r="I331" s="146"/>
      <c r="J331" s="146"/>
      <c r="K331" s="146"/>
      <c r="L331" s="146"/>
      <c r="M331" s="157"/>
      <c r="N331" s="146"/>
      <c r="O331" s="146"/>
      <c r="P331" s="146"/>
      <c r="Q331" s="146"/>
      <c r="R331" s="147"/>
      <c r="S331" s="148"/>
      <c r="V331" s="149"/>
    </row>
    <row r="332" spans="1:23" hidden="1" x14ac:dyDescent="0.25">
      <c r="A332" s="41"/>
      <c r="B332" s="80"/>
      <c r="C332" s="161"/>
      <c r="D332" s="162"/>
      <c r="E332" s="83"/>
      <c r="F332" s="157">
        <f t="shared" ref="F332:F343" si="186">+E332*S332*D332</f>
        <v>0</v>
      </c>
      <c r="G332" s="157"/>
      <c r="H332" s="189"/>
      <c r="I332" s="157"/>
      <c r="J332" s="157"/>
      <c r="K332" s="157"/>
      <c r="L332" s="157"/>
      <c r="M332" s="157"/>
      <c r="N332" s="157"/>
      <c r="O332" s="157"/>
      <c r="P332" s="157"/>
      <c r="Q332" s="157"/>
      <c r="R332" s="158"/>
    </row>
    <row r="333" spans="1:23" s="164" customFormat="1" hidden="1" x14ac:dyDescent="0.25">
      <c r="A333" s="159"/>
      <c r="B333" s="160"/>
      <c r="C333" s="161"/>
      <c r="D333" s="162"/>
      <c r="E333" s="83"/>
      <c r="F333" s="157">
        <f t="shared" si="186"/>
        <v>0</v>
      </c>
      <c r="G333" s="157"/>
      <c r="H333" s="189"/>
      <c r="I333" s="157"/>
      <c r="J333" s="157"/>
      <c r="K333" s="157"/>
      <c r="L333" s="157"/>
      <c r="M333" s="157"/>
      <c r="N333" s="157"/>
      <c r="O333" s="157"/>
      <c r="P333" s="157"/>
      <c r="Q333" s="157"/>
      <c r="R333" s="158"/>
      <c r="S333" s="2"/>
      <c r="T333"/>
      <c r="U333"/>
    </row>
    <row r="334" spans="1:23" s="164" customFormat="1" hidden="1" x14ac:dyDescent="0.25">
      <c r="A334" s="159"/>
      <c r="B334" s="160"/>
      <c r="C334" s="161"/>
      <c r="D334" s="162"/>
      <c r="E334" s="83"/>
      <c r="F334" s="157">
        <f t="shared" si="186"/>
        <v>0</v>
      </c>
      <c r="G334" s="157"/>
      <c r="H334" s="189"/>
      <c r="I334" s="157"/>
      <c r="J334" s="157"/>
      <c r="K334" s="157"/>
      <c r="L334" s="157"/>
      <c r="M334" s="157"/>
      <c r="N334" s="157"/>
      <c r="O334" s="157"/>
      <c r="P334" s="157"/>
      <c r="Q334" s="157"/>
      <c r="R334" s="158"/>
      <c r="S334" s="2"/>
      <c r="T334"/>
      <c r="U334"/>
    </row>
    <row r="335" spans="1:23" s="164" customFormat="1" ht="15.75" hidden="1" customHeight="1" x14ac:dyDescent="0.25">
      <c r="A335" s="159"/>
      <c r="B335" s="160"/>
      <c r="C335" s="161"/>
      <c r="D335" s="162"/>
      <c r="E335" s="239"/>
      <c r="F335" s="157">
        <f t="shared" si="186"/>
        <v>0</v>
      </c>
      <c r="G335" s="157"/>
      <c r="H335" s="189"/>
      <c r="I335" s="157"/>
      <c r="J335" s="157"/>
      <c r="K335" s="157"/>
      <c r="L335" s="157"/>
      <c r="M335" s="157"/>
      <c r="N335" s="157"/>
      <c r="O335" s="157"/>
      <c r="P335" s="157"/>
      <c r="Q335" s="157"/>
      <c r="R335" s="158"/>
      <c r="S335" s="2"/>
      <c r="T335"/>
      <c r="U335"/>
      <c r="W335" s="304"/>
    </row>
    <row r="336" spans="1:23" s="164" customFormat="1" hidden="1" x14ac:dyDescent="0.25">
      <c r="A336" s="159"/>
      <c r="B336" s="160"/>
      <c r="C336" s="161"/>
      <c r="D336" s="162"/>
      <c r="E336" s="83"/>
      <c r="F336" s="157">
        <f t="shared" si="186"/>
        <v>0</v>
      </c>
      <c r="G336" s="157"/>
      <c r="H336" s="189"/>
      <c r="I336" s="157"/>
      <c r="J336" s="157"/>
      <c r="K336" s="157"/>
      <c r="L336" s="157"/>
      <c r="M336" s="157"/>
      <c r="N336" s="157"/>
      <c r="O336" s="157"/>
      <c r="P336" s="157"/>
      <c r="Q336" s="157"/>
      <c r="R336" s="158"/>
      <c r="S336" s="2"/>
      <c r="T336"/>
      <c r="U336"/>
    </row>
    <row r="337" spans="1:21" s="164" customFormat="1" hidden="1" x14ac:dyDescent="0.25">
      <c r="A337" s="159"/>
      <c r="B337" s="160"/>
      <c r="C337" s="161"/>
      <c r="D337" s="162"/>
      <c r="E337" s="83"/>
      <c r="F337" s="157">
        <f t="shared" si="186"/>
        <v>0</v>
      </c>
      <c r="G337" s="157"/>
      <c r="H337" s="189"/>
      <c r="I337" s="157"/>
      <c r="J337" s="157"/>
      <c r="K337" s="157"/>
      <c r="L337" s="157"/>
      <c r="M337" s="157"/>
      <c r="N337" s="157"/>
      <c r="O337" s="157"/>
      <c r="P337" s="157"/>
      <c r="Q337" s="157"/>
      <c r="R337" s="158"/>
      <c r="S337" s="2"/>
      <c r="T337"/>
      <c r="U337"/>
    </row>
    <row r="338" spans="1:21" s="164" customFormat="1" hidden="1" x14ac:dyDescent="0.25">
      <c r="A338" s="159"/>
      <c r="B338" s="160"/>
      <c r="C338" s="161"/>
      <c r="D338" s="162"/>
      <c r="E338" s="83"/>
      <c r="F338" s="157">
        <f t="shared" si="186"/>
        <v>0</v>
      </c>
      <c r="G338" s="157"/>
      <c r="H338" s="189"/>
      <c r="I338" s="157"/>
      <c r="J338" s="157"/>
      <c r="K338" s="157"/>
      <c r="L338" s="157"/>
      <c r="M338" s="157"/>
      <c r="N338" s="157"/>
      <c r="O338" s="157"/>
      <c r="P338" s="157"/>
      <c r="Q338" s="157"/>
      <c r="R338" s="158"/>
      <c r="S338" s="2"/>
      <c r="T338"/>
      <c r="U338"/>
    </row>
    <row r="339" spans="1:21" s="164" customFormat="1" ht="15.75" hidden="1" customHeight="1" x14ac:dyDescent="0.25">
      <c r="A339" s="159"/>
      <c r="B339" s="160"/>
      <c r="C339" s="305"/>
      <c r="D339" s="162"/>
      <c r="E339" s="83"/>
      <c r="F339" s="157">
        <f t="shared" si="186"/>
        <v>0</v>
      </c>
      <c r="G339" s="157"/>
      <c r="H339" s="189"/>
      <c r="I339" s="157"/>
      <c r="J339" s="157"/>
      <c r="K339" s="157"/>
      <c r="L339" s="157"/>
      <c r="M339" s="157"/>
      <c r="N339" s="157"/>
      <c r="O339" s="157"/>
      <c r="P339" s="157"/>
      <c r="Q339" s="157"/>
      <c r="R339" s="158"/>
      <c r="S339" s="2"/>
      <c r="T339"/>
      <c r="U339"/>
    </row>
    <row r="340" spans="1:21" s="164" customFormat="1" hidden="1" x14ac:dyDescent="0.25">
      <c r="A340" s="159"/>
      <c r="B340" s="160"/>
      <c r="C340" s="161"/>
      <c r="D340" s="162"/>
      <c r="E340" s="83"/>
      <c r="F340" s="157">
        <f t="shared" si="186"/>
        <v>0</v>
      </c>
      <c r="G340" s="157"/>
      <c r="H340" s="189"/>
      <c r="I340" s="157"/>
      <c r="J340" s="157"/>
      <c r="K340" s="157"/>
      <c r="L340" s="157"/>
      <c r="M340" s="157"/>
      <c r="N340" s="157"/>
      <c r="O340" s="157"/>
      <c r="P340" s="157"/>
      <c r="Q340" s="157"/>
      <c r="R340" s="158"/>
      <c r="S340" s="2"/>
      <c r="T340"/>
      <c r="U340"/>
    </row>
    <row r="341" spans="1:21" s="164" customFormat="1" hidden="1" x14ac:dyDescent="0.25">
      <c r="A341" s="159"/>
      <c r="B341" s="160"/>
      <c r="C341" s="161"/>
      <c r="D341" s="162"/>
      <c r="E341" s="83"/>
      <c r="F341" s="157">
        <f t="shared" si="186"/>
        <v>0</v>
      </c>
      <c r="G341" s="157"/>
      <c r="H341" s="189"/>
      <c r="I341" s="157"/>
      <c r="J341" s="157"/>
      <c r="K341" s="157"/>
      <c r="L341" s="157"/>
      <c r="M341" s="157"/>
      <c r="N341" s="157"/>
      <c r="O341" s="157"/>
      <c r="P341" s="157"/>
      <c r="Q341" s="157"/>
      <c r="R341" s="158"/>
      <c r="S341" s="2"/>
      <c r="T341"/>
      <c r="U341"/>
    </row>
    <row r="342" spans="1:21" s="311" customFormat="1" hidden="1" x14ac:dyDescent="0.25">
      <c r="A342" s="306"/>
      <c r="B342" s="307"/>
      <c r="C342" s="308"/>
      <c r="D342" s="309"/>
      <c r="E342" s="165"/>
      <c r="F342" s="310">
        <f t="shared" si="186"/>
        <v>0</v>
      </c>
      <c r="G342" s="157"/>
      <c r="H342" s="189"/>
      <c r="I342" s="157"/>
      <c r="J342" s="157"/>
      <c r="K342" s="157"/>
      <c r="L342" s="157"/>
      <c r="M342" s="157"/>
      <c r="N342" s="157"/>
      <c r="O342" s="157"/>
      <c r="P342" s="157"/>
      <c r="Q342" s="157"/>
      <c r="R342" s="158"/>
      <c r="S342" s="2"/>
      <c r="T342"/>
      <c r="U342"/>
    </row>
    <row r="343" spans="1:21" ht="15" hidden="1" customHeight="1" x14ac:dyDescent="0.25">
      <c r="A343" s="41"/>
      <c r="B343" s="160"/>
      <c r="C343" s="161"/>
      <c r="D343" s="162"/>
      <c r="E343" s="83"/>
      <c r="F343" s="157">
        <f t="shared" si="186"/>
        <v>0</v>
      </c>
      <c r="G343" s="157"/>
      <c r="H343" s="189"/>
      <c r="I343" s="157"/>
      <c r="J343" s="157"/>
      <c r="K343" s="157"/>
      <c r="L343" s="157"/>
      <c r="M343" s="157"/>
      <c r="N343" s="157"/>
      <c r="O343" s="157"/>
      <c r="P343" s="157"/>
      <c r="Q343" s="157"/>
      <c r="R343" s="158"/>
    </row>
    <row r="344" spans="1:21" ht="15.75" thickBot="1" x14ac:dyDescent="0.3">
      <c r="A344" s="41"/>
      <c r="B344" s="80"/>
      <c r="C344" s="81" t="s">
        <v>39</v>
      </c>
      <c r="D344" s="82"/>
      <c r="E344" s="116"/>
      <c r="F344" s="85">
        <f xml:space="preserve"> 5903573-SUM(F332:F343)-1607939</f>
        <v>4295634</v>
      </c>
      <c r="G344" s="118"/>
      <c r="H344" s="86"/>
      <c r="I344" s="85"/>
      <c r="J344" s="85"/>
      <c r="K344" s="85"/>
      <c r="L344" s="85"/>
      <c r="M344" s="85"/>
      <c r="N344" s="85"/>
      <c r="O344" s="85"/>
      <c r="P344" s="85"/>
      <c r="Q344" s="85"/>
      <c r="R344" s="158">
        <f>F344</f>
        <v>4295634</v>
      </c>
      <c r="S344" s="312"/>
      <c r="T344" s="7"/>
    </row>
    <row r="345" spans="1:21" ht="15.75" thickBot="1" x14ac:dyDescent="0.3">
      <c r="A345" s="41"/>
      <c r="B345" s="301"/>
      <c r="C345" s="292" t="s">
        <v>93</v>
      </c>
      <c r="D345" s="251"/>
      <c r="E345" s="252">
        <f t="shared" ref="E345:R345" si="187">E347+E359</f>
        <v>249</v>
      </c>
      <c r="F345" s="253">
        <f t="shared" si="187"/>
        <v>3801905</v>
      </c>
      <c r="G345" s="253">
        <f t="shared" si="187"/>
        <v>547085.21000000008</v>
      </c>
      <c r="H345" s="253">
        <f t="shared" si="187"/>
        <v>499210.88000000006</v>
      </c>
      <c r="I345" s="253">
        <f t="shared" si="187"/>
        <v>551512.01</v>
      </c>
      <c r="J345" s="253">
        <f t="shared" si="187"/>
        <v>531579.30000000005</v>
      </c>
      <c r="K345" s="253">
        <f t="shared" si="187"/>
        <v>549298.6100000001</v>
      </c>
      <c r="L345" s="253">
        <f t="shared" si="187"/>
        <v>531579.30000000005</v>
      </c>
      <c r="M345" s="253">
        <f t="shared" si="187"/>
        <v>549298.6100000001</v>
      </c>
      <c r="N345" s="253">
        <f t="shared" si="187"/>
        <v>0</v>
      </c>
      <c r="O345" s="253">
        <f t="shared" si="187"/>
        <v>0</v>
      </c>
      <c r="P345" s="253">
        <f t="shared" si="187"/>
        <v>0</v>
      </c>
      <c r="Q345" s="253">
        <f t="shared" si="187"/>
        <v>0</v>
      </c>
      <c r="R345" s="254">
        <f t="shared" si="187"/>
        <v>42341.080000000075</v>
      </c>
      <c r="S345" s="326">
        <f>F345-SUM(G345:R345)</f>
        <v>0</v>
      </c>
    </row>
    <row r="346" spans="1:21" x14ac:dyDescent="0.25">
      <c r="A346" s="41"/>
      <c r="B346" s="98"/>
      <c r="C346" s="380" t="s">
        <v>42</v>
      </c>
      <c r="D346" s="378"/>
      <c r="E346" s="293"/>
      <c r="F346" s="294"/>
      <c r="G346" s="294"/>
      <c r="H346" s="294"/>
      <c r="I346" s="294"/>
      <c r="J346" s="294"/>
      <c r="K346" s="294"/>
      <c r="L346" s="294"/>
      <c r="M346" s="294"/>
      <c r="N346" s="294"/>
      <c r="O346" s="294"/>
      <c r="P346" s="294"/>
      <c r="Q346" s="294"/>
      <c r="R346" s="295"/>
      <c r="S346" s="25"/>
    </row>
    <row r="347" spans="1:21" ht="31.5" customHeight="1" thickBot="1" x14ac:dyDescent="0.3">
      <c r="A347" s="41"/>
      <c r="B347" s="235"/>
      <c r="C347" s="361" t="s">
        <v>125</v>
      </c>
      <c r="D347" s="361"/>
      <c r="E347" s="284">
        <f>SUM(E349:E356)</f>
        <v>38</v>
      </c>
      <c r="F347" s="220">
        <f t="shared" ref="F347:R347" si="188">SUM(F349:F357)</f>
        <v>577840</v>
      </c>
      <c r="G347" s="220">
        <f t="shared" si="188"/>
        <v>82282.060000000012</v>
      </c>
      <c r="H347" s="220">
        <f t="shared" si="188"/>
        <v>76318.48</v>
      </c>
      <c r="I347" s="220">
        <f t="shared" si="188"/>
        <v>84495.460000000021</v>
      </c>
      <c r="J347" s="220">
        <f t="shared" si="188"/>
        <v>81769.8</v>
      </c>
      <c r="K347" s="220">
        <f t="shared" si="188"/>
        <v>84495.460000000021</v>
      </c>
      <c r="L347" s="220">
        <f t="shared" si="188"/>
        <v>81769.8</v>
      </c>
      <c r="M347" s="220">
        <f t="shared" si="188"/>
        <v>84495.460000000021</v>
      </c>
      <c r="N347" s="220">
        <f t="shared" si="188"/>
        <v>0</v>
      </c>
      <c r="O347" s="220">
        <f t="shared" si="188"/>
        <v>0</v>
      </c>
      <c r="P347" s="220">
        <f t="shared" si="188"/>
        <v>0</v>
      </c>
      <c r="Q347" s="220">
        <f t="shared" si="188"/>
        <v>0</v>
      </c>
      <c r="R347" s="285">
        <f t="shared" si="188"/>
        <v>2213.4799999999814</v>
      </c>
      <c r="S347" s="326">
        <f>F347-SUM(G347:R347)</f>
        <v>0</v>
      </c>
    </row>
    <row r="348" spans="1:21" x14ac:dyDescent="0.25">
      <c r="A348" s="41"/>
      <c r="B348" s="150"/>
      <c r="C348" s="9"/>
      <c r="D348" s="297"/>
      <c r="E348" s="317" t="s">
        <v>29</v>
      </c>
      <c r="F348" s="299">
        <v>0</v>
      </c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9"/>
    </row>
    <row r="349" spans="1:21" x14ac:dyDescent="0.25">
      <c r="A349" s="41"/>
      <c r="B349" s="80">
        <v>1</v>
      </c>
      <c r="C349" s="81" t="s">
        <v>41</v>
      </c>
      <c r="D349" s="82">
        <v>72.540000000000006</v>
      </c>
      <c r="E349" s="83">
        <v>3</v>
      </c>
      <c r="F349" s="85">
        <f t="shared" ref="F349:F356" si="189">+E349*S349*D349</f>
        <v>46135.44</v>
      </c>
      <c r="G349" s="85">
        <f t="shared" ref="G349" si="190">E349*D349*31</f>
        <v>6746.22</v>
      </c>
      <c r="H349" s="86">
        <f t="shared" ref="H349" si="191">E349*D349*28</f>
        <v>6093.3600000000006</v>
      </c>
      <c r="I349" s="85">
        <f t="shared" ref="I349" si="192">E349*D349*31</f>
        <v>6746.22</v>
      </c>
      <c r="J349" s="85">
        <f>E349*D349*30</f>
        <v>6528.6</v>
      </c>
      <c r="K349" s="85">
        <f>E349*D349*31</f>
        <v>6746.22</v>
      </c>
      <c r="L349" s="85">
        <f>E349*D349*30</f>
        <v>6528.6</v>
      </c>
      <c r="M349" s="85">
        <f t="shared" ref="M349" si="193">E349*D349*31</f>
        <v>6746.22</v>
      </c>
      <c r="N349" s="85">
        <v>0</v>
      </c>
      <c r="O349" s="85">
        <v>0</v>
      </c>
      <c r="P349" s="85">
        <v>0</v>
      </c>
      <c r="Q349" s="85">
        <v>0</v>
      </c>
      <c r="R349" s="87">
        <v>0</v>
      </c>
      <c r="S349" s="2">
        <v>212</v>
      </c>
    </row>
    <row r="350" spans="1:21" x14ac:dyDescent="0.25">
      <c r="A350" s="41"/>
      <c r="B350" s="80">
        <v>2</v>
      </c>
      <c r="C350" s="81" t="s">
        <v>71</v>
      </c>
      <c r="D350" s="82">
        <v>71.400000000000006</v>
      </c>
      <c r="E350" s="83">
        <v>7</v>
      </c>
      <c r="F350" s="85">
        <f t="shared" si="189"/>
        <v>105957.6</v>
      </c>
      <c r="G350" s="85">
        <f t="shared" ref="G350:G356" si="194">E350*D350*31</f>
        <v>15493.800000000003</v>
      </c>
      <c r="H350" s="86">
        <f t="shared" ref="H350:H356" si="195">E350*D350*28</f>
        <v>13994.400000000001</v>
      </c>
      <c r="I350" s="85">
        <f t="shared" ref="I350:I356" si="196">E350*D350*31</f>
        <v>15493.800000000003</v>
      </c>
      <c r="J350" s="85">
        <f t="shared" ref="J350:J356" si="197">E350*D350*30</f>
        <v>14994.000000000002</v>
      </c>
      <c r="K350" s="85">
        <f t="shared" ref="K350:K356" si="198">E350*D350*31</f>
        <v>15493.800000000003</v>
      </c>
      <c r="L350" s="85">
        <f t="shared" ref="L350:L356" si="199">E350*D350*30</f>
        <v>14994.000000000002</v>
      </c>
      <c r="M350" s="85">
        <f t="shared" ref="M350:M356" si="200">E350*D350*31</f>
        <v>15493.800000000003</v>
      </c>
      <c r="N350" s="85">
        <v>0</v>
      </c>
      <c r="O350" s="85">
        <v>0</v>
      </c>
      <c r="P350" s="85">
        <v>0</v>
      </c>
      <c r="Q350" s="85">
        <v>0</v>
      </c>
      <c r="R350" s="87">
        <v>0</v>
      </c>
      <c r="S350" s="2">
        <v>212</v>
      </c>
    </row>
    <row r="351" spans="1:21" x14ac:dyDescent="0.25">
      <c r="A351" s="41"/>
      <c r="B351" s="80">
        <v>3</v>
      </c>
      <c r="C351" s="81" t="s">
        <v>30</v>
      </c>
      <c r="D351" s="82">
        <v>71.400000000000006</v>
      </c>
      <c r="E351" s="83">
        <v>3</v>
      </c>
      <c r="F351" s="85">
        <f t="shared" si="189"/>
        <v>45410.400000000001</v>
      </c>
      <c r="G351" s="85">
        <f t="shared" si="194"/>
        <v>6640.2000000000007</v>
      </c>
      <c r="H351" s="86">
        <f t="shared" si="195"/>
        <v>5997.6</v>
      </c>
      <c r="I351" s="85">
        <f t="shared" si="196"/>
        <v>6640.2000000000007</v>
      </c>
      <c r="J351" s="85">
        <f t="shared" si="197"/>
        <v>6426.0000000000009</v>
      </c>
      <c r="K351" s="85">
        <f t="shared" si="198"/>
        <v>6640.2000000000007</v>
      </c>
      <c r="L351" s="85">
        <f t="shared" si="199"/>
        <v>6426.0000000000009</v>
      </c>
      <c r="M351" s="85">
        <f t="shared" si="200"/>
        <v>6640.2000000000007</v>
      </c>
      <c r="N351" s="85">
        <v>0</v>
      </c>
      <c r="O351" s="85">
        <v>0</v>
      </c>
      <c r="P351" s="85">
        <v>0</v>
      </c>
      <c r="Q351" s="85">
        <v>0</v>
      </c>
      <c r="R351" s="87">
        <v>0</v>
      </c>
      <c r="S351" s="2">
        <v>212</v>
      </c>
    </row>
    <row r="352" spans="1:21" x14ac:dyDescent="0.25">
      <c r="A352" s="41"/>
      <c r="B352" s="80">
        <v>4</v>
      </c>
      <c r="C352" s="81" t="s">
        <v>66</v>
      </c>
      <c r="D352" s="82">
        <v>73.59</v>
      </c>
      <c r="E352" s="83">
        <v>1</v>
      </c>
      <c r="F352" s="85">
        <f t="shared" si="189"/>
        <v>15601.08</v>
      </c>
      <c r="G352" s="85">
        <f t="shared" si="194"/>
        <v>2281.29</v>
      </c>
      <c r="H352" s="86">
        <f t="shared" si="195"/>
        <v>2060.52</v>
      </c>
      <c r="I352" s="85">
        <f t="shared" si="196"/>
        <v>2281.29</v>
      </c>
      <c r="J352" s="85">
        <f t="shared" si="197"/>
        <v>2207.7000000000003</v>
      </c>
      <c r="K352" s="85">
        <f t="shared" si="198"/>
        <v>2281.29</v>
      </c>
      <c r="L352" s="85">
        <f t="shared" si="199"/>
        <v>2207.7000000000003</v>
      </c>
      <c r="M352" s="85">
        <f t="shared" si="200"/>
        <v>2281.29</v>
      </c>
      <c r="N352" s="85">
        <v>0</v>
      </c>
      <c r="O352" s="85">
        <v>0</v>
      </c>
      <c r="P352" s="85">
        <v>0</v>
      </c>
      <c r="Q352" s="85">
        <v>0</v>
      </c>
      <c r="R352" s="87">
        <v>0</v>
      </c>
      <c r="S352" s="2">
        <v>212</v>
      </c>
    </row>
    <row r="353" spans="1:23" x14ac:dyDescent="0.25">
      <c r="A353" s="41"/>
      <c r="B353" s="80">
        <v>5</v>
      </c>
      <c r="C353" s="81" t="s">
        <v>34</v>
      </c>
      <c r="D353" s="82">
        <v>78.25</v>
      </c>
      <c r="E353" s="83">
        <v>1</v>
      </c>
      <c r="F353" s="85">
        <f t="shared" si="189"/>
        <v>16589</v>
      </c>
      <c r="G353" s="85">
        <f t="shared" si="194"/>
        <v>2425.75</v>
      </c>
      <c r="H353" s="86">
        <f t="shared" si="195"/>
        <v>2191</v>
      </c>
      <c r="I353" s="85">
        <f t="shared" si="196"/>
        <v>2425.75</v>
      </c>
      <c r="J353" s="85">
        <f t="shared" si="197"/>
        <v>2347.5</v>
      </c>
      <c r="K353" s="85">
        <f t="shared" si="198"/>
        <v>2425.75</v>
      </c>
      <c r="L353" s="85">
        <f t="shared" si="199"/>
        <v>2347.5</v>
      </c>
      <c r="M353" s="85">
        <f t="shared" si="200"/>
        <v>2425.75</v>
      </c>
      <c r="N353" s="85">
        <v>0</v>
      </c>
      <c r="O353" s="85">
        <v>0</v>
      </c>
      <c r="P353" s="85">
        <v>0</v>
      </c>
      <c r="Q353" s="85">
        <v>0</v>
      </c>
      <c r="R353" s="87">
        <v>0</v>
      </c>
      <c r="S353" s="2">
        <v>212</v>
      </c>
    </row>
    <row r="354" spans="1:23" s="164" customFormat="1" x14ac:dyDescent="0.25">
      <c r="A354" s="159"/>
      <c r="B354" s="160">
        <v>6</v>
      </c>
      <c r="C354" s="161" t="s">
        <v>48</v>
      </c>
      <c r="D354" s="162">
        <v>71.400000000000006</v>
      </c>
      <c r="E354" s="83">
        <v>7</v>
      </c>
      <c r="F354" s="157">
        <f t="shared" si="189"/>
        <v>105957.6</v>
      </c>
      <c r="G354" s="85">
        <f t="shared" si="194"/>
        <v>15493.800000000003</v>
      </c>
      <c r="H354" s="86">
        <f t="shared" si="195"/>
        <v>13994.400000000001</v>
      </c>
      <c r="I354" s="85">
        <f t="shared" si="196"/>
        <v>15493.800000000003</v>
      </c>
      <c r="J354" s="85">
        <f t="shared" si="197"/>
        <v>14994.000000000002</v>
      </c>
      <c r="K354" s="85">
        <f t="shared" si="198"/>
        <v>15493.800000000003</v>
      </c>
      <c r="L354" s="85">
        <f t="shared" si="199"/>
        <v>14994.000000000002</v>
      </c>
      <c r="M354" s="85">
        <f t="shared" si="200"/>
        <v>15493.800000000003</v>
      </c>
      <c r="N354" s="85">
        <v>0</v>
      </c>
      <c r="O354" s="85">
        <v>0</v>
      </c>
      <c r="P354" s="85">
        <v>0</v>
      </c>
      <c r="Q354" s="85">
        <v>0</v>
      </c>
      <c r="R354" s="87">
        <v>0</v>
      </c>
      <c r="S354" s="2">
        <v>212</v>
      </c>
    </row>
    <row r="355" spans="1:23" s="164" customFormat="1" x14ac:dyDescent="0.25">
      <c r="A355" s="159"/>
      <c r="B355" s="160">
        <v>6</v>
      </c>
      <c r="C355" s="325" t="s">
        <v>48</v>
      </c>
      <c r="D355" s="162">
        <v>71.400000000000006</v>
      </c>
      <c r="E355" s="83">
        <v>1</v>
      </c>
      <c r="F355" s="157">
        <f t="shared" ref="F355" si="201">+E355*S355*D355</f>
        <v>12923.400000000001</v>
      </c>
      <c r="G355" s="85">
        <v>0</v>
      </c>
      <c r="H355" s="86">
        <f t="shared" ref="H355" si="202">E355*D355*28</f>
        <v>1999.2000000000003</v>
      </c>
      <c r="I355" s="85">
        <f t="shared" ref="I355" si="203">E355*D355*31</f>
        <v>2213.4</v>
      </c>
      <c r="J355" s="85">
        <f t="shared" ref="J355" si="204">E355*D355*30</f>
        <v>2142</v>
      </c>
      <c r="K355" s="85">
        <f t="shared" ref="K355" si="205">E355*D355*31</f>
        <v>2213.4</v>
      </c>
      <c r="L355" s="85">
        <f t="shared" ref="L355" si="206">E355*D355*30</f>
        <v>2142</v>
      </c>
      <c r="M355" s="85">
        <f t="shared" ref="M355" si="207">E355*D355*31</f>
        <v>2213.4</v>
      </c>
      <c r="N355" s="85">
        <v>0</v>
      </c>
      <c r="O355" s="85">
        <v>0</v>
      </c>
      <c r="P355" s="85">
        <v>0</v>
      </c>
      <c r="Q355" s="85">
        <v>0</v>
      </c>
      <c r="R355" s="87">
        <v>0</v>
      </c>
      <c r="S355" s="2">
        <f>212-31</f>
        <v>181</v>
      </c>
    </row>
    <row r="356" spans="1:23" x14ac:dyDescent="0.25">
      <c r="A356" s="41"/>
      <c r="B356" s="80">
        <v>7</v>
      </c>
      <c r="C356" s="81" t="s">
        <v>54</v>
      </c>
      <c r="D356" s="82">
        <v>71.400000000000006</v>
      </c>
      <c r="E356" s="83">
        <v>15</v>
      </c>
      <c r="F356" s="85">
        <f t="shared" si="189"/>
        <v>227052.00000000003</v>
      </c>
      <c r="G356" s="85">
        <f t="shared" si="194"/>
        <v>33201</v>
      </c>
      <c r="H356" s="86">
        <f t="shared" si="195"/>
        <v>29988</v>
      </c>
      <c r="I356" s="85">
        <f t="shared" si="196"/>
        <v>33201</v>
      </c>
      <c r="J356" s="85">
        <f t="shared" si="197"/>
        <v>32130</v>
      </c>
      <c r="K356" s="85">
        <f t="shared" si="198"/>
        <v>33201</v>
      </c>
      <c r="L356" s="85">
        <f t="shared" si="199"/>
        <v>32130</v>
      </c>
      <c r="M356" s="85">
        <f t="shared" si="200"/>
        <v>33201</v>
      </c>
      <c r="N356" s="85">
        <v>0</v>
      </c>
      <c r="O356" s="85">
        <v>0</v>
      </c>
      <c r="P356" s="85">
        <v>0</v>
      </c>
      <c r="Q356" s="85">
        <v>0</v>
      </c>
      <c r="R356" s="87">
        <v>0</v>
      </c>
      <c r="S356" s="2">
        <v>212</v>
      </c>
    </row>
    <row r="357" spans="1:23" ht="15.75" thickBot="1" x14ac:dyDescent="0.3">
      <c r="A357" s="41"/>
      <c r="B357" s="225"/>
      <c r="C357" s="226" t="s">
        <v>39</v>
      </c>
      <c r="D357" s="227"/>
      <c r="E357" s="228"/>
      <c r="F357" s="232">
        <f xml:space="preserve"> 577840-SUM(F349:F356)</f>
        <v>2213.4799999999814</v>
      </c>
      <c r="G357" s="231"/>
      <c r="H357" s="230"/>
      <c r="I357" s="232"/>
      <c r="J357" s="232"/>
      <c r="K357" s="232"/>
      <c r="L357" s="232"/>
      <c r="M357" s="232"/>
      <c r="N357" s="232"/>
      <c r="O357" s="232"/>
      <c r="P357" s="232"/>
      <c r="Q357" s="232"/>
      <c r="R357" s="302">
        <f>F357</f>
        <v>2213.4799999999814</v>
      </c>
      <c r="S357" s="25"/>
    </row>
    <row r="358" spans="1:23" ht="26.25" x14ac:dyDescent="0.25">
      <c r="A358" s="41"/>
      <c r="B358" s="192"/>
      <c r="C358" s="303" t="s">
        <v>91</v>
      </c>
      <c r="D358" s="194"/>
      <c r="E358" s="194"/>
      <c r="F358" s="195"/>
      <c r="G358" s="196"/>
      <c r="H358" s="196"/>
      <c r="I358" s="195"/>
      <c r="J358" s="195"/>
      <c r="K358" s="195"/>
      <c r="L358" s="195"/>
      <c r="M358" s="195"/>
      <c r="N358" s="195"/>
      <c r="O358" s="195"/>
      <c r="P358" s="195"/>
      <c r="Q358" s="195"/>
      <c r="R358" s="197"/>
      <c r="S358" s="25"/>
    </row>
    <row r="359" spans="1:23" ht="30" customHeight="1" thickBot="1" x14ac:dyDescent="0.3">
      <c r="A359" s="41"/>
      <c r="B359" s="235"/>
      <c r="C359" s="361" t="s">
        <v>126</v>
      </c>
      <c r="D359" s="361"/>
      <c r="E359" s="284">
        <f>SUM(E361:E374)</f>
        <v>211</v>
      </c>
      <c r="F359" s="220">
        <f>SUM(F361:F375)</f>
        <v>3224065</v>
      </c>
      <c r="G359" s="220">
        <f t="shared" ref="G359:Q359" si="208">SUM(G361:G374)</f>
        <v>464803.15</v>
      </c>
      <c r="H359" s="220">
        <f t="shared" si="208"/>
        <v>422892.40000000008</v>
      </c>
      <c r="I359" s="220">
        <f t="shared" si="208"/>
        <v>467016.55000000005</v>
      </c>
      <c r="J359" s="220">
        <f t="shared" si="208"/>
        <v>449809.5</v>
      </c>
      <c r="K359" s="220">
        <f t="shared" si="208"/>
        <v>464803.15</v>
      </c>
      <c r="L359" s="220">
        <f t="shared" si="208"/>
        <v>449809.5</v>
      </c>
      <c r="M359" s="220">
        <f t="shared" si="208"/>
        <v>464803.15</v>
      </c>
      <c r="N359" s="220">
        <f t="shared" si="208"/>
        <v>0</v>
      </c>
      <c r="O359" s="220">
        <f t="shared" si="208"/>
        <v>0</v>
      </c>
      <c r="P359" s="220">
        <f t="shared" si="208"/>
        <v>0</v>
      </c>
      <c r="Q359" s="220">
        <f t="shared" si="208"/>
        <v>0</v>
      </c>
      <c r="R359" s="285">
        <f>SUM(R361:R375)</f>
        <v>40127.600000000093</v>
      </c>
      <c r="S359" s="326">
        <f>F359-SUM(G359:R359)</f>
        <v>0</v>
      </c>
      <c r="V359" s="33"/>
    </row>
    <row r="360" spans="1:23" x14ac:dyDescent="0.25">
      <c r="A360" s="41"/>
      <c r="B360" s="80"/>
      <c r="C360" s="123"/>
      <c r="D360" s="123"/>
      <c r="E360" s="75" t="s">
        <v>29</v>
      </c>
      <c r="F360" s="202">
        <v>0</v>
      </c>
      <c r="G360" s="146"/>
      <c r="H360" s="146"/>
      <c r="I360" s="146"/>
      <c r="J360" s="146"/>
      <c r="K360" s="146"/>
      <c r="L360" s="146"/>
      <c r="M360" s="157"/>
      <c r="N360" s="146"/>
      <c r="O360" s="146"/>
      <c r="P360" s="146"/>
      <c r="Q360" s="146"/>
      <c r="R360" s="147"/>
      <c r="S360" s="148"/>
      <c r="V360" s="149"/>
    </row>
    <row r="361" spans="1:23" x14ac:dyDescent="0.25">
      <c r="A361" s="41"/>
      <c r="B361" s="80">
        <v>1</v>
      </c>
      <c r="C361" s="161" t="s">
        <v>41</v>
      </c>
      <c r="D361" s="162">
        <v>72.540000000000006</v>
      </c>
      <c r="E361" s="83">
        <v>16</v>
      </c>
      <c r="F361" s="157">
        <f t="shared" ref="F361:F374" si="209">+E361*S361*D361</f>
        <v>246055.68000000002</v>
      </c>
      <c r="G361" s="157">
        <f t="shared" ref="G361:G374" si="210">E361*D361*31</f>
        <v>35979.840000000004</v>
      </c>
      <c r="H361" s="189">
        <f t="shared" ref="H361:H374" si="211">E361*D361*28</f>
        <v>32497.920000000002</v>
      </c>
      <c r="I361" s="157">
        <f t="shared" ref="I361:I374" si="212">E361*D361*31</f>
        <v>35979.840000000004</v>
      </c>
      <c r="J361" s="157">
        <f t="shared" ref="J361:J374" si="213">E361*D361*30</f>
        <v>34819.200000000004</v>
      </c>
      <c r="K361" s="157">
        <f t="shared" ref="K361:K374" si="214">E361*D361*31</f>
        <v>35979.840000000004</v>
      </c>
      <c r="L361" s="157">
        <f t="shared" ref="L361:L374" si="215">E361*D361*30</f>
        <v>34819.200000000004</v>
      </c>
      <c r="M361" s="157">
        <f>E361*D361*31</f>
        <v>35979.840000000004</v>
      </c>
      <c r="N361" s="157">
        <v>0</v>
      </c>
      <c r="O361" s="157">
        <v>0</v>
      </c>
      <c r="P361" s="157">
        <v>0</v>
      </c>
      <c r="Q361" s="157">
        <v>0</v>
      </c>
      <c r="R361" s="158">
        <v>0</v>
      </c>
      <c r="S361" s="2">
        <v>212</v>
      </c>
    </row>
    <row r="362" spans="1:23" s="164" customFormat="1" x14ac:dyDescent="0.25">
      <c r="A362" s="159"/>
      <c r="B362" s="160">
        <v>2</v>
      </c>
      <c r="C362" s="161" t="s">
        <v>71</v>
      </c>
      <c r="D362" s="162">
        <v>71.400000000000006</v>
      </c>
      <c r="E362" s="83">
        <v>16</v>
      </c>
      <c r="F362" s="157">
        <f t="shared" si="209"/>
        <v>242188.80000000002</v>
      </c>
      <c r="G362" s="157">
        <f t="shared" si="210"/>
        <v>35414.400000000001</v>
      </c>
      <c r="H362" s="189">
        <f t="shared" si="211"/>
        <v>31987.200000000004</v>
      </c>
      <c r="I362" s="157">
        <f t="shared" si="212"/>
        <v>35414.400000000001</v>
      </c>
      <c r="J362" s="157">
        <f t="shared" si="213"/>
        <v>34272</v>
      </c>
      <c r="K362" s="157">
        <f t="shared" si="214"/>
        <v>35414.400000000001</v>
      </c>
      <c r="L362" s="157">
        <f t="shared" si="215"/>
        <v>34272</v>
      </c>
      <c r="M362" s="157">
        <f t="shared" ref="M362:M374" si="216">E362*D362*31</f>
        <v>35414.400000000001</v>
      </c>
      <c r="N362" s="157">
        <v>0</v>
      </c>
      <c r="O362" s="157">
        <v>0</v>
      </c>
      <c r="P362" s="157">
        <v>0</v>
      </c>
      <c r="Q362" s="157">
        <v>0</v>
      </c>
      <c r="R362" s="158">
        <v>0</v>
      </c>
      <c r="S362" s="2">
        <v>212</v>
      </c>
      <c r="T362"/>
      <c r="U362"/>
    </row>
    <row r="363" spans="1:23" s="164" customFormat="1" x14ac:dyDescent="0.25">
      <c r="A363" s="159"/>
      <c r="B363" s="160">
        <v>3</v>
      </c>
      <c r="C363" s="161" t="s">
        <v>94</v>
      </c>
      <c r="D363" s="162">
        <v>71.400000000000006</v>
      </c>
      <c r="E363" s="83">
        <v>2</v>
      </c>
      <c r="F363" s="157">
        <f t="shared" si="209"/>
        <v>30273.600000000002</v>
      </c>
      <c r="G363" s="157">
        <f t="shared" si="210"/>
        <v>4426.8</v>
      </c>
      <c r="H363" s="189">
        <f t="shared" si="211"/>
        <v>3998.4000000000005</v>
      </c>
      <c r="I363" s="157">
        <f t="shared" si="212"/>
        <v>4426.8</v>
      </c>
      <c r="J363" s="157">
        <f t="shared" si="213"/>
        <v>4284</v>
      </c>
      <c r="K363" s="157">
        <f t="shared" si="214"/>
        <v>4426.8</v>
      </c>
      <c r="L363" s="157">
        <f t="shared" si="215"/>
        <v>4284</v>
      </c>
      <c r="M363" s="157">
        <f t="shared" si="216"/>
        <v>4426.8</v>
      </c>
      <c r="N363" s="157">
        <v>0</v>
      </c>
      <c r="O363" s="157">
        <v>0</v>
      </c>
      <c r="P363" s="157">
        <v>0</v>
      </c>
      <c r="Q363" s="157">
        <v>0</v>
      </c>
      <c r="R363" s="158">
        <v>0</v>
      </c>
      <c r="S363" s="2">
        <v>212</v>
      </c>
      <c r="T363"/>
      <c r="U363"/>
    </row>
    <row r="364" spans="1:23" s="164" customFormat="1" ht="15.75" customHeight="1" x14ac:dyDescent="0.25">
      <c r="A364" s="159"/>
      <c r="B364" s="160">
        <v>4</v>
      </c>
      <c r="C364" s="161" t="s">
        <v>95</v>
      </c>
      <c r="D364" s="162">
        <v>75.64</v>
      </c>
      <c r="E364" s="239">
        <v>1</v>
      </c>
      <c r="F364" s="157">
        <f t="shared" si="209"/>
        <v>16035.68</v>
      </c>
      <c r="G364" s="157">
        <f t="shared" si="210"/>
        <v>2344.84</v>
      </c>
      <c r="H364" s="189">
        <f t="shared" si="211"/>
        <v>2117.92</v>
      </c>
      <c r="I364" s="157">
        <f t="shared" si="212"/>
        <v>2344.84</v>
      </c>
      <c r="J364" s="157">
        <f t="shared" si="213"/>
        <v>2269.1999999999998</v>
      </c>
      <c r="K364" s="157">
        <f t="shared" si="214"/>
        <v>2344.84</v>
      </c>
      <c r="L364" s="157">
        <f t="shared" si="215"/>
        <v>2269.1999999999998</v>
      </c>
      <c r="M364" s="157">
        <f t="shared" si="216"/>
        <v>2344.84</v>
      </c>
      <c r="N364" s="157">
        <v>0</v>
      </c>
      <c r="O364" s="157">
        <v>0</v>
      </c>
      <c r="P364" s="157">
        <v>0</v>
      </c>
      <c r="Q364" s="157">
        <v>0</v>
      </c>
      <c r="R364" s="158">
        <v>0</v>
      </c>
      <c r="S364" s="2">
        <v>212</v>
      </c>
      <c r="T364"/>
      <c r="U364"/>
      <c r="W364" s="304"/>
    </row>
    <row r="365" spans="1:23" s="164" customFormat="1" x14ac:dyDescent="0.25">
      <c r="A365" s="159"/>
      <c r="B365" s="160">
        <v>5</v>
      </c>
      <c r="C365" s="161" t="s">
        <v>30</v>
      </c>
      <c r="D365" s="162">
        <v>71.400000000000006</v>
      </c>
      <c r="E365" s="83">
        <v>16</v>
      </c>
      <c r="F365" s="157">
        <f t="shared" si="209"/>
        <v>242188.80000000002</v>
      </c>
      <c r="G365" s="157">
        <f t="shared" si="210"/>
        <v>35414.400000000001</v>
      </c>
      <c r="H365" s="189">
        <f t="shared" si="211"/>
        <v>31987.200000000004</v>
      </c>
      <c r="I365" s="157">
        <f t="shared" si="212"/>
        <v>35414.400000000001</v>
      </c>
      <c r="J365" s="157">
        <f t="shared" si="213"/>
        <v>34272</v>
      </c>
      <c r="K365" s="157">
        <f t="shared" si="214"/>
        <v>35414.400000000001</v>
      </c>
      <c r="L365" s="157">
        <f t="shared" si="215"/>
        <v>34272</v>
      </c>
      <c r="M365" s="157">
        <f t="shared" si="216"/>
        <v>35414.400000000001</v>
      </c>
      <c r="N365" s="157">
        <v>0</v>
      </c>
      <c r="O365" s="157">
        <v>0</v>
      </c>
      <c r="P365" s="157">
        <v>0</v>
      </c>
      <c r="Q365" s="157">
        <v>0</v>
      </c>
      <c r="R365" s="158">
        <v>0</v>
      </c>
      <c r="S365" s="2">
        <v>212</v>
      </c>
      <c r="T365"/>
      <c r="U365"/>
    </row>
    <row r="366" spans="1:23" s="164" customFormat="1" x14ac:dyDescent="0.25">
      <c r="A366" s="159"/>
      <c r="B366" s="160">
        <v>6</v>
      </c>
      <c r="C366" s="161" t="s">
        <v>96</v>
      </c>
      <c r="D366" s="162">
        <v>76.59</v>
      </c>
      <c r="E366" s="83">
        <v>1</v>
      </c>
      <c r="F366" s="157">
        <f t="shared" si="209"/>
        <v>16237.08</v>
      </c>
      <c r="G366" s="157">
        <f t="shared" si="210"/>
        <v>2374.29</v>
      </c>
      <c r="H366" s="189">
        <f t="shared" si="211"/>
        <v>2144.52</v>
      </c>
      <c r="I366" s="157">
        <f t="shared" si="212"/>
        <v>2374.29</v>
      </c>
      <c r="J366" s="157">
        <f t="shared" si="213"/>
        <v>2297.7000000000003</v>
      </c>
      <c r="K366" s="157">
        <f t="shared" si="214"/>
        <v>2374.29</v>
      </c>
      <c r="L366" s="157">
        <f t="shared" si="215"/>
        <v>2297.7000000000003</v>
      </c>
      <c r="M366" s="157">
        <f t="shared" si="216"/>
        <v>2374.29</v>
      </c>
      <c r="N366" s="157">
        <v>0</v>
      </c>
      <c r="O366" s="157">
        <v>0</v>
      </c>
      <c r="P366" s="157">
        <v>0</v>
      </c>
      <c r="Q366" s="157">
        <v>0</v>
      </c>
      <c r="R366" s="158">
        <v>0</v>
      </c>
      <c r="S366" s="2">
        <v>212</v>
      </c>
      <c r="T366"/>
      <c r="U366"/>
    </row>
    <row r="367" spans="1:23" s="164" customFormat="1" x14ac:dyDescent="0.25">
      <c r="A367" s="159"/>
      <c r="B367" s="160">
        <v>7</v>
      </c>
      <c r="C367" s="161" t="s">
        <v>76</v>
      </c>
      <c r="D367" s="162">
        <v>72.540000000000006</v>
      </c>
      <c r="E367" s="83">
        <v>1</v>
      </c>
      <c r="F367" s="157">
        <f t="shared" si="209"/>
        <v>15378.480000000001</v>
      </c>
      <c r="G367" s="157">
        <f t="shared" si="210"/>
        <v>2248.7400000000002</v>
      </c>
      <c r="H367" s="189">
        <f t="shared" si="211"/>
        <v>2031.1200000000001</v>
      </c>
      <c r="I367" s="157">
        <f t="shared" si="212"/>
        <v>2248.7400000000002</v>
      </c>
      <c r="J367" s="157">
        <f t="shared" si="213"/>
        <v>2176.2000000000003</v>
      </c>
      <c r="K367" s="157">
        <f t="shared" si="214"/>
        <v>2248.7400000000002</v>
      </c>
      <c r="L367" s="157">
        <f t="shared" si="215"/>
        <v>2176.2000000000003</v>
      </c>
      <c r="M367" s="157">
        <f t="shared" si="216"/>
        <v>2248.7400000000002</v>
      </c>
      <c r="N367" s="157">
        <v>0</v>
      </c>
      <c r="O367" s="157">
        <v>0</v>
      </c>
      <c r="P367" s="157">
        <v>0</v>
      </c>
      <c r="Q367" s="157">
        <v>0</v>
      </c>
      <c r="R367" s="158">
        <v>0</v>
      </c>
      <c r="S367" s="2">
        <v>212</v>
      </c>
      <c r="T367"/>
      <c r="U367"/>
    </row>
    <row r="368" spans="1:23" s="164" customFormat="1" ht="15.75" customHeight="1" x14ac:dyDescent="0.25">
      <c r="A368" s="159"/>
      <c r="B368" s="160">
        <v>8</v>
      </c>
      <c r="C368" s="305" t="s">
        <v>31</v>
      </c>
      <c r="D368" s="162">
        <v>72.540000000000006</v>
      </c>
      <c r="E368" s="83">
        <v>1</v>
      </c>
      <c r="F368" s="157">
        <f t="shared" si="209"/>
        <v>15378.480000000001</v>
      </c>
      <c r="G368" s="157">
        <f t="shared" si="210"/>
        <v>2248.7400000000002</v>
      </c>
      <c r="H368" s="189">
        <f t="shared" si="211"/>
        <v>2031.1200000000001</v>
      </c>
      <c r="I368" s="157">
        <f t="shared" si="212"/>
        <v>2248.7400000000002</v>
      </c>
      <c r="J368" s="157">
        <f t="shared" si="213"/>
        <v>2176.2000000000003</v>
      </c>
      <c r="K368" s="157">
        <f t="shared" si="214"/>
        <v>2248.7400000000002</v>
      </c>
      <c r="L368" s="157">
        <f t="shared" si="215"/>
        <v>2176.2000000000003</v>
      </c>
      <c r="M368" s="157">
        <f t="shared" si="216"/>
        <v>2248.7400000000002</v>
      </c>
      <c r="N368" s="157">
        <v>0</v>
      </c>
      <c r="O368" s="157">
        <v>0</v>
      </c>
      <c r="P368" s="157">
        <v>0</v>
      </c>
      <c r="Q368" s="157">
        <v>0</v>
      </c>
      <c r="R368" s="158">
        <v>0</v>
      </c>
      <c r="S368" s="2">
        <v>212</v>
      </c>
      <c r="T368"/>
      <c r="U368"/>
    </row>
    <row r="369" spans="1:21" s="164" customFormat="1" x14ac:dyDescent="0.25">
      <c r="A369" s="159"/>
      <c r="B369" s="160">
        <v>9</v>
      </c>
      <c r="C369" s="161" t="s">
        <v>34</v>
      </c>
      <c r="D369" s="162">
        <v>78.25</v>
      </c>
      <c r="E369" s="83">
        <v>5</v>
      </c>
      <c r="F369" s="157">
        <f t="shared" si="209"/>
        <v>82945</v>
      </c>
      <c r="G369" s="157">
        <f t="shared" si="210"/>
        <v>12128.75</v>
      </c>
      <c r="H369" s="189">
        <f t="shared" si="211"/>
        <v>10955</v>
      </c>
      <c r="I369" s="157">
        <f t="shared" si="212"/>
        <v>12128.75</v>
      </c>
      <c r="J369" s="157">
        <f t="shared" si="213"/>
        <v>11737.5</v>
      </c>
      <c r="K369" s="157">
        <f t="shared" si="214"/>
        <v>12128.75</v>
      </c>
      <c r="L369" s="157">
        <f t="shared" si="215"/>
        <v>11737.5</v>
      </c>
      <c r="M369" s="157">
        <f t="shared" si="216"/>
        <v>12128.75</v>
      </c>
      <c r="N369" s="157">
        <v>0</v>
      </c>
      <c r="O369" s="157">
        <v>0</v>
      </c>
      <c r="P369" s="157">
        <v>0</v>
      </c>
      <c r="Q369" s="157">
        <v>0</v>
      </c>
      <c r="R369" s="158">
        <v>0</v>
      </c>
      <c r="S369" s="2">
        <v>212</v>
      </c>
      <c r="T369"/>
      <c r="U369"/>
    </row>
    <row r="370" spans="1:21" s="164" customFormat="1" x14ac:dyDescent="0.25">
      <c r="A370" s="159"/>
      <c r="B370" s="160">
        <v>10</v>
      </c>
      <c r="C370" s="161" t="s">
        <v>48</v>
      </c>
      <c r="D370" s="162">
        <v>71.400000000000006</v>
      </c>
      <c r="E370" s="83">
        <v>128</v>
      </c>
      <c r="F370" s="157">
        <f t="shared" si="209"/>
        <v>1937510.4000000001</v>
      </c>
      <c r="G370" s="157">
        <f t="shared" si="210"/>
        <v>283315.20000000001</v>
      </c>
      <c r="H370" s="189">
        <f t="shared" si="211"/>
        <v>255897.60000000003</v>
      </c>
      <c r="I370" s="157">
        <f t="shared" si="212"/>
        <v>283315.20000000001</v>
      </c>
      <c r="J370" s="157">
        <f t="shared" si="213"/>
        <v>274176</v>
      </c>
      <c r="K370" s="157">
        <f t="shared" si="214"/>
        <v>283315.20000000001</v>
      </c>
      <c r="L370" s="157">
        <f t="shared" si="215"/>
        <v>274176</v>
      </c>
      <c r="M370" s="157">
        <f t="shared" si="216"/>
        <v>283315.20000000001</v>
      </c>
      <c r="N370" s="157">
        <v>0</v>
      </c>
      <c r="O370" s="157">
        <v>0</v>
      </c>
      <c r="P370" s="157">
        <v>0</v>
      </c>
      <c r="Q370" s="157">
        <v>0</v>
      </c>
      <c r="R370" s="158">
        <v>0</v>
      </c>
      <c r="S370" s="2">
        <v>212</v>
      </c>
      <c r="T370"/>
      <c r="U370"/>
    </row>
    <row r="371" spans="1:21" s="311" customFormat="1" x14ac:dyDescent="0.25">
      <c r="A371" s="306"/>
      <c r="B371" s="307">
        <v>11</v>
      </c>
      <c r="C371" s="308" t="s">
        <v>54</v>
      </c>
      <c r="D371" s="309">
        <v>71.400000000000006</v>
      </c>
      <c r="E371" s="165">
        <v>21</v>
      </c>
      <c r="F371" s="310">
        <f t="shared" si="209"/>
        <v>317872.80000000005</v>
      </c>
      <c r="G371" s="157">
        <f t="shared" si="210"/>
        <v>46481.4</v>
      </c>
      <c r="H371" s="189">
        <f t="shared" si="211"/>
        <v>41983.200000000004</v>
      </c>
      <c r="I371" s="157">
        <f t="shared" si="212"/>
        <v>46481.4</v>
      </c>
      <c r="J371" s="157">
        <f t="shared" si="213"/>
        <v>44982</v>
      </c>
      <c r="K371" s="157">
        <f t="shared" si="214"/>
        <v>46481.4</v>
      </c>
      <c r="L371" s="157">
        <f t="shared" si="215"/>
        <v>44982</v>
      </c>
      <c r="M371" s="157">
        <f t="shared" si="216"/>
        <v>46481.4</v>
      </c>
      <c r="N371" s="157">
        <v>0</v>
      </c>
      <c r="O371" s="157">
        <v>0</v>
      </c>
      <c r="P371" s="157">
        <v>0</v>
      </c>
      <c r="Q371" s="157">
        <v>0</v>
      </c>
      <c r="R371" s="158">
        <v>0</v>
      </c>
      <c r="S371" s="2">
        <v>212</v>
      </c>
      <c r="T371"/>
      <c r="U371"/>
    </row>
    <row r="372" spans="1:21" s="311" customFormat="1" x14ac:dyDescent="0.25">
      <c r="A372" s="306"/>
      <c r="B372" s="307">
        <v>11</v>
      </c>
      <c r="C372" s="308" t="s">
        <v>54</v>
      </c>
      <c r="D372" s="309">
        <v>71.400000000000006</v>
      </c>
      <c r="E372" s="165">
        <v>1</v>
      </c>
      <c r="F372" s="310">
        <f t="shared" ref="F372" si="217">+E372*S372*D372</f>
        <v>0</v>
      </c>
      <c r="G372" s="157">
        <v>0</v>
      </c>
      <c r="H372" s="189">
        <v>0</v>
      </c>
      <c r="I372" s="157">
        <v>0</v>
      </c>
      <c r="J372" s="157">
        <v>0</v>
      </c>
      <c r="K372" s="157">
        <v>0</v>
      </c>
      <c r="L372" s="157">
        <v>0</v>
      </c>
      <c r="M372" s="157">
        <v>0</v>
      </c>
      <c r="N372" s="157">
        <v>0</v>
      </c>
      <c r="O372" s="157">
        <v>0</v>
      </c>
      <c r="P372" s="157">
        <v>0</v>
      </c>
      <c r="Q372" s="157">
        <v>0</v>
      </c>
      <c r="R372" s="158">
        <v>0</v>
      </c>
      <c r="S372" s="2">
        <v>0</v>
      </c>
      <c r="T372"/>
      <c r="U372"/>
    </row>
    <row r="373" spans="1:21" x14ac:dyDescent="0.25">
      <c r="A373" s="41"/>
      <c r="B373" s="331">
        <v>5</v>
      </c>
      <c r="C373" s="330" t="s">
        <v>128</v>
      </c>
      <c r="D373" s="309">
        <v>71.400000000000006</v>
      </c>
      <c r="E373" s="83">
        <v>1</v>
      </c>
      <c r="F373" s="85">
        <f>+E373*S373*D373</f>
        <v>5283.6</v>
      </c>
      <c r="G373" s="85">
        <v>0</v>
      </c>
      <c r="H373" s="86">
        <f>E373*D373*28+D373*E373*15</f>
        <v>3070.2000000000003</v>
      </c>
      <c r="I373" s="85">
        <f>E373*D373*31</f>
        <v>2213.4</v>
      </c>
      <c r="J373" s="85">
        <v>0</v>
      </c>
      <c r="K373" s="85">
        <v>0</v>
      </c>
      <c r="L373" s="85">
        <v>0</v>
      </c>
      <c r="M373" s="85">
        <v>0</v>
      </c>
      <c r="N373" s="85">
        <v>0</v>
      </c>
      <c r="O373" s="85">
        <v>0</v>
      </c>
      <c r="P373" s="85">
        <v>0</v>
      </c>
      <c r="Q373" s="85">
        <v>0</v>
      </c>
      <c r="R373" s="87">
        <v>0</v>
      </c>
      <c r="S373" s="2">
        <f>15+28+31</f>
        <v>74</v>
      </c>
    </row>
    <row r="374" spans="1:21" ht="15" customHeight="1" x14ac:dyDescent="0.25">
      <c r="A374" s="41"/>
      <c r="B374" s="160">
        <v>12</v>
      </c>
      <c r="C374" s="161" t="s">
        <v>97</v>
      </c>
      <c r="D374" s="162">
        <v>78.25</v>
      </c>
      <c r="E374" s="83">
        <v>1</v>
      </c>
      <c r="F374" s="157">
        <f t="shared" si="209"/>
        <v>16589</v>
      </c>
      <c r="G374" s="157">
        <f t="shared" si="210"/>
        <v>2425.75</v>
      </c>
      <c r="H374" s="189">
        <f t="shared" si="211"/>
        <v>2191</v>
      </c>
      <c r="I374" s="157">
        <f t="shared" si="212"/>
        <v>2425.75</v>
      </c>
      <c r="J374" s="157">
        <f t="shared" si="213"/>
        <v>2347.5</v>
      </c>
      <c r="K374" s="157">
        <f t="shared" si="214"/>
        <v>2425.75</v>
      </c>
      <c r="L374" s="157">
        <f t="shared" si="215"/>
        <v>2347.5</v>
      </c>
      <c r="M374" s="157">
        <f t="shared" si="216"/>
        <v>2425.75</v>
      </c>
      <c r="N374" s="157">
        <v>0</v>
      </c>
      <c r="O374" s="157">
        <v>0</v>
      </c>
      <c r="P374" s="157">
        <v>0</v>
      </c>
      <c r="Q374" s="157">
        <v>0</v>
      </c>
      <c r="R374" s="158">
        <v>0</v>
      </c>
      <c r="S374" s="2">
        <v>212</v>
      </c>
    </row>
    <row r="375" spans="1:21" ht="15.75" thickBot="1" x14ac:dyDescent="0.3">
      <c r="A375" s="41"/>
      <c r="B375" s="225"/>
      <c r="C375" s="226" t="s">
        <v>39</v>
      </c>
      <c r="D375" s="227"/>
      <c r="E375" s="228"/>
      <c r="F375" s="232">
        <f>3224065-SUM(F361:F374)</f>
        <v>40127.600000000093</v>
      </c>
      <c r="G375" s="231"/>
      <c r="H375" s="230"/>
      <c r="I375" s="232"/>
      <c r="J375" s="232"/>
      <c r="K375" s="232"/>
      <c r="L375" s="232"/>
      <c r="M375" s="232"/>
      <c r="N375" s="232"/>
      <c r="O375" s="232"/>
      <c r="P375" s="232"/>
      <c r="Q375" s="232"/>
      <c r="R375" s="313">
        <f>F375</f>
        <v>40127.600000000093</v>
      </c>
      <c r="S375" s="312"/>
      <c r="T375" s="7"/>
    </row>
    <row r="376" spans="1:21" x14ac:dyDescent="0.25">
      <c r="K376" s="7"/>
    </row>
  </sheetData>
  <mergeCells count="60">
    <mergeCell ref="C305:D305"/>
    <mergeCell ref="C261:D261"/>
    <mergeCell ref="C262:D262"/>
    <mergeCell ref="C306:D306"/>
    <mergeCell ref="C239:D239"/>
    <mergeCell ref="C359:D359"/>
    <mergeCell ref="C314:D314"/>
    <mergeCell ref="C318:D318"/>
    <mergeCell ref="C319:D319"/>
    <mergeCell ref="C330:D330"/>
    <mergeCell ref="C346:D346"/>
    <mergeCell ref="C347:D347"/>
    <mergeCell ref="C310:D310"/>
    <mergeCell ref="C275:D275"/>
    <mergeCell ref="C276:D276"/>
    <mergeCell ref="C277:D277"/>
    <mergeCell ref="C280:D281"/>
    <mergeCell ref="C284:D285"/>
    <mergeCell ref="C301:D301"/>
    <mergeCell ref="C210:D210"/>
    <mergeCell ref="C289:D289"/>
    <mergeCell ref="C292:D293"/>
    <mergeCell ref="C296:D297"/>
    <mergeCell ref="C133:D133"/>
    <mergeCell ref="B181:D181"/>
    <mergeCell ref="C189:D189"/>
    <mergeCell ref="C194:D194"/>
    <mergeCell ref="C195:D195"/>
    <mergeCell ref="C209:D209"/>
    <mergeCell ref="C156:D156"/>
    <mergeCell ref="C168:D168"/>
    <mergeCell ref="C172:D172"/>
    <mergeCell ref="C176:D176"/>
    <mergeCell ref="C180:D180"/>
    <mergeCell ref="C263:D263"/>
    <mergeCell ref="C106:D106"/>
    <mergeCell ref="C113:D113"/>
    <mergeCell ref="C119:D119"/>
    <mergeCell ref="C126:D126"/>
    <mergeCell ref="C50:D50"/>
    <mergeCell ref="C51:D51"/>
    <mergeCell ref="C68:D68"/>
    <mergeCell ref="C79:D79"/>
    <mergeCell ref="C88:D88"/>
    <mergeCell ref="C132:D132"/>
    <mergeCell ref="C49:D49"/>
    <mergeCell ref="B3:R3"/>
    <mergeCell ref="B4:R4"/>
    <mergeCell ref="B11:R11"/>
    <mergeCell ref="C12:C13"/>
    <mergeCell ref="D12:D13"/>
    <mergeCell ref="E12:E13"/>
    <mergeCell ref="F12:F13"/>
    <mergeCell ref="G12:R12"/>
    <mergeCell ref="C22:D22"/>
    <mergeCell ref="C36:D36"/>
    <mergeCell ref="C37:D37"/>
    <mergeCell ref="C38:D38"/>
    <mergeCell ref="C44:D44"/>
    <mergeCell ref="C98:D98"/>
  </mergeCells>
  <pageMargins left="0.25" right="0.25" top="0.75" bottom="0.75" header="0.3" footer="0.3"/>
  <pageSetup paperSize="14" scale="54" fitToHeight="0" orientation="landscape" r:id="rId1"/>
  <headerFooter>
    <oddFooter xml:space="preserve">&amp;L&amp;P
</oddFooter>
  </headerFooter>
  <ignoredErrors>
    <ignoredError sqref="F15:F17 F27:F34 F36:F38 F44 F19:F22 F96 F98 F108:F111 F117:F133 F104 F106 F153 F155:F156 F164:F165 F186:F195 F207 F209:F210 F238:F239 F245:F258 F275:F319 F262:F263 F321:F330 F332:F347 F356:F359 F361:F362 F24 F212 F349:F354 F135:F138 F83:F88 F46:F61 F90:F94 F197 F215:F216 F40 F63:F75 H76 F113:F115 F100:F101 F141:F151 H152 F167:F184 H185 F158:F161 F199:F205 H206 F241:F243 H244 F218:F231 F77:F8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DGA-031 REPRO</vt:lpstr>
      <vt:lpstr>'DGA-031 REPRO'!Área_de_impresión</vt:lpstr>
      <vt:lpstr>'DGA-031 REPRO'!Títulos_a_imprimir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Alfonso</cp:lastModifiedBy>
  <cp:lastPrinted>2022-02-08T18:11:28Z</cp:lastPrinted>
  <dcterms:created xsi:type="dcterms:W3CDTF">2022-01-05T22:31:38Z</dcterms:created>
  <dcterms:modified xsi:type="dcterms:W3CDTF">2022-02-08T18:18:19Z</dcterms:modified>
</cp:coreProperties>
</file>