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fonso\Desktop\Reprogramación 031 2022\"/>
    </mc:Choice>
  </mc:AlternateContent>
  <bookViews>
    <workbookView xWindow="0" yWindow="0" windowWidth="28800" windowHeight="12330"/>
  </bookViews>
  <sheets>
    <sheet name="DGA-031 REPRO" sheetId="1" r:id="rId1"/>
  </sheets>
  <definedNames>
    <definedName name="_xlnm.Print_Area" localSheetId="0">'DGA-031 REPRO'!$A$1:$R$389</definedName>
    <definedName name="_xlnm.Print_Titles" localSheetId="0">'DGA-031 REPRO'!$12:$13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7" i="1" l="1"/>
  <c r="H167" i="1"/>
  <c r="G167" i="1"/>
  <c r="F167" i="1"/>
  <c r="S143" i="1" l="1"/>
  <c r="F143" i="1" s="1"/>
  <c r="H143" i="1"/>
  <c r="G143" i="1"/>
  <c r="S145" i="1"/>
  <c r="S144" i="1"/>
  <c r="F144" i="1" s="1"/>
  <c r="M145" i="1"/>
  <c r="L145" i="1"/>
  <c r="K145" i="1"/>
  <c r="J145" i="1"/>
  <c r="I145" i="1"/>
  <c r="F145" i="1"/>
  <c r="H144" i="1"/>
  <c r="G144" i="1"/>
  <c r="S152" i="1"/>
  <c r="S151" i="1"/>
  <c r="M152" i="1"/>
  <c r="L152" i="1"/>
  <c r="K152" i="1"/>
  <c r="J152" i="1"/>
  <c r="I152" i="1"/>
  <c r="F152" i="1"/>
  <c r="H151" i="1"/>
  <c r="G151" i="1"/>
  <c r="F151" i="1"/>
  <c r="S386" i="1"/>
  <c r="F386" i="1" s="1"/>
  <c r="M386" i="1"/>
  <c r="L386" i="1"/>
  <c r="K386" i="1"/>
  <c r="J386" i="1"/>
  <c r="I386" i="1"/>
  <c r="S27" i="1" l="1"/>
  <c r="F27" i="1"/>
  <c r="J27" i="1"/>
  <c r="M27" i="1"/>
  <c r="L27" i="1"/>
  <c r="K27" i="1"/>
  <c r="S231" i="1"/>
  <c r="S221" i="1"/>
  <c r="T21" i="1" l="1"/>
  <c r="S367" i="1"/>
  <c r="S235" i="1"/>
  <c r="F235" i="1" s="1"/>
  <c r="M235" i="1"/>
  <c r="L235" i="1"/>
  <c r="K235" i="1"/>
  <c r="J235" i="1"/>
  <c r="I235" i="1"/>
  <c r="G235" i="1"/>
  <c r="F221" i="1"/>
  <c r="G221" i="1"/>
  <c r="H97" i="1"/>
  <c r="S97" i="1"/>
  <c r="S65" i="1"/>
  <c r="F65" i="1"/>
  <c r="M65" i="1"/>
  <c r="L65" i="1"/>
  <c r="K65" i="1"/>
  <c r="J65" i="1"/>
  <c r="I65" i="1"/>
  <c r="G65" i="1"/>
  <c r="S26" i="1" l="1"/>
  <c r="G255" i="1"/>
  <c r="F255" i="1"/>
  <c r="F231" i="1" l="1"/>
  <c r="G231" i="1"/>
  <c r="M87" i="1" l="1"/>
  <c r="L87" i="1"/>
  <c r="K87" i="1"/>
  <c r="J87" i="1"/>
  <c r="I87" i="1"/>
  <c r="H87" i="1"/>
  <c r="G87" i="1"/>
  <c r="M86" i="1"/>
  <c r="L86" i="1"/>
  <c r="K86" i="1"/>
  <c r="J86" i="1"/>
  <c r="I86" i="1"/>
  <c r="H86" i="1"/>
  <c r="G86" i="1"/>
  <c r="H83" i="1"/>
  <c r="F84" i="1" l="1"/>
  <c r="F83" i="1"/>
  <c r="G84" i="1"/>
  <c r="H247" i="1"/>
  <c r="H246" i="1"/>
  <c r="H245" i="1"/>
  <c r="H244" i="1"/>
  <c r="G243" i="1"/>
  <c r="S247" i="1"/>
  <c r="F247" i="1" s="1"/>
  <c r="S246" i="1"/>
  <c r="F246" i="1" s="1"/>
  <c r="S245" i="1"/>
  <c r="F245" i="1" s="1"/>
  <c r="S244" i="1"/>
  <c r="F244" i="1" s="1"/>
  <c r="I244" i="1"/>
  <c r="I247" i="1"/>
  <c r="I246" i="1"/>
  <c r="I245" i="1"/>
  <c r="H256" i="1" l="1"/>
  <c r="I256" i="1"/>
  <c r="S256" i="1"/>
  <c r="F256" i="1" s="1"/>
  <c r="S385" i="1" l="1"/>
  <c r="F385" i="1" s="1"/>
  <c r="I385" i="1"/>
  <c r="H385" i="1"/>
  <c r="S214" i="1"/>
  <c r="F214" i="1" s="1"/>
  <c r="I214" i="1"/>
  <c r="H214" i="1"/>
  <c r="H171" i="1"/>
  <c r="H170" i="1"/>
  <c r="I171" i="1"/>
  <c r="I170" i="1"/>
  <c r="S171" i="1"/>
  <c r="F171" i="1" s="1"/>
  <c r="S170" i="1"/>
  <c r="F170" i="1" s="1"/>
  <c r="H193" i="1"/>
  <c r="I193" i="1"/>
  <c r="S193" i="1"/>
  <c r="F193" i="1" s="1"/>
  <c r="H159" i="1"/>
  <c r="S159" i="1"/>
  <c r="F159" i="1" s="1"/>
  <c r="I159" i="1"/>
  <c r="H105" i="1"/>
  <c r="H104" i="1"/>
  <c r="I105" i="1"/>
  <c r="I104" i="1"/>
  <c r="S105" i="1"/>
  <c r="F105" i="1" s="1"/>
  <c r="S104" i="1"/>
  <c r="F104" i="1" s="1"/>
  <c r="H118" i="1"/>
  <c r="S118" i="1"/>
  <c r="F118" i="1" s="1"/>
  <c r="I118" i="1"/>
  <c r="H78" i="1"/>
  <c r="S78" i="1"/>
  <c r="F78" i="1" s="1"/>
  <c r="I78" i="1"/>
  <c r="Q39" i="1" l="1"/>
  <c r="P39" i="1"/>
  <c r="O39" i="1"/>
  <c r="N39" i="1"/>
  <c r="H43" i="1"/>
  <c r="S43" i="1"/>
  <c r="F43" i="1" s="1"/>
  <c r="I43" i="1"/>
  <c r="F226" i="1"/>
  <c r="F206" i="1"/>
  <c r="F97" i="1"/>
  <c r="M97" i="1"/>
  <c r="L97" i="1"/>
  <c r="K97" i="1"/>
  <c r="J97" i="1"/>
  <c r="I97" i="1"/>
  <c r="F63" i="1"/>
  <c r="H141" i="1"/>
  <c r="F141" i="1"/>
  <c r="F142" i="1"/>
  <c r="F223" i="1"/>
  <c r="F384" i="1"/>
  <c r="F25" i="1"/>
  <c r="F367" i="1" l="1"/>
  <c r="M367" i="1"/>
  <c r="L367" i="1"/>
  <c r="K367" i="1"/>
  <c r="J367" i="1"/>
  <c r="I367" i="1"/>
  <c r="G222" i="1"/>
  <c r="F222" i="1"/>
  <c r="H220" i="1"/>
  <c r="I220" i="1"/>
  <c r="J220" i="1"/>
  <c r="K220" i="1"/>
  <c r="L220" i="1"/>
  <c r="M220" i="1"/>
  <c r="F26" i="1" l="1"/>
  <c r="F86" i="1"/>
  <c r="M26" i="1"/>
  <c r="L26" i="1"/>
  <c r="K26" i="1"/>
  <c r="J26" i="1"/>
  <c r="I26" i="1"/>
  <c r="M368" i="1" l="1"/>
  <c r="L368" i="1"/>
  <c r="K368" i="1"/>
  <c r="J368" i="1"/>
  <c r="I368" i="1"/>
  <c r="H368" i="1"/>
  <c r="G368" i="1"/>
  <c r="M366" i="1"/>
  <c r="L366" i="1"/>
  <c r="K366" i="1"/>
  <c r="J366" i="1"/>
  <c r="I366" i="1"/>
  <c r="H366" i="1"/>
  <c r="G366" i="1"/>
  <c r="M365" i="1"/>
  <c r="L365" i="1"/>
  <c r="K365" i="1"/>
  <c r="J365" i="1"/>
  <c r="I365" i="1"/>
  <c r="H365" i="1"/>
  <c r="G365" i="1"/>
  <c r="M364" i="1"/>
  <c r="L364" i="1"/>
  <c r="K364" i="1"/>
  <c r="J364" i="1"/>
  <c r="I364" i="1"/>
  <c r="H364" i="1"/>
  <c r="G364" i="1"/>
  <c r="M363" i="1"/>
  <c r="L363" i="1"/>
  <c r="K363" i="1"/>
  <c r="J363" i="1"/>
  <c r="I363" i="1"/>
  <c r="H363" i="1"/>
  <c r="G363" i="1"/>
  <c r="M362" i="1"/>
  <c r="L362" i="1"/>
  <c r="K362" i="1"/>
  <c r="J362" i="1"/>
  <c r="I362" i="1"/>
  <c r="H362" i="1"/>
  <c r="G362" i="1"/>
  <c r="J284" i="1"/>
  <c r="J283" i="1"/>
  <c r="J282" i="1"/>
  <c r="J281" i="1"/>
  <c r="J280" i="1"/>
  <c r="J279" i="1"/>
  <c r="J278" i="1"/>
  <c r="J277" i="1"/>
  <c r="E289" i="1" l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R284" i="1"/>
  <c r="Q284" i="1"/>
  <c r="P284" i="1"/>
  <c r="O284" i="1"/>
  <c r="N284" i="1"/>
  <c r="R283" i="1"/>
  <c r="Q283" i="1"/>
  <c r="P283" i="1"/>
  <c r="O283" i="1"/>
  <c r="N283" i="1"/>
  <c r="R282" i="1"/>
  <c r="Q282" i="1"/>
  <c r="P282" i="1"/>
  <c r="O282" i="1"/>
  <c r="N282" i="1"/>
  <c r="R280" i="1"/>
  <c r="Q280" i="1"/>
  <c r="P280" i="1"/>
  <c r="O280" i="1"/>
  <c r="N280" i="1"/>
  <c r="R279" i="1"/>
  <c r="Q279" i="1"/>
  <c r="P279" i="1"/>
  <c r="O279" i="1"/>
  <c r="N279" i="1"/>
  <c r="R278" i="1"/>
  <c r="Q278" i="1"/>
  <c r="P278" i="1"/>
  <c r="O278" i="1"/>
  <c r="N278" i="1"/>
  <c r="R277" i="1"/>
  <c r="Q277" i="1"/>
  <c r="P277" i="1"/>
  <c r="O277" i="1"/>
  <c r="N277" i="1"/>
  <c r="N281" i="1"/>
  <c r="O281" i="1"/>
  <c r="P281" i="1"/>
  <c r="Q281" i="1"/>
  <c r="R281" i="1"/>
  <c r="S282" i="1"/>
  <c r="F282" i="1" s="1"/>
  <c r="S281" i="1"/>
  <c r="F281" i="1" s="1"/>
  <c r="M282" i="1"/>
  <c r="L282" i="1"/>
  <c r="K282" i="1"/>
  <c r="K281" i="1"/>
  <c r="L281" i="1"/>
  <c r="M281" i="1"/>
  <c r="S278" i="1"/>
  <c r="S279" i="1"/>
  <c r="S280" i="1"/>
  <c r="S283" i="1"/>
  <c r="S284" i="1"/>
  <c r="S277" i="1"/>
  <c r="F277" i="1" s="1"/>
  <c r="F288" i="1" l="1"/>
  <c r="F286" i="1" s="1"/>
  <c r="P288" i="1"/>
  <c r="P286" i="1" s="1"/>
  <c r="H288" i="1"/>
  <c r="H286" i="1" s="1"/>
  <c r="N288" i="1"/>
  <c r="N286" i="1" s="1"/>
  <c r="M288" i="1"/>
  <c r="M286" i="1" s="1"/>
  <c r="E288" i="1"/>
  <c r="E286" i="1" s="1"/>
  <c r="L288" i="1"/>
  <c r="L286" i="1" s="1"/>
  <c r="R288" i="1"/>
  <c r="R286" i="1" s="1"/>
  <c r="J288" i="1"/>
  <c r="J286" i="1" s="1"/>
  <c r="Q288" i="1"/>
  <c r="Q286" i="1" s="1"/>
  <c r="I288" i="1"/>
  <c r="I286" i="1" s="1"/>
  <c r="O288" i="1"/>
  <c r="O286" i="1" s="1"/>
  <c r="G288" i="1"/>
  <c r="G286" i="1" s="1"/>
  <c r="K288" i="1"/>
  <c r="K286" i="1" s="1"/>
  <c r="M284" i="1" l="1"/>
  <c r="L284" i="1"/>
  <c r="K284" i="1"/>
  <c r="M283" i="1"/>
  <c r="L283" i="1"/>
  <c r="K283" i="1"/>
  <c r="M280" i="1"/>
  <c r="L280" i="1"/>
  <c r="K280" i="1"/>
  <c r="M279" i="1"/>
  <c r="L279" i="1"/>
  <c r="K279" i="1"/>
  <c r="M278" i="1"/>
  <c r="L278" i="1"/>
  <c r="K278" i="1"/>
  <c r="M277" i="1"/>
  <c r="L277" i="1"/>
  <c r="K277" i="1"/>
  <c r="F18" i="1" l="1"/>
  <c r="E274" i="1"/>
  <c r="F284" i="1"/>
  <c r="F283" i="1"/>
  <c r="F280" i="1"/>
  <c r="F279" i="1"/>
  <c r="I274" i="1"/>
  <c r="I272" i="1" s="1"/>
  <c r="H274" i="1"/>
  <c r="H272" i="1" s="1"/>
  <c r="G274" i="1"/>
  <c r="G272" i="1" s="1"/>
  <c r="F278" i="1"/>
  <c r="Q275" i="1"/>
  <c r="Q274" i="1" s="1"/>
  <c r="Q272" i="1" s="1"/>
  <c r="P275" i="1"/>
  <c r="P274" i="1" s="1"/>
  <c r="P272" i="1" s="1"/>
  <c r="O275" i="1"/>
  <c r="O274" i="1" s="1"/>
  <c r="O272" i="1" s="1"/>
  <c r="N275" i="1"/>
  <c r="N274" i="1" s="1"/>
  <c r="N272" i="1" s="1"/>
  <c r="M275" i="1"/>
  <c r="M274" i="1" s="1"/>
  <c r="M272" i="1" s="1"/>
  <c r="L275" i="1"/>
  <c r="L274" i="1" s="1"/>
  <c r="L272" i="1" s="1"/>
  <c r="K275" i="1"/>
  <c r="K274" i="1" s="1"/>
  <c r="K272" i="1" s="1"/>
  <c r="J275" i="1"/>
  <c r="E275" i="1"/>
  <c r="J274" i="1" l="1"/>
  <c r="F285" i="1"/>
  <c r="G275" i="1"/>
  <c r="H275" i="1"/>
  <c r="I275" i="1"/>
  <c r="M387" i="1"/>
  <c r="L387" i="1"/>
  <c r="K387" i="1"/>
  <c r="J387" i="1"/>
  <c r="I387" i="1"/>
  <c r="H387" i="1"/>
  <c r="G387" i="1"/>
  <c r="F387" i="1"/>
  <c r="M383" i="1"/>
  <c r="L383" i="1"/>
  <c r="K383" i="1"/>
  <c r="J383" i="1"/>
  <c r="I383" i="1"/>
  <c r="H383" i="1"/>
  <c r="G383" i="1"/>
  <c r="F383" i="1"/>
  <c r="M382" i="1"/>
  <c r="L382" i="1"/>
  <c r="K382" i="1"/>
  <c r="J382" i="1"/>
  <c r="I382" i="1"/>
  <c r="H382" i="1"/>
  <c r="G382" i="1"/>
  <c r="F382" i="1"/>
  <c r="M381" i="1"/>
  <c r="L381" i="1"/>
  <c r="K381" i="1"/>
  <c r="J381" i="1"/>
  <c r="I381" i="1"/>
  <c r="H381" i="1"/>
  <c r="G381" i="1"/>
  <c r="F381" i="1"/>
  <c r="M380" i="1"/>
  <c r="L380" i="1"/>
  <c r="K380" i="1"/>
  <c r="J380" i="1"/>
  <c r="I380" i="1"/>
  <c r="H380" i="1"/>
  <c r="G380" i="1"/>
  <c r="F380" i="1"/>
  <c r="M379" i="1"/>
  <c r="L379" i="1"/>
  <c r="K379" i="1"/>
  <c r="J379" i="1"/>
  <c r="I379" i="1"/>
  <c r="H379" i="1"/>
  <c r="G379" i="1"/>
  <c r="F379" i="1"/>
  <c r="M378" i="1"/>
  <c r="L378" i="1"/>
  <c r="K378" i="1"/>
  <c r="J378" i="1"/>
  <c r="I378" i="1"/>
  <c r="H378" i="1"/>
  <c r="G378" i="1"/>
  <c r="F378" i="1"/>
  <c r="M377" i="1"/>
  <c r="L377" i="1"/>
  <c r="K377" i="1"/>
  <c r="J377" i="1"/>
  <c r="I377" i="1"/>
  <c r="H377" i="1"/>
  <c r="G377" i="1"/>
  <c r="F377" i="1"/>
  <c r="M376" i="1"/>
  <c r="L376" i="1"/>
  <c r="K376" i="1"/>
  <c r="J376" i="1"/>
  <c r="I376" i="1"/>
  <c r="H376" i="1"/>
  <c r="G376" i="1"/>
  <c r="F376" i="1"/>
  <c r="M375" i="1"/>
  <c r="L375" i="1"/>
  <c r="K375" i="1"/>
  <c r="J375" i="1"/>
  <c r="I375" i="1"/>
  <c r="H375" i="1"/>
  <c r="G375" i="1"/>
  <c r="F375" i="1"/>
  <c r="M374" i="1"/>
  <c r="L374" i="1"/>
  <c r="K374" i="1"/>
  <c r="J374" i="1"/>
  <c r="I374" i="1"/>
  <c r="H374" i="1"/>
  <c r="G374" i="1"/>
  <c r="F374" i="1"/>
  <c r="M373" i="1"/>
  <c r="L373" i="1"/>
  <c r="L371" i="1" s="1"/>
  <c r="K373" i="1"/>
  <c r="J373" i="1"/>
  <c r="J371" i="1" s="1"/>
  <c r="I373" i="1"/>
  <c r="I371" i="1" s="1"/>
  <c r="H373" i="1"/>
  <c r="G373" i="1"/>
  <c r="G371" i="1" s="1"/>
  <c r="F373" i="1"/>
  <c r="Q371" i="1"/>
  <c r="P371" i="1"/>
  <c r="O371" i="1"/>
  <c r="N371" i="1"/>
  <c r="E371" i="1"/>
  <c r="F368" i="1"/>
  <c r="F366" i="1"/>
  <c r="F365" i="1"/>
  <c r="F364" i="1"/>
  <c r="F363" i="1"/>
  <c r="F362" i="1"/>
  <c r="M361" i="1"/>
  <c r="M359" i="1" s="1"/>
  <c r="L361" i="1"/>
  <c r="L359" i="1" s="1"/>
  <c r="K361" i="1"/>
  <c r="K359" i="1" s="1"/>
  <c r="J361" i="1"/>
  <c r="I361" i="1"/>
  <c r="I359" i="1" s="1"/>
  <c r="H361" i="1"/>
  <c r="H359" i="1" s="1"/>
  <c r="G361" i="1"/>
  <c r="G359" i="1" s="1"/>
  <c r="F361" i="1"/>
  <c r="Q359" i="1"/>
  <c r="P359" i="1"/>
  <c r="O359" i="1"/>
  <c r="N359" i="1"/>
  <c r="E359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Q342" i="1"/>
  <c r="P342" i="1"/>
  <c r="O342" i="1"/>
  <c r="N342" i="1"/>
  <c r="M342" i="1"/>
  <c r="L342" i="1"/>
  <c r="K342" i="1"/>
  <c r="J342" i="1"/>
  <c r="I342" i="1"/>
  <c r="H342" i="1"/>
  <c r="G342" i="1"/>
  <c r="E342" i="1"/>
  <c r="E329" i="1" s="1"/>
  <c r="F339" i="1"/>
  <c r="F338" i="1"/>
  <c r="F337" i="1"/>
  <c r="F336" i="1"/>
  <c r="F335" i="1"/>
  <c r="F334" i="1"/>
  <c r="F333" i="1"/>
  <c r="Q331" i="1"/>
  <c r="P331" i="1"/>
  <c r="O331" i="1"/>
  <c r="N331" i="1"/>
  <c r="M331" i="1"/>
  <c r="L331" i="1"/>
  <c r="K331" i="1"/>
  <c r="J331" i="1"/>
  <c r="I331" i="1"/>
  <c r="H331" i="1"/>
  <c r="G331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E316" i="1" s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M270" i="1"/>
  <c r="L270" i="1"/>
  <c r="K270" i="1"/>
  <c r="J270" i="1"/>
  <c r="I270" i="1"/>
  <c r="H270" i="1"/>
  <c r="G270" i="1"/>
  <c r="F270" i="1"/>
  <c r="M269" i="1"/>
  <c r="L269" i="1"/>
  <c r="K269" i="1"/>
  <c r="J269" i="1"/>
  <c r="I269" i="1"/>
  <c r="H269" i="1"/>
  <c r="G269" i="1"/>
  <c r="F269" i="1"/>
  <c r="M268" i="1"/>
  <c r="L268" i="1"/>
  <c r="K268" i="1"/>
  <c r="J268" i="1"/>
  <c r="I268" i="1"/>
  <c r="H268" i="1"/>
  <c r="G268" i="1"/>
  <c r="F268" i="1"/>
  <c r="M267" i="1"/>
  <c r="L267" i="1"/>
  <c r="K267" i="1"/>
  <c r="J267" i="1"/>
  <c r="I267" i="1"/>
  <c r="H267" i="1"/>
  <c r="G267" i="1"/>
  <c r="F267" i="1"/>
  <c r="M266" i="1"/>
  <c r="L266" i="1"/>
  <c r="K266" i="1"/>
  <c r="J266" i="1"/>
  <c r="I266" i="1"/>
  <c r="H266" i="1"/>
  <c r="G266" i="1"/>
  <c r="F266" i="1"/>
  <c r="M265" i="1"/>
  <c r="L265" i="1"/>
  <c r="K265" i="1"/>
  <c r="J265" i="1"/>
  <c r="I265" i="1"/>
  <c r="H265" i="1"/>
  <c r="G265" i="1"/>
  <c r="F265" i="1"/>
  <c r="M264" i="1"/>
  <c r="L264" i="1"/>
  <c r="K264" i="1"/>
  <c r="J264" i="1"/>
  <c r="I264" i="1"/>
  <c r="H264" i="1"/>
  <c r="G264" i="1"/>
  <c r="F264" i="1"/>
  <c r="M263" i="1"/>
  <c r="L263" i="1"/>
  <c r="K263" i="1"/>
  <c r="J263" i="1"/>
  <c r="I263" i="1"/>
  <c r="H263" i="1"/>
  <c r="G263" i="1"/>
  <c r="F263" i="1"/>
  <c r="M262" i="1"/>
  <c r="L262" i="1"/>
  <c r="K262" i="1"/>
  <c r="J262" i="1"/>
  <c r="I262" i="1"/>
  <c r="H262" i="1"/>
  <c r="G262" i="1"/>
  <c r="F262" i="1"/>
  <c r="M261" i="1"/>
  <c r="L261" i="1"/>
  <c r="K261" i="1"/>
  <c r="J261" i="1"/>
  <c r="I261" i="1"/>
  <c r="H261" i="1"/>
  <c r="G261" i="1"/>
  <c r="F261" i="1"/>
  <c r="M260" i="1"/>
  <c r="L260" i="1"/>
  <c r="K260" i="1"/>
  <c r="J260" i="1"/>
  <c r="I260" i="1"/>
  <c r="H260" i="1"/>
  <c r="G260" i="1"/>
  <c r="F260" i="1"/>
  <c r="M259" i="1"/>
  <c r="L259" i="1"/>
  <c r="K259" i="1"/>
  <c r="J259" i="1"/>
  <c r="I259" i="1"/>
  <c r="H259" i="1"/>
  <c r="G259" i="1"/>
  <c r="F259" i="1"/>
  <c r="M258" i="1"/>
  <c r="L258" i="1"/>
  <c r="K258" i="1"/>
  <c r="J258" i="1"/>
  <c r="I258" i="1"/>
  <c r="H258" i="1"/>
  <c r="G258" i="1"/>
  <c r="F258" i="1"/>
  <c r="M257" i="1"/>
  <c r="L257" i="1"/>
  <c r="K257" i="1"/>
  <c r="J257" i="1"/>
  <c r="I257" i="1"/>
  <c r="H257" i="1"/>
  <c r="G257" i="1"/>
  <c r="F257" i="1"/>
  <c r="M254" i="1"/>
  <c r="L254" i="1"/>
  <c r="K254" i="1"/>
  <c r="J254" i="1"/>
  <c r="I254" i="1"/>
  <c r="H254" i="1"/>
  <c r="G254" i="1"/>
  <c r="F254" i="1"/>
  <c r="M253" i="1"/>
  <c r="L253" i="1"/>
  <c r="K253" i="1"/>
  <c r="J253" i="1"/>
  <c r="I253" i="1"/>
  <c r="H253" i="1"/>
  <c r="G253" i="1"/>
  <c r="F253" i="1"/>
  <c r="M252" i="1"/>
  <c r="L252" i="1"/>
  <c r="K252" i="1"/>
  <c r="J252" i="1"/>
  <c r="I252" i="1"/>
  <c r="H252" i="1"/>
  <c r="G252" i="1"/>
  <c r="F252" i="1"/>
  <c r="Q250" i="1"/>
  <c r="P250" i="1"/>
  <c r="O250" i="1"/>
  <c r="N250" i="1"/>
  <c r="E250" i="1"/>
  <c r="M243" i="1"/>
  <c r="L243" i="1"/>
  <c r="K243" i="1"/>
  <c r="J243" i="1"/>
  <c r="I243" i="1"/>
  <c r="H243" i="1"/>
  <c r="F243" i="1"/>
  <c r="M242" i="1"/>
  <c r="L242" i="1"/>
  <c r="K242" i="1"/>
  <c r="J242" i="1"/>
  <c r="I242" i="1"/>
  <c r="H242" i="1"/>
  <c r="G242" i="1"/>
  <c r="F242" i="1"/>
  <c r="M241" i="1"/>
  <c r="L241" i="1"/>
  <c r="K241" i="1"/>
  <c r="J241" i="1"/>
  <c r="I241" i="1"/>
  <c r="H241" i="1"/>
  <c r="G241" i="1"/>
  <c r="F241" i="1"/>
  <c r="M240" i="1"/>
  <c r="L240" i="1"/>
  <c r="K240" i="1"/>
  <c r="J240" i="1"/>
  <c r="I240" i="1"/>
  <c r="H240" i="1"/>
  <c r="G240" i="1"/>
  <c r="F240" i="1"/>
  <c r="M239" i="1"/>
  <c r="L239" i="1"/>
  <c r="K239" i="1"/>
  <c r="J239" i="1"/>
  <c r="I239" i="1"/>
  <c r="H239" i="1"/>
  <c r="G239" i="1"/>
  <c r="F239" i="1"/>
  <c r="M238" i="1"/>
  <c r="L238" i="1"/>
  <c r="K238" i="1"/>
  <c r="J238" i="1"/>
  <c r="I238" i="1"/>
  <c r="H238" i="1"/>
  <c r="G238" i="1"/>
  <c r="F238" i="1"/>
  <c r="M237" i="1"/>
  <c r="L237" i="1"/>
  <c r="K237" i="1"/>
  <c r="J237" i="1"/>
  <c r="I237" i="1"/>
  <c r="H237" i="1"/>
  <c r="G237" i="1"/>
  <c r="F237" i="1"/>
  <c r="M236" i="1"/>
  <c r="L236" i="1"/>
  <c r="K236" i="1"/>
  <c r="J236" i="1"/>
  <c r="I236" i="1"/>
  <c r="H236" i="1"/>
  <c r="G236" i="1"/>
  <c r="F236" i="1"/>
  <c r="M234" i="1"/>
  <c r="L234" i="1"/>
  <c r="K234" i="1"/>
  <c r="J234" i="1"/>
  <c r="I234" i="1"/>
  <c r="H234" i="1"/>
  <c r="G234" i="1"/>
  <c r="F234" i="1"/>
  <c r="M233" i="1"/>
  <c r="L233" i="1"/>
  <c r="K233" i="1"/>
  <c r="J233" i="1"/>
  <c r="I233" i="1"/>
  <c r="H233" i="1"/>
  <c r="G233" i="1"/>
  <c r="F233" i="1"/>
  <c r="M232" i="1"/>
  <c r="L232" i="1"/>
  <c r="K232" i="1"/>
  <c r="J232" i="1"/>
  <c r="I232" i="1"/>
  <c r="H232" i="1"/>
  <c r="G232" i="1"/>
  <c r="F232" i="1"/>
  <c r="M230" i="1"/>
  <c r="L230" i="1"/>
  <c r="K230" i="1"/>
  <c r="J230" i="1"/>
  <c r="I230" i="1"/>
  <c r="H230" i="1"/>
  <c r="G230" i="1"/>
  <c r="F230" i="1"/>
  <c r="M229" i="1"/>
  <c r="L229" i="1"/>
  <c r="K229" i="1"/>
  <c r="J229" i="1"/>
  <c r="I229" i="1"/>
  <c r="H229" i="1"/>
  <c r="G229" i="1"/>
  <c r="F229" i="1"/>
  <c r="M228" i="1"/>
  <c r="L228" i="1"/>
  <c r="K228" i="1"/>
  <c r="J228" i="1"/>
  <c r="I228" i="1"/>
  <c r="H228" i="1"/>
  <c r="G228" i="1"/>
  <c r="F228" i="1"/>
  <c r="M227" i="1"/>
  <c r="L227" i="1"/>
  <c r="K227" i="1"/>
  <c r="J227" i="1"/>
  <c r="I227" i="1"/>
  <c r="H227" i="1"/>
  <c r="G227" i="1"/>
  <c r="F227" i="1"/>
  <c r="M225" i="1"/>
  <c r="L225" i="1"/>
  <c r="K225" i="1"/>
  <c r="J225" i="1"/>
  <c r="I225" i="1"/>
  <c r="H225" i="1"/>
  <c r="G225" i="1"/>
  <c r="F225" i="1"/>
  <c r="M224" i="1"/>
  <c r="L224" i="1"/>
  <c r="K224" i="1"/>
  <c r="J224" i="1"/>
  <c r="I224" i="1"/>
  <c r="H224" i="1"/>
  <c r="G224" i="1"/>
  <c r="F224" i="1"/>
  <c r="G220" i="1"/>
  <c r="F220" i="1"/>
  <c r="Q218" i="1"/>
  <c r="P218" i="1"/>
  <c r="O218" i="1"/>
  <c r="N218" i="1"/>
  <c r="E218" i="1"/>
  <c r="M215" i="1"/>
  <c r="L215" i="1"/>
  <c r="K215" i="1"/>
  <c r="J215" i="1"/>
  <c r="I215" i="1"/>
  <c r="H215" i="1"/>
  <c r="G215" i="1"/>
  <c r="F215" i="1"/>
  <c r="M213" i="1"/>
  <c r="L213" i="1"/>
  <c r="K213" i="1"/>
  <c r="J213" i="1"/>
  <c r="I213" i="1"/>
  <c r="H213" i="1"/>
  <c r="G213" i="1"/>
  <c r="F213" i="1"/>
  <c r="M212" i="1"/>
  <c r="L212" i="1"/>
  <c r="K212" i="1"/>
  <c r="J212" i="1"/>
  <c r="I212" i="1"/>
  <c r="H212" i="1"/>
  <c r="G212" i="1"/>
  <c r="F212" i="1"/>
  <c r="M211" i="1"/>
  <c r="L211" i="1"/>
  <c r="K211" i="1"/>
  <c r="J211" i="1"/>
  <c r="I211" i="1"/>
  <c r="H211" i="1"/>
  <c r="G211" i="1"/>
  <c r="F211" i="1"/>
  <c r="M210" i="1"/>
  <c r="L210" i="1"/>
  <c r="K210" i="1"/>
  <c r="J210" i="1"/>
  <c r="I210" i="1"/>
  <c r="H210" i="1"/>
  <c r="G210" i="1"/>
  <c r="F210" i="1"/>
  <c r="M209" i="1"/>
  <c r="L209" i="1"/>
  <c r="K209" i="1"/>
  <c r="J209" i="1"/>
  <c r="I209" i="1"/>
  <c r="H209" i="1"/>
  <c r="G209" i="1"/>
  <c r="F209" i="1"/>
  <c r="M208" i="1"/>
  <c r="L208" i="1"/>
  <c r="K208" i="1"/>
  <c r="J208" i="1"/>
  <c r="I208" i="1"/>
  <c r="H208" i="1"/>
  <c r="G208" i="1"/>
  <c r="F208" i="1"/>
  <c r="M207" i="1"/>
  <c r="L207" i="1"/>
  <c r="K207" i="1"/>
  <c r="J207" i="1"/>
  <c r="I207" i="1"/>
  <c r="H207" i="1"/>
  <c r="G207" i="1"/>
  <c r="F207" i="1"/>
  <c r="M205" i="1"/>
  <c r="L205" i="1"/>
  <c r="K205" i="1"/>
  <c r="J205" i="1"/>
  <c r="I205" i="1"/>
  <c r="H205" i="1"/>
  <c r="G205" i="1"/>
  <c r="F205" i="1"/>
  <c r="Q203" i="1"/>
  <c r="P203" i="1"/>
  <c r="O203" i="1"/>
  <c r="N203" i="1"/>
  <c r="E203" i="1"/>
  <c r="M200" i="1"/>
  <c r="L200" i="1"/>
  <c r="K200" i="1"/>
  <c r="J200" i="1"/>
  <c r="I200" i="1"/>
  <c r="H200" i="1"/>
  <c r="G200" i="1"/>
  <c r="F200" i="1"/>
  <c r="M199" i="1"/>
  <c r="M197" i="1" s="1"/>
  <c r="L199" i="1"/>
  <c r="L197" i="1" s="1"/>
  <c r="K199" i="1"/>
  <c r="J199" i="1"/>
  <c r="I199" i="1"/>
  <c r="H199" i="1"/>
  <c r="H197" i="1" s="1"/>
  <c r="G199" i="1"/>
  <c r="F199" i="1"/>
  <c r="Q197" i="1"/>
  <c r="P197" i="1"/>
  <c r="O197" i="1"/>
  <c r="N197" i="1"/>
  <c r="E197" i="1"/>
  <c r="M194" i="1"/>
  <c r="L194" i="1"/>
  <c r="K194" i="1"/>
  <c r="J194" i="1"/>
  <c r="I194" i="1"/>
  <c r="H194" i="1"/>
  <c r="G194" i="1"/>
  <c r="F194" i="1"/>
  <c r="M192" i="1"/>
  <c r="L192" i="1"/>
  <c r="K192" i="1"/>
  <c r="J192" i="1"/>
  <c r="I192" i="1"/>
  <c r="H192" i="1"/>
  <c r="G192" i="1"/>
  <c r="F192" i="1"/>
  <c r="M191" i="1"/>
  <c r="L191" i="1"/>
  <c r="K191" i="1"/>
  <c r="J191" i="1"/>
  <c r="I191" i="1"/>
  <c r="H191" i="1"/>
  <c r="G191" i="1"/>
  <c r="F191" i="1"/>
  <c r="M190" i="1"/>
  <c r="M188" i="1" s="1"/>
  <c r="L190" i="1"/>
  <c r="K190" i="1"/>
  <c r="K188" i="1" s="1"/>
  <c r="J190" i="1"/>
  <c r="I190" i="1"/>
  <c r="I188" i="1" s="1"/>
  <c r="H190" i="1"/>
  <c r="H188" i="1" s="1"/>
  <c r="G190" i="1"/>
  <c r="F190" i="1"/>
  <c r="Q188" i="1"/>
  <c r="P188" i="1"/>
  <c r="O188" i="1"/>
  <c r="N188" i="1"/>
  <c r="E188" i="1"/>
  <c r="M185" i="1"/>
  <c r="M184" i="1" s="1"/>
  <c r="L185" i="1"/>
  <c r="L184" i="1" s="1"/>
  <c r="K185" i="1"/>
  <c r="K184" i="1" s="1"/>
  <c r="J185" i="1"/>
  <c r="J184" i="1" s="1"/>
  <c r="I185" i="1"/>
  <c r="I184" i="1" s="1"/>
  <c r="H185" i="1"/>
  <c r="H184" i="1" s="1"/>
  <c r="G185" i="1"/>
  <c r="G184" i="1" s="1"/>
  <c r="F185" i="1"/>
  <c r="F186" i="1" s="1"/>
  <c r="R186" i="1" s="1"/>
  <c r="R184" i="1" s="1"/>
  <c r="Q184" i="1"/>
  <c r="P184" i="1"/>
  <c r="O184" i="1"/>
  <c r="N184" i="1"/>
  <c r="E184" i="1"/>
  <c r="M181" i="1"/>
  <c r="M180" i="1" s="1"/>
  <c r="L181" i="1"/>
  <c r="L180" i="1" s="1"/>
  <c r="K181" i="1"/>
  <c r="K180" i="1" s="1"/>
  <c r="J181" i="1"/>
  <c r="J180" i="1" s="1"/>
  <c r="I181" i="1"/>
  <c r="I180" i="1" s="1"/>
  <c r="H181" i="1"/>
  <c r="H180" i="1" s="1"/>
  <c r="G181" i="1"/>
  <c r="G180" i="1" s="1"/>
  <c r="F181" i="1"/>
  <c r="F182" i="1" s="1"/>
  <c r="R182" i="1" s="1"/>
  <c r="R180" i="1" s="1"/>
  <c r="Q180" i="1"/>
  <c r="P180" i="1"/>
  <c r="O180" i="1"/>
  <c r="N180" i="1"/>
  <c r="E180" i="1"/>
  <c r="M177" i="1"/>
  <c r="M176" i="1" s="1"/>
  <c r="L177" i="1"/>
  <c r="L176" i="1" s="1"/>
  <c r="K177" i="1"/>
  <c r="K176" i="1" s="1"/>
  <c r="J177" i="1"/>
  <c r="J176" i="1" s="1"/>
  <c r="I177" i="1"/>
  <c r="I176" i="1" s="1"/>
  <c r="H177" i="1"/>
  <c r="H176" i="1" s="1"/>
  <c r="G177" i="1"/>
  <c r="G176" i="1" s="1"/>
  <c r="F177" i="1"/>
  <c r="F178" i="1" s="1"/>
  <c r="R178" i="1" s="1"/>
  <c r="R176" i="1" s="1"/>
  <c r="Q176" i="1"/>
  <c r="P176" i="1"/>
  <c r="O176" i="1"/>
  <c r="N176" i="1"/>
  <c r="E176" i="1"/>
  <c r="S173" i="1"/>
  <c r="F173" i="1" s="1"/>
  <c r="I173" i="1"/>
  <c r="H173" i="1"/>
  <c r="G173" i="1"/>
  <c r="S172" i="1"/>
  <c r="F172" i="1" s="1"/>
  <c r="I172" i="1"/>
  <c r="H172" i="1"/>
  <c r="G172" i="1"/>
  <c r="S169" i="1"/>
  <c r="F169" i="1" s="1"/>
  <c r="I169" i="1"/>
  <c r="H169" i="1"/>
  <c r="G169" i="1"/>
  <c r="S168" i="1"/>
  <c r="F168" i="1" s="1"/>
  <c r="I168" i="1"/>
  <c r="H168" i="1"/>
  <c r="G168" i="1"/>
  <c r="S166" i="1"/>
  <c r="F166" i="1" s="1"/>
  <c r="I166" i="1"/>
  <c r="H166" i="1"/>
  <c r="G166" i="1"/>
  <c r="S165" i="1"/>
  <c r="F165" i="1" s="1"/>
  <c r="I165" i="1"/>
  <c r="H165" i="1"/>
  <c r="G165" i="1"/>
  <c r="Q163" i="1"/>
  <c r="P163" i="1"/>
  <c r="O163" i="1"/>
  <c r="N163" i="1"/>
  <c r="M163" i="1"/>
  <c r="L163" i="1"/>
  <c r="K163" i="1"/>
  <c r="J163" i="1"/>
  <c r="E163" i="1"/>
  <c r="M160" i="1"/>
  <c r="L160" i="1"/>
  <c r="K160" i="1"/>
  <c r="J160" i="1"/>
  <c r="I160" i="1"/>
  <c r="H160" i="1"/>
  <c r="G160" i="1"/>
  <c r="F160" i="1"/>
  <c r="M158" i="1"/>
  <c r="L158" i="1"/>
  <c r="K158" i="1"/>
  <c r="J158" i="1"/>
  <c r="I158" i="1"/>
  <c r="H158" i="1"/>
  <c r="G158" i="1"/>
  <c r="F158" i="1"/>
  <c r="M157" i="1"/>
  <c r="L157" i="1"/>
  <c r="K157" i="1"/>
  <c r="J157" i="1"/>
  <c r="I157" i="1"/>
  <c r="H157" i="1"/>
  <c r="G157" i="1"/>
  <c r="F157" i="1"/>
  <c r="M156" i="1"/>
  <c r="L156" i="1"/>
  <c r="K156" i="1"/>
  <c r="J156" i="1"/>
  <c r="I156" i="1"/>
  <c r="H156" i="1"/>
  <c r="G156" i="1"/>
  <c r="F156" i="1"/>
  <c r="M155" i="1"/>
  <c r="L155" i="1"/>
  <c r="K155" i="1"/>
  <c r="J155" i="1"/>
  <c r="I155" i="1"/>
  <c r="H155" i="1"/>
  <c r="G155" i="1"/>
  <c r="F155" i="1"/>
  <c r="M154" i="1"/>
  <c r="L154" i="1"/>
  <c r="K154" i="1"/>
  <c r="J154" i="1"/>
  <c r="I154" i="1"/>
  <c r="H154" i="1"/>
  <c r="G154" i="1"/>
  <c r="F154" i="1"/>
  <c r="M153" i="1"/>
  <c r="L153" i="1"/>
  <c r="K153" i="1"/>
  <c r="J153" i="1"/>
  <c r="I153" i="1"/>
  <c r="H153" i="1"/>
  <c r="G153" i="1"/>
  <c r="F153" i="1"/>
  <c r="M150" i="1"/>
  <c r="L150" i="1"/>
  <c r="K150" i="1"/>
  <c r="J150" i="1"/>
  <c r="I150" i="1"/>
  <c r="H150" i="1"/>
  <c r="G150" i="1"/>
  <c r="F150" i="1"/>
  <c r="M149" i="1"/>
  <c r="L149" i="1"/>
  <c r="K149" i="1"/>
  <c r="J149" i="1"/>
  <c r="I149" i="1"/>
  <c r="H149" i="1"/>
  <c r="G149" i="1"/>
  <c r="F149" i="1"/>
  <c r="M148" i="1"/>
  <c r="L148" i="1"/>
  <c r="K148" i="1"/>
  <c r="J148" i="1"/>
  <c r="I148" i="1"/>
  <c r="H148" i="1"/>
  <c r="G148" i="1"/>
  <c r="F148" i="1"/>
  <c r="M147" i="1"/>
  <c r="L147" i="1"/>
  <c r="K147" i="1"/>
  <c r="J147" i="1"/>
  <c r="I147" i="1"/>
  <c r="H147" i="1"/>
  <c r="G147" i="1"/>
  <c r="F147" i="1"/>
  <c r="M146" i="1"/>
  <c r="L146" i="1"/>
  <c r="K146" i="1"/>
  <c r="J146" i="1"/>
  <c r="I146" i="1"/>
  <c r="H146" i="1"/>
  <c r="G146" i="1"/>
  <c r="F146" i="1"/>
  <c r="M140" i="1"/>
  <c r="L140" i="1"/>
  <c r="K140" i="1"/>
  <c r="J140" i="1"/>
  <c r="I140" i="1"/>
  <c r="H140" i="1"/>
  <c r="G140" i="1"/>
  <c r="F140" i="1"/>
  <c r="M139" i="1"/>
  <c r="L139" i="1"/>
  <c r="K139" i="1"/>
  <c r="J139" i="1"/>
  <c r="I139" i="1"/>
  <c r="H139" i="1"/>
  <c r="G139" i="1"/>
  <c r="F139" i="1"/>
  <c r="M138" i="1"/>
  <c r="L138" i="1"/>
  <c r="K138" i="1"/>
  <c r="J138" i="1"/>
  <c r="I138" i="1"/>
  <c r="H138" i="1"/>
  <c r="G138" i="1"/>
  <c r="F138" i="1"/>
  <c r="M137" i="1"/>
  <c r="L137" i="1"/>
  <c r="K137" i="1"/>
  <c r="J137" i="1"/>
  <c r="I137" i="1"/>
  <c r="H137" i="1"/>
  <c r="G137" i="1"/>
  <c r="F137" i="1"/>
  <c r="Q135" i="1"/>
  <c r="P135" i="1"/>
  <c r="O135" i="1"/>
  <c r="N135" i="1"/>
  <c r="E135" i="1"/>
  <c r="M131" i="1"/>
  <c r="L131" i="1"/>
  <c r="K131" i="1"/>
  <c r="J131" i="1"/>
  <c r="I131" i="1"/>
  <c r="H131" i="1"/>
  <c r="G131" i="1"/>
  <c r="F131" i="1"/>
  <c r="M130" i="1"/>
  <c r="M128" i="1" s="1"/>
  <c r="L130" i="1"/>
  <c r="K130" i="1"/>
  <c r="K128" i="1" s="1"/>
  <c r="J130" i="1"/>
  <c r="I130" i="1"/>
  <c r="I128" i="1" s="1"/>
  <c r="H130" i="1"/>
  <c r="G130" i="1"/>
  <c r="F130" i="1"/>
  <c r="Q128" i="1"/>
  <c r="P128" i="1"/>
  <c r="O128" i="1"/>
  <c r="N128" i="1"/>
  <c r="E128" i="1"/>
  <c r="M125" i="1"/>
  <c r="L125" i="1"/>
  <c r="K125" i="1"/>
  <c r="J125" i="1"/>
  <c r="I125" i="1"/>
  <c r="H125" i="1"/>
  <c r="G125" i="1"/>
  <c r="F125" i="1"/>
  <c r="M124" i="1"/>
  <c r="L124" i="1"/>
  <c r="K124" i="1"/>
  <c r="J124" i="1"/>
  <c r="I124" i="1"/>
  <c r="H124" i="1"/>
  <c r="G124" i="1"/>
  <c r="F124" i="1"/>
  <c r="M123" i="1"/>
  <c r="L123" i="1"/>
  <c r="L121" i="1" s="1"/>
  <c r="K123" i="1"/>
  <c r="J123" i="1"/>
  <c r="J121" i="1" s="1"/>
  <c r="I123" i="1"/>
  <c r="I121" i="1" s="1"/>
  <c r="H123" i="1"/>
  <c r="H121" i="1" s="1"/>
  <c r="G123" i="1"/>
  <c r="F123" i="1"/>
  <c r="Q121" i="1"/>
  <c r="P121" i="1"/>
  <c r="O121" i="1"/>
  <c r="N121" i="1"/>
  <c r="E121" i="1"/>
  <c r="M119" i="1"/>
  <c r="L119" i="1"/>
  <c r="K119" i="1"/>
  <c r="J119" i="1"/>
  <c r="I119" i="1"/>
  <c r="H119" i="1"/>
  <c r="G119" i="1"/>
  <c r="F119" i="1"/>
  <c r="M117" i="1"/>
  <c r="M115" i="1" s="1"/>
  <c r="L117" i="1"/>
  <c r="K117" i="1"/>
  <c r="K115" i="1" s="1"/>
  <c r="J117" i="1"/>
  <c r="I117" i="1"/>
  <c r="I115" i="1" s="1"/>
  <c r="H117" i="1"/>
  <c r="H115" i="1" s="1"/>
  <c r="G117" i="1"/>
  <c r="G115" i="1" s="1"/>
  <c r="F117" i="1"/>
  <c r="Q115" i="1"/>
  <c r="P115" i="1"/>
  <c r="O115" i="1"/>
  <c r="N115" i="1"/>
  <c r="E115" i="1"/>
  <c r="M113" i="1"/>
  <c r="L113" i="1"/>
  <c r="K113" i="1"/>
  <c r="J113" i="1"/>
  <c r="I113" i="1"/>
  <c r="H113" i="1"/>
  <c r="G113" i="1"/>
  <c r="F113" i="1"/>
  <c r="M112" i="1"/>
  <c r="L112" i="1"/>
  <c r="K112" i="1"/>
  <c r="J112" i="1"/>
  <c r="I112" i="1"/>
  <c r="H112" i="1"/>
  <c r="G112" i="1"/>
  <c r="F112" i="1"/>
  <c r="M111" i="1"/>
  <c r="L111" i="1"/>
  <c r="K111" i="1"/>
  <c r="J111" i="1"/>
  <c r="I111" i="1"/>
  <c r="H111" i="1"/>
  <c r="G111" i="1"/>
  <c r="F111" i="1"/>
  <c r="M110" i="1"/>
  <c r="L110" i="1"/>
  <c r="K110" i="1"/>
  <c r="J110" i="1"/>
  <c r="I110" i="1"/>
  <c r="H110" i="1"/>
  <c r="G110" i="1"/>
  <c r="F110" i="1"/>
  <c r="F114" i="1" s="1"/>
  <c r="Q108" i="1"/>
  <c r="P108" i="1"/>
  <c r="O108" i="1"/>
  <c r="N108" i="1"/>
  <c r="E108" i="1"/>
  <c r="M106" i="1"/>
  <c r="L106" i="1"/>
  <c r="K106" i="1"/>
  <c r="J106" i="1"/>
  <c r="I106" i="1"/>
  <c r="H106" i="1"/>
  <c r="G106" i="1"/>
  <c r="F106" i="1"/>
  <c r="M103" i="1"/>
  <c r="L103" i="1"/>
  <c r="K103" i="1"/>
  <c r="J103" i="1"/>
  <c r="I103" i="1"/>
  <c r="H103" i="1"/>
  <c r="G103" i="1"/>
  <c r="F103" i="1"/>
  <c r="M102" i="1"/>
  <c r="L102" i="1"/>
  <c r="K102" i="1"/>
  <c r="J102" i="1"/>
  <c r="J100" i="1" s="1"/>
  <c r="I102" i="1"/>
  <c r="H102" i="1"/>
  <c r="G102" i="1"/>
  <c r="G100" i="1" s="1"/>
  <c r="F102" i="1"/>
  <c r="F107" i="1" s="1"/>
  <c r="Q100" i="1"/>
  <c r="P100" i="1"/>
  <c r="O100" i="1"/>
  <c r="N100" i="1"/>
  <c r="E100" i="1"/>
  <c r="M98" i="1"/>
  <c r="L98" i="1"/>
  <c r="K98" i="1"/>
  <c r="J98" i="1"/>
  <c r="I98" i="1"/>
  <c r="H98" i="1"/>
  <c r="G98" i="1"/>
  <c r="F98" i="1"/>
  <c r="M96" i="1"/>
  <c r="L96" i="1"/>
  <c r="K96" i="1"/>
  <c r="J96" i="1"/>
  <c r="I96" i="1"/>
  <c r="H96" i="1"/>
  <c r="G96" i="1"/>
  <c r="F96" i="1"/>
  <c r="M95" i="1"/>
  <c r="L95" i="1"/>
  <c r="K95" i="1"/>
  <c r="J95" i="1"/>
  <c r="I95" i="1"/>
  <c r="H95" i="1"/>
  <c r="G95" i="1"/>
  <c r="F95" i="1"/>
  <c r="M94" i="1"/>
  <c r="L94" i="1"/>
  <c r="K94" i="1"/>
  <c r="J94" i="1"/>
  <c r="I94" i="1"/>
  <c r="H94" i="1"/>
  <c r="G94" i="1"/>
  <c r="F94" i="1"/>
  <c r="M93" i="1"/>
  <c r="L93" i="1"/>
  <c r="K93" i="1"/>
  <c r="J93" i="1"/>
  <c r="I93" i="1"/>
  <c r="H93" i="1"/>
  <c r="G93" i="1"/>
  <c r="F93" i="1"/>
  <c r="M92" i="1"/>
  <c r="L92" i="1"/>
  <c r="K92" i="1"/>
  <c r="J92" i="1"/>
  <c r="I92" i="1"/>
  <c r="H92" i="1"/>
  <c r="G92" i="1"/>
  <c r="F92" i="1"/>
  <c r="Q90" i="1"/>
  <c r="P90" i="1"/>
  <c r="O90" i="1"/>
  <c r="N90" i="1"/>
  <c r="E90" i="1"/>
  <c r="E88" i="1"/>
  <c r="F87" i="1"/>
  <c r="M85" i="1"/>
  <c r="L85" i="1"/>
  <c r="K85" i="1"/>
  <c r="J85" i="1"/>
  <c r="I85" i="1"/>
  <c r="H85" i="1"/>
  <c r="G85" i="1"/>
  <c r="F85" i="1"/>
  <c r="M83" i="1"/>
  <c r="L83" i="1"/>
  <c r="K83" i="1"/>
  <c r="J83" i="1"/>
  <c r="I83" i="1"/>
  <c r="G83" i="1"/>
  <c r="Q81" i="1"/>
  <c r="P81" i="1"/>
  <c r="O81" i="1"/>
  <c r="N81" i="1"/>
  <c r="M79" i="1"/>
  <c r="L79" i="1"/>
  <c r="K79" i="1"/>
  <c r="J79" i="1"/>
  <c r="I79" i="1"/>
  <c r="H79" i="1"/>
  <c r="G79" i="1"/>
  <c r="F79" i="1"/>
  <c r="M77" i="1"/>
  <c r="L77" i="1"/>
  <c r="K77" i="1"/>
  <c r="J77" i="1"/>
  <c r="I77" i="1"/>
  <c r="H77" i="1"/>
  <c r="G77" i="1"/>
  <c r="F77" i="1"/>
  <c r="M76" i="1"/>
  <c r="L76" i="1"/>
  <c r="K76" i="1"/>
  <c r="J76" i="1"/>
  <c r="I76" i="1"/>
  <c r="H76" i="1"/>
  <c r="G76" i="1"/>
  <c r="F76" i="1"/>
  <c r="M75" i="1"/>
  <c r="L75" i="1"/>
  <c r="K75" i="1"/>
  <c r="J75" i="1"/>
  <c r="I75" i="1"/>
  <c r="H75" i="1"/>
  <c r="G75" i="1"/>
  <c r="F75" i="1"/>
  <c r="M74" i="1"/>
  <c r="L74" i="1"/>
  <c r="K74" i="1"/>
  <c r="J74" i="1"/>
  <c r="I74" i="1"/>
  <c r="H74" i="1"/>
  <c r="G74" i="1"/>
  <c r="F74" i="1"/>
  <c r="M73" i="1"/>
  <c r="L73" i="1"/>
  <c r="K73" i="1"/>
  <c r="J73" i="1"/>
  <c r="I73" i="1"/>
  <c r="H73" i="1"/>
  <c r="G73" i="1"/>
  <c r="F73" i="1"/>
  <c r="M72" i="1"/>
  <c r="L72" i="1"/>
  <c r="K72" i="1"/>
  <c r="J72" i="1"/>
  <c r="I72" i="1"/>
  <c r="H72" i="1"/>
  <c r="G72" i="1"/>
  <c r="F72" i="1"/>
  <c r="Q70" i="1"/>
  <c r="P70" i="1"/>
  <c r="O70" i="1"/>
  <c r="N70" i="1"/>
  <c r="E70" i="1"/>
  <c r="M68" i="1"/>
  <c r="L68" i="1"/>
  <c r="K68" i="1"/>
  <c r="J68" i="1"/>
  <c r="I68" i="1"/>
  <c r="H68" i="1"/>
  <c r="G68" i="1"/>
  <c r="F68" i="1"/>
  <c r="M67" i="1"/>
  <c r="L67" i="1"/>
  <c r="K67" i="1"/>
  <c r="J67" i="1"/>
  <c r="I67" i="1"/>
  <c r="H67" i="1"/>
  <c r="G67" i="1"/>
  <c r="F67" i="1"/>
  <c r="M66" i="1"/>
  <c r="L66" i="1"/>
  <c r="K66" i="1"/>
  <c r="J66" i="1"/>
  <c r="I66" i="1"/>
  <c r="H66" i="1"/>
  <c r="G66" i="1"/>
  <c r="F66" i="1"/>
  <c r="M64" i="1"/>
  <c r="L64" i="1"/>
  <c r="K64" i="1"/>
  <c r="J64" i="1"/>
  <c r="I64" i="1"/>
  <c r="H64" i="1"/>
  <c r="G64" i="1"/>
  <c r="F64" i="1"/>
  <c r="M62" i="1"/>
  <c r="L62" i="1"/>
  <c r="K62" i="1"/>
  <c r="J62" i="1"/>
  <c r="I62" i="1"/>
  <c r="H62" i="1"/>
  <c r="G62" i="1"/>
  <c r="F62" i="1"/>
  <c r="M61" i="1"/>
  <c r="L61" i="1"/>
  <c r="K61" i="1"/>
  <c r="J61" i="1"/>
  <c r="I61" i="1"/>
  <c r="H61" i="1"/>
  <c r="G61" i="1"/>
  <c r="F61" i="1"/>
  <c r="M60" i="1"/>
  <c r="L60" i="1"/>
  <c r="K60" i="1"/>
  <c r="J60" i="1"/>
  <c r="I60" i="1"/>
  <c r="H60" i="1"/>
  <c r="G60" i="1"/>
  <c r="F60" i="1"/>
  <c r="M59" i="1"/>
  <c r="L59" i="1"/>
  <c r="K59" i="1"/>
  <c r="J59" i="1"/>
  <c r="I59" i="1"/>
  <c r="H59" i="1"/>
  <c r="G59" i="1"/>
  <c r="F59" i="1"/>
  <c r="M58" i="1"/>
  <c r="L58" i="1"/>
  <c r="K58" i="1"/>
  <c r="J58" i="1"/>
  <c r="I58" i="1"/>
  <c r="H58" i="1"/>
  <c r="G58" i="1"/>
  <c r="F58" i="1"/>
  <c r="M57" i="1"/>
  <c r="L57" i="1"/>
  <c r="K57" i="1"/>
  <c r="J57" i="1"/>
  <c r="I57" i="1"/>
  <c r="H57" i="1"/>
  <c r="G57" i="1"/>
  <c r="F57" i="1"/>
  <c r="M56" i="1"/>
  <c r="L56" i="1"/>
  <c r="K56" i="1"/>
  <c r="J56" i="1"/>
  <c r="I56" i="1"/>
  <c r="H56" i="1"/>
  <c r="G56" i="1"/>
  <c r="F56" i="1"/>
  <c r="M55" i="1"/>
  <c r="L55" i="1"/>
  <c r="K55" i="1"/>
  <c r="J55" i="1"/>
  <c r="I55" i="1"/>
  <c r="H55" i="1"/>
  <c r="G55" i="1"/>
  <c r="F55" i="1"/>
  <c r="M54" i="1"/>
  <c r="L54" i="1"/>
  <c r="K54" i="1"/>
  <c r="J54" i="1"/>
  <c r="I54" i="1"/>
  <c r="H54" i="1"/>
  <c r="G54" i="1"/>
  <c r="F54" i="1"/>
  <c r="Q52" i="1"/>
  <c r="P52" i="1"/>
  <c r="O52" i="1"/>
  <c r="N52" i="1"/>
  <c r="E52" i="1"/>
  <c r="M48" i="1"/>
  <c r="L48" i="1"/>
  <c r="K48" i="1"/>
  <c r="J48" i="1"/>
  <c r="I48" i="1"/>
  <c r="H48" i="1"/>
  <c r="G48" i="1"/>
  <c r="F48" i="1"/>
  <c r="M47" i="1"/>
  <c r="L47" i="1"/>
  <c r="K47" i="1"/>
  <c r="J47" i="1"/>
  <c r="I47" i="1"/>
  <c r="I45" i="1" s="1"/>
  <c r="H47" i="1"/>
  <c r="G47" i="1"/>
  <c r="F47" i="1"/>
  <c r="Q45" i="1"/>
  <c r="P45" i="1"/>
  <c r="O45" i="1"/>
  <c r="N45" i="1"/>
  <c r="E45" i="1"/>
  <c r="M42" i="1"/>
  <c r="L42" i="1"/>
  <c r="K42" i="1"/>
  <c r="J42" i="1"/>
  <c r="I42" i="1"/>
  <c r="H42" i="1"/>
  <c r="G42" i="1"/>
  <c r="F42" i="1"/>
  <c r="M41" i="1"/>
  <c r="M39" i="1" s="1"/>
  <c r="L41" i="1"/>
  <c r="L39" i="1" s="1"/>
  <c r="K41" i="1"/>
  <c r="J41" i="1"/>
  <c r="I41" i="1"/>
  <c r="H41" i="1"/>
  <c r="H39" i="1" s="1"/>
  <c r="G41" i="1"/>
  <c r="G39" i="1" s="1"/>
  <c r="F41" i="1"/>
  <c r="F44" i="1" s="1"/>
  <c r="E39" i="1"/>
  <c r="M35" i="1"/>
  <c r="L35" i="1"/>
  <c r="K35" i="1"/>
  <c r="J35" i="1"/>
  <c r="I35" i="1"/>
  <c r="H35" i="1"/>
  <c r="G35" i="1"/>
  <c r="F35" i="1"/>
  <c r="M34" i="1"/>
  <c r="L34" i="1"/>
  <c r="K34" i="1"/>
  <c r="J34" i="1"/>
  <c r="I34" i="1"/>
  <c r="H34" i="1"/>
  <c r="G34" i="1"/>
  <c r="F34" i="1"/>
  <c r="M33" i="1"/>
  <c r="L33" i="1"/>
  <c r="K33" i="1"/>
  <c r="J33" i="1"/>
  <c r="I33" i="1"/>
  <c r="H33" i="1"/>
  <c r="G33" i="1"/>
  <c r="F33" i="1"/>
  <c r="M32" i="1"/>
  <c r="L32" i="1"/>
  <c r="K32" i="1"/>
  <c r="J32" i="1"/>
  <c r="I32" i="1"/>
  <c r="H32" i="1"/>
  <c r="G32" i="1"/>
  <c r="F32" i="1"/>
  <c r="M31" i="1"/>
  <c r="L31" i="1"/>
  <c r="K31" i="1"/>
  <c r="J31" i="1"/>
  <c r="I31" i="1"/>
  <c r="H31" i="1"/>
  <c r="G31" i="1"/>
  <c r="F31" i="1"/>
  <c r="M30" i="1"/>
  <c r="L30" i="1"/>
  <c r="K30" i="1"/>
  <c r="J30" i="1"/>
  <c r="I30" i="1"/>
  <c r="H30" i="1"/>
  <c r="G30" i="1"/>
  <c r="F30" i="1"/>
  <c r="M29" i="1"/>
  <c r="L29" i="1"/>
  <c r="K29" i="1"/>
  <c r="J29" i="1"/>
  <c r="I29" i="1"/>
  <c r="H29" i="1"/>
  <c r="G29" i="1"/>
  <c r="F29" i="1"/>
  <c r="M28" i="1"/>
  <c r="L28" i="1"/>
  <c r="K28" i="1"/>
  <c r="J28" i="1"/>
  <c r="I28" i="1"/>
  <c r="H28" i="1"/>
  <c r="G28" i="1"/>
  <c r="F28" i="1"/>
  <c r="M24" i="1"/>
  <c r="L24" i="1"/>
  <c r="K24" i="1"/>
  <c r="J24" i="1"/>
  <c r="I24" i="1"/>
  <c r="H24" i="1"/>
  <c r="G24" i="1"/>
  <c r="F24" i="1"/>
  <c r="Q22" i="1"/>
  <c r="P22" i="1"/>
  <c r="O22" i="1"/>
  <c r="N22" i="1"/>
  <c r="E22" i="1"/>
  <c r="F36" i="1" l="1"/>
  <c r="J197" i="1"/>
  <c r="K88" i="1"/>
  <c r="K81" i="1" s="1"/>
  <c r="J88" i="1"/>
  <c r="I88" i="1"/>
  <c r="I81" i="1" s="1"/>
  <c r="H88" i="1"/>
  <c r="H81" i="1" s="1"/>
  <c r="G88" i="1"/>
  <c r="G81" i="1" s="1"/>
  <c r="L88" i="1"/>
  <c r="L81" i="1" s="1"/>
  <c r="M88" i="1"/>
  <c r="M81" i="1" s="1"/>
  <c r="H90" i="1"/>
  <c r="G250" i="1"/>
  <c r="I39" i="1"/>
  <c r="M45" i="1"/>
  <c r="J115" i="1"/>
  <c r="G108" i="1"/>
  <c r="J250" i="1"/>
  <c r="M218" i="1"/>
  <c r="K39" i="1"/>
  <c r="K38" i="1" s="1"/>
  <c r="G188" i="1"/>
  <c r="L250" i="1"/>
  <c r="K45" i="1"/>
  <c r="J128" i="1"/>
  <c r="M70" i="1"/>
  <c r="G121" i="1"/>
  <c r="H250" i="1"/>
  <c r="M203" i="1"/>
  <c r="J188" i="1"/>
  <c r="H45" i="1"/>
  <c r="H38" i="1" s="1"/>
  <c r="J39" i="1"/>
  <c r="K203" i="1"/>
  <c r="G128" i="1"/>
  <c r="L108" i="1"/>
  <c r="F99" i="1"/>
  <c r="F90" i="1" s="1"/>
  <c r="M22" i="1"/>
  <c r="K121" i="1"/>
  <c r="M108" i="1"/>
  <c r="G135" i="1"/>
  <c r="J203" i="1"/>
  <c r="L203" i="1"/>
  <c r="L45" i="1"/>
  <c r="L38" i="1" s="1"/>
  <c r="I250" i="1"/>
  <c r="M250" i="1"/>
  <c r="J218" i="1"/>
  <c r="K100" i="1"/>
  <c r="F80" i="1"/>
  <c r="F70" i="1" s="1"/>
  <c r="J45" i="1"/>
  <c r="M371" i="1"/>
  <c r="M357" i="1" s="1"/>
  <c r="I108" i="1"/>
  <c r="M135" i="1"/>
  <c r="M134" i="1" s="1"/>
  <c r="F22" i="1"/>
  <c r="J108" i="1"/>
  <c r="G70" i="1"/>
  <c r="L128" i="1"/>
  <c r="G45" i="1"/>
  <c r="F275" i="1"/>
  <c r="R285" i="1"/>
  <c r="R275" i="1" s="1"/>
  <c r="J272" i="1"/>
  <c r="H100" i="1"/>
  <c r="M90" i="1"/>
  <c r="L188" i="1"/>
  <c r="G197" i="1"/>
  <c r="I70" i="1"/>
  <c r="J90" i="1"/>
  <c r="I218" i="1"/>
  <c r="K22" i="1"/>
  <c r="G218" i="1"/>
  <c r="K52" i="1"/>
  <c r="L90" i="1"/>
  <c r="K70" i="1"/>
  <c r="K135" i="1"/>
  <c r="H52" i="1"/>
  <c r="F69" i="1"/>
  <c r="F52" i="1" s="1"/>
  <c r="J135" i="1"/>
  <c r="I135" i="1"/>
  <c r="N357" i="1"/>
  <c r="I22" i="1"/>
  <c r="K197" i="1"/>
  <c r="L100" i="1"/>
  <c r="K90" i="1"/>
  <c r="L135" i="1"/>
  <c r="J52" i="1"/>
  <c r="L115" i="1"/>
  <c r="G90" i="1"/>
  <c r="G52" i="1"/>
  <c r="G203" i="1"/>
  <c r="H203" i="1"/>
  <c r="L52" i="1"/>
  <c r="H135" i="1"/>
  <c r="P38" i="1"/>
  <c r="H371" i="1"/>
  <c r="H357" i="1" s="1"/>
  <c r="M100" i="1"/>
  <c r="I52" i="1"/>
  <c r="H108" i="1"/>
  <c r="E81" i="1"/>
  <c r="E51" i="1" s="1"/>
  <c r="J81" i="1"/>
  <c r="F195" i="1"/>
  <c r="R195" i="1" s="1"/>
  <c r="R188" i="1" s="1"/>
  <c r="G22" i="1"/>
  <c r="E134" i="1"/>
  <c r="H128" i="1"/>
  <c r="L329" i="1"/>
  <c r="F201" i="1"/>
  <c r="R201" i="1" s="1"/>
  <c r="R197" i="1" s="1"/>
  <c r="L70" i="1"/>
  <c r="M121" i="1"/>
  <c r="G329" i="1"/>
  <c r="G357" i="1"/>
  <c r="L22" i="1"/>
  <c r="N38" i="1"/>
  <c r="O357" i="1"/>
  <c r="I38" i="1"/>
  <c r="M52" i="1"/>
  <c r="J359" i="1"/>
  <c r="J357" i="1" s="1"/>
  <c r="O329" i="1"/>
  <c r="H329" i="1"/>
  <c r="P329" i="1"/>
  <c r="F340" i="1"/>
  <c r="R340" i="1" s="1"/>
  <c r="R331" i="1" s="1"/>
  <c r="M329" i="1"/>
  <c r="Q357" i="1"/>
  <c r="I197" i="1"/>
  <c r="I100" i="1"/>
  <c r="L316" i="1"/>
  <c r="K371" i="1"/>
  <c r="K357" i="1" s="1"/>
  <c r="H22" i="1"/>
  <c r="L218" i="1"/>
  <c r="F369" i="1"/>
  <c r="R369" i="1" s="1"/>
  <c r="R359" i="1" s="1"/>
  <c r="F388" i="1"/>
  <c r="R388" i="1" s="1"/>
  <c r="R371" i="1" s="1"/>
  <c r="Q38" i="1"/>
  <c r="E357" i="1"/>
  <c r="K218" i="1"/>
  <c r="I163" i="1"/>
  <c r="G316" i="1"/>
  <c r="O316" i="1"/>
  <c r="O51" i="1"/>
  <c r="N329" i="1"/>
  <c r="F161" i="1"/>
  <c r="R161" i="1" s="1"/>
  <c r="R135" i="1" s="1"/>
  <c r="O38" i="1"/>
  <c r="H70" i="1"/>
  <c r="K108" i="1"/>
  <c r="J70" i="1"/>
  <c r="N134" i="1"/>
  <c r="F174" i="1"/>
  <c r="R174" i="1" s="1"/>
  <c r="R163" i="1" s="1"/>
  <c r="K250" i="1"/>
  <c r="E38" i="1"/>
  <c r="I90" i="1"/>
  <c r="O134" i="1"/>
  <c r="I329" i="1"/>
  <c r="Q329" i="1"/>
  <c r="I357" i="1"/>
  <c r="N51" i="1"/>
  <c r="F88" i="1"/>
  <c r="F89" i="1" s="1"/>
  <c r="R89" i="1" s="1"/>
  <c r="R81" i="1" s="1"/>
  <c r="J329" i="1"/>
  <c r="Q134" i="1"/>
  <c r="J22" i="1"/>
  <c r="P51" i="1"/>
  <c r="Q51" i="1"/>
  <c r="H218" i="1"/>
  <c r="K316" i="1"/>
  <c r="P357" i="1"/>
  <c r="M38" i="1"/>
  <c r="H163" i="1"/>
  <c r="P134" i="1"/>
  <c r="I203" i="1"/>
  <c r="K329" i="1"/>
  <c r="G163" i="1"/>
  <c r="F216" i="1"/>
  <c r="F203" i="1" s="1"/>
  <c r="F248" i="1"/>
  <c r="R248" i="1" s="1"/>
  <c r="R218" i="1" s="1"/>
  <c r="F271" i="1"/>
  <c r="F250" i="1" s="1"/>
  <c r="M316" i="1"/>
  <c r="H316" i="1"/>
  <c r="F316" i="1"/>
  <c r="N316" i="1"/>
  <c r="P316" i="1"/>
  <c r="J316" i="1"/>
  <c r="R316" i="1"/>
  <c r="I316" i="1"/>
  <c r="Q316" i="1"/>
  <c r="L357" i="1"/>
  <c r="F356" i="1"/>
  <c r="R356" i="1" s="1"/>
  <c r="R342" i="1" s="1"/>
  <c r="F176" i="1"/>
  <c r="S176" i="1" s="1"/>
  <c r="F180" i="1"/>
  <c r="S180" i="1" s="1"/>
  <c r="F184" i="1"/>
  <c r="S184" i="1" s="1"/>
  <c r="R44" i="1"/>
  <c r="R39" i="1" s="1"/>
  <c r="F49" i="1"/>
  <c r="R49" i="1" s="1"/>
  <c r="R45" i="1" s="1"/>
  <c r="R107" i="1"/>
  <c r="R100" i="1" s="1"/>
  <c r="R114" i="1"/>
  <c r="R108" i="1" s="1"/>
  <c r="F120" i="1"/>
  <c r="R120" i="1" s="1"/>
  <c r="R115" i="1" s="1"/>
  <c r="F126" i="1"/>
  <c r="R126" i="1" s="1"/>
  <c r="R121" i="1" s="1"/>
  <c r="F132" i="1"/>
  <c r="R132" i="1" s="1"/>
  <c r="R128" i="1" s="1"/>
  <c r="J134" i="1" l="1"/>
  <c r="J38" i="1"/>
  <c r="R99" i="1"/>
  <c r="R90" i="1" s="1"/>
  <c r="S90" i="1" s="1"/>
  <c r="R80" i="1"/>
  <c r="R70" i="1" s="1"/>
  <c r="S70" i="1" s="1"/>
  <c r="F188" i="1"/>
  <c r="S188" i="1" s="1"/>
  <c r="G38" i="1"/>
  <c r="R69" i="1"/>
  <c r="R52" i="1" s="1"/>
  <c r="G134" i="1"/>
  <c r="L134" i="1"/>
  <c r="F274" i="1"/>
  <c r="F272" i="1" s="1"/>
  <c r="S275" i="1"/>
  <c r="R274" i="1"/>
  <c r="R272" i="1" s="1"/>
  <c r="K134" i="1"/>
  <c r="H134" i="1"/>
  <c r="G51" i="1"/>
  <c r="N20" i="1"/>
  <c r="N15" i="1" s="1"/>
  <c r="F135" i="1"/>
  <c r="L51" i="1"/>
  <c r="R357" i="1"/>
  <c r="O20" i="1"/>
  <c r="O15" i="1" s="1"/>
  <c r="F163" i="1"/>
  <c r="S163" i="1" s="1"/>
  <c r="F197" i="1"/>
  <c r="S197" i="1" s="1"/>
  <c r="I134" i="1"/>
  <c r="R329" i="1"/>
  <c r="F359" i="1"/>
  <c r="S359" i="1" s="1"/>
  <c r="M51" i="1"/>
  <c r="M20" i="1" s="1"/>
  <c r="M15" i="1" s="1"/>
  <c r="F331" i="1"/>
  <c r="I51" i="1"/>
  <c r="R216" i="1"/>
  <c r="R203" i="1" s="1"/>
  <c r="S203" i="1" s="1"/>
  <c r="E20" i="1"/>
  <c r="E15" i="1" s="1"/>
  <c r="F371" i="1"/>
  <c r="S371" i="1" s="1"/>
  <c r="J51" i="1"/>
  <c r="P20" i="1"/>
  <c r="P15" i="1" s="1"/>
  <c r="Q20" i="1"/>
  <c r="Q15" i="1" s="1"/>
  <c r="H51" i="1"/>
  <c r="K51" i="1"/>
  <c r="R38" i="1"/>
  <c r="R271" i="1"/>
  <c r="R250" i="1" s="1"/>
  <c r="S250" i="1" s="1"/>
  <c r="F81" i="1"/>
  <c r="S81" i="1" s="1"/>
  <c r="F45" i="1"/>
  <c r="F342" i="1"/>
  <c r="R134" i="1"/>
  <c r="F218" i="1"/>
  <c r="S218" i="1" s="1"/>
  <c r="F121" i="1"/>
  <c r="S121" i="1" s="1"/>
  <c r="F17" i="1"/>
  <c r="R36" i="1"/>
  <c r="R22" i="1" s="1"/>
  <c r="S22" i="1" s="1"/>
  <c r="F115" i="1"/>
  <c r="S115" i="1" s="1"/>
  <c r="F108" i="1"/>
  <c r="S108" i="1" s="1"/>
  <c r="F100" i="1"/>
  <c r="S100" i="1" s="1"/>
  <c r="F128" i="1"/>
  <c r="S128" i="1" s="1"/>
  <c r="F39" i="1"/>
  <c r="J20" i="1" l="1"/>
  <c r="J15" i="1" s="1"/>
  <c r="R51" i="1"/>
  <c r="R20" i="1" s="1"/>
  <c r="R15" i="1" s="1"/>
  <c r="K20" i="1"/>
  <c r="K15" i="1" s="1"/>
  <c r="L20" i="1"/>
  <c r="L15" i="1" s="1"/>
  <c r="S52" i="1"/>
  <c r="G20" i="1"/>
  <c r="G15" i="1" s="1"/>
  <c r="H20" i="1"/>
  <c r="H15" i="1" s="1"/>
  <c r="F134" i="1"/>
  <c r="S134" i="1" s="1"/>
  <c r="S135" i="1"/>
  <c r="S274" i="1"/>
  <c r="I20" i="1"/>
  <c r="I15" i="1" s="1"/>
  <c r="F329" i="1"/>
  <c r="S329" i="1" s="1"/>
  <c r="F357" i="1"/>
  <c r="S357" i="1" s="1"/>
  <c r="F38" i="1"/>
  <c r="S38" i="1" s="1"/>
  <c r="F51" i="1"/>
  <c r="F15" i="1" l="1"/>
  <c r="F16" i="1" s="1"/>
  <c r="S51" i="1"/>
  <c r="S15" i="1"/>
  <c r="S16" i="1" s="1"/>
  <c r="F20" i="1"/>
</calcChain>
</file>

<file path=xl/sharedStrings.xml><?xml version="1.0" encoding="utf-8"?>
<sst xmlns="http://schemas.openxmlformats.org/spreadsheetml/2006/main" count="366" uniqueCount="129">
  <si>
    <t>REPROGRAMACIÓN  DEL RENGLÓN 031 "JORNALES"</t>
  </si>
  <si>
    <t>(1) ENTIDAD: MINISTERIO DE CULTURA Y DEPORTES</t>
  </si>
  <si>
    <t xml:space="preserve">(2) FUENTE DE FINANCIAMIENTO: </t>
  </si>
  <si>
    <t>UNIDAD EJECUTORA 103 DIRECCION GENERAL DEL PATRIMONIO CULTURAL Y NATURAL</t>
  </si>
  <si>
    <t>(3) Categoria Programática y Partida Presupuestaria y Naturaleza de los servicios</t>
  </si>
  <si>
    <t>(4) JORNAL DIARIO</t>
  </si>
  <si>
    <t>(5) NÚMERO DE CONTRATOS</t>
  </si>
  <si>
    <t>(6) TOTAL</t>
  </si>
  <si>
    <t>(7) PROGRAMACION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</si>
  <si>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</si>
  <si>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</si>
  <si>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</si>
  <si>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</si>
  <si>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</si>
  <si>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</si>
  <si>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</si>
  <si>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</si>
  <si>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</si>
  <si>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</si>
  <si>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</si>
  <si>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</si>
  <si>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Jornales al Año</t>
  </si>
  <si>
    <t>Ministerio de Cultura y Deportes</t>
  </si>
  <si>
    <t>TOTAL UE</t>
  </si>
  <si>
    <t>PROGRAMADO</t>
  </si>
  <si>
    <t>PENDIENTE DE PROGRAMAR</t>
  </si>
  <si>
    <t>TRANSFERENCIA</t>
  </si>
  <si>
    <t>FUENTE 11</t>
  </si>
  <si>
    <t>DIRECCIÓN Y COORDINACIÓN</t>
  </si>
  <si>
    <t>Modificado</t>
  </si>
  <si>
    <t>AUXILIAR MISCELÁNEO</t>
  </si>
  <si>
    <t>JARDINERO II</t>
  </si>
  <si>
    <t>TALLERISTA</t>
  </si>
  <si>
    <t>CONSERJE</t>
  </si>
  <si>
    <t>MAESTRO DE OBRAS</t>
  </si>
  <si>
    <t>MENSAJERO I</t>
  </si>
  <si>
    <t>MENSAJERO II</t>
  </si>
  <si>
    <t>PEÓN VIGILANTE V</t>
  </si>
  <si>
    <t>PILOTO I DE VEHÍCULOS LIVIANOS</t>
  </si>
  <si>
    <t>Pendiente de Programar</t>
  </si>
  <si>
    <t>SERVICIOS DE INVESTIGACIÓN, CATALOGACIÓN Y REGISTRO DE BIENES CULTURALES</t>
  </si>
  <si>
    <t>ALBAÑIL I</t>
  </si>
  <si>
    <t>SERVICIOS DE ADMINISTRACIÓN Y PROTECCIÓN DE PARQUES, SITIOS ARQUEOLÓGICOS Y ZONAS DE RESCATE CULTURAL Y NATURAL</t>
  </si>
  <si>
    <t>AUXILIAR DE BODEGA</t>
  </si>
  <si>
    <t>AUXILIAR DE TOPOGRAFÍA III</t>
  </si>
  <si>
    <t>BODEGUERO II</t>
  </si>
  <si>
    <t>CAPORAL</t>
  </si>
  <si>
    <t>CONDUCTOR DE VEHÍCULOS LIVIANOS</t>
  </si>
  <si>
    <t>PEÓN</t>
  </si>
  <si>
    <t>PEÓN VIGILANTE II</t>
  </si>
  <si>
    <t>PEÓN VIVANDERA</t>
  </si>
  <si>
    <t>PERFORADOR DE SUELOS</t>
  </si>
  <si>
    <t>ALBAÑIL II</t>
  </si>
  <si>
    <t>ALBAÑIL III</t>
  </si>
  <si>
    <t>PEÓN VIGILANTE I</t>
  </si>
  <si>
    <t>CARPINTERO I</t>
  </si>
  <si>
    <t>SERVICIOS DE ADMINISTRACION DE MUSEOS</t>
  </si>
  <si>
    <t>ALBAÑIL V</t>
  </si>
  <si>
    <t>AUXIIAR MISCELANEO</t>
  </si>
  <si>
    <t>CARPINTERO II</t>
  </si>
  <si>
    <t>CARPINTERO V</t>
  </si>
  <si>
    <t>ELECTRICISTA III</t>
  </si>
  <si>
    <t>JARDINERO I</t>
  </si>
  <si>
    <t>EMBALADOR</t>
  </si>
  <si>
    <t xml:space="preserve">ALBAÑIL I </t>
  </si>
  <si>
    <t>SERVICIOS DE ADMINISTRACIÓN DEL PATRIMONIO BIBLIOGRÁFICO Y DOCUMENTAL</t>
  </si>
  <si>
    <t>BODEGUERO I</t>
  </si>
  <si>
    <t>ENCUADERNADOR</t>
  </si>
  <si>
    <t>PEON VIGILANTE I</t>
  </si>
  <si>
    <t>SERVICIOS DE CONSERVACIÓN Y RESTAURACIÓN DE BIENES CULTURALES</t>
  </si>
  <si>
    <t xml:space="preserve">ALBAÑIL II </t>
  </si>
  <si>
    <t>AUXILIAR DE ALBAÑILERÍA</t>
  </si>
  <si>
    <t>AUXILIAR DE CARPINTERÍA</t>
  </si>
  <si>
    <t>AUXILIAR DE ELECTRICIDAD</t>
  </si>
  <si>
    <t>ELECTRICISTA I</t>
  </si>
  <si>
    <t>SERVICIOS DE RESCATE Y CONSERVACIÓN DE SITIOS ARQUEOLÓGICOS Y PREHISPÁNICOS</t>
  </si>
  <si>
    <t>COCINERO</t>
  </si>
  <si>
    <t>OPERADOR DE EQUIPO</t>
  </si>
  <si>
    <t>FUENTE 29</t>
  </si>
  <si>
    <t>2021-11130015-103-12-00-000-003-000-031-29-0101-0005</t>
  </si>
  <si>
    <t>2021-1113-0015-103-12-00-000-003-000-031-0101-29-0101-0005</t>
  </si>
  <si>
    <t>2021-1113-0015-103-12-00-000-003-000-031-0403-29-0101-0005</t>
  </si>
  <si>
    <t>2021-1113-0015-103-12-00-000-003-000-031-0406-29-0101-0005</t>
  </si>
  <si>
    <t>2021-1113-0015-103-12-00-000-003-000-031-1301-29-0101-0005</t>
  </si>
  <si>
    <t>2021-1113-0015-103-12-00-000-003-000-031-1401-29-0101-0005</t>
  </si>
  <si>
    <t>2021-1113-0015-103-12-00-000-003-000-031-1701-29-0101-0005</t>
  </si>
  <si>
    <t>2021-1113-0015-103-12-00-000-004-000-031-0301-29-0101-0005</t>
  </si>
  <si>
    <t>FUENTE 31</t>
  </si>
  <si>
    <t>2021-1113-0015-103-12-00-000-003-000-031-1805-31-0000-0000</t>
  </si>
  <si>
    <t>MODIFICADO</t>
  </si>
  <si>
    <t>2021-1113-0015-103-12-00-000-004-000-031-0301-31-0000-0000</t>
  </si>
  <si>
    <t>ADMINISTRACION DEL PARQUE NACIONAL TIKAL</t>
  </si>
  <si>
    <t>2021-1113-0015-103-12-00-000-007-000-031-1701-31-0000-0000</t>
  </si>
  <si>
    <t>FUENTE 32</t>
  </si>
  <si>
    <t>AUXILIAR DE MECÁNICA</t>
  </si>
  <si>
    <t>AUXILIAR DE TOPOGRAFÍA  IV</t>
  </si>
  <si>
    <t>BODEGUERO IV</t>
  </si>
  <si>
    <t>PILOTO II DE VEHÍCULOS PESADOS</t>
  </si>
  <si>
    <t>EJERCICIO FISCAL 2022</t>
  </si>
  <si>
    <t xml:space="preserve">REPROGRAMACION DE PUESTOS RENGLON 031 "JORNALES" </t>
  </si>
  <si>
    <t>2022-1113-0015-103-12-00-000-001-000-031-0101-11-0000-0000</t>
  </si>
  <si>
    <t>2022-11130015-103-12-00-000-002-000-031-11-0000-0000</t>
  </si>
  <si>
    <t>2022-1113-0015-103-12-00-000-002-000-031-0101-11-0000-0000</t>
  </si>
  <si>
    <t>2022-1113-0015-103-12-00-000-002-000-031-1708-11-0000-0000</t>
  </si>
  <si>
    <t>2022-11130015-103-12-00-000-003-000-031-11-0000-0000</t>
  </si>
  <si>
    <t>2022-1113-0015-103-12-00-000-003-000-031-1109-11-0000-0000</t>
  </si>
  <si>
    <t>2022-1113-0015-103-12-00-000-003-000-031-1701-11-0000-0000</t>
  </si>
  <si>
    <t>2022-1113-0015-103-12-00-000-003-000-031-0101-11-0000-0000</t>
  </si>
  <si>
    <t>2022-1113-0015-103-12-00-000-003-000-031-0403-11-0000-0000</t>
  </si>
  <si>
    <t>2022-1113-0015-103-12-00-000-003-000-031-1301-11-0000-0000</t>
  </si>
  <si>
    <t>2022-1113-0015-103-12-00-000-003-000-031-0406-11-0000-0000</t>
  </si>
  <si>
    <t>2022-1113-0015-103-12-00-000-003-000-031-1401-11-0000-0000</t>
  </si>
  <si>
    <t>2022-1113-0015-103-12-00-000-003-000-031-1704-11-0000-0000</t>
  </si>
  <si>
    <t>2022-1113-0015-103-12-00-000-003-000-031-1710-11-0000-0000</t>
  </si>
  <si>
    <t>2022-11130015-103-12-00-000-004-000-031-11-0000-0000</t>
  </si>
  <si>
    <t>2022-1113-0015-103-12-00-000-004-000-031-0101-11-0000-0000</t>
  </si>
  <si>
    <t>2022-1113-0015-103-12-00-000-004-000-031-0301-11-0000-0000</t>
  </si>
  <si>
    <t>2022-1113-0015-103-12-00-000-004-000-031-0306-11-0000-0000</t>
  </si>
  <si>
    <t>2022-1113-0015-103-12-00-000-004-000-031-0503-11-0000-0000</t>
  </si>
  <si>
    <t>2022-1113-0015-103-12-00-000-004-000-031-1401-11-0000-0000</t>
  </si>
  <si>
    <t>2022-1113-0015-103-12-00-000-004-000-031-1701-11-0000-0000</t>
  </si>
  <si>
    <t>2022-1113-0015-103-12-00-000-004-000-031-1708-11-0000-0000</t>
  </si>
  <si>
    <t>2022-11130015-103-12-00-000-006-000-031-0101-11-0000-0000</t>
  </si>
  <si>
    <t>2022-11130015-103-12-00-000-008-000-031-0101-11-0000-0000</t>
  </si>
  <si>
    <t>2022-1113-0015-103-12-00-000-009-000-031-1701-11-0000-0000</t>
  </si>
  <si>
    <t>2022-1113-0015-103-12-00-000-003-000-031-1805-32-0000-0000</t>
  </si>
  <si>
    <t>2022-1113-0015-103-12-00-000-007-000-031-1701-31-0000-0000</t>
  </si>
  <si>
    <t>LAVANDERA II</t>
  </si>
  <si>
    <t xml:space="preserve">AUXILIAR DE BODEGA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</si>
</sst>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.00"/>
    <numFmt numFmtId="165" formatCode="_(* #,##0.00_);_(* \(#,##0.00\);_(* &quot;-&quot;??_);_(@_)"/>
    <numFmt numFmtId="166" formatCode="_(&quot;Q&quot;* #,##0.00_);_(&quot;Q&quot;* \(#,##0.00\);_(&quot;Q&quot;* &quot;-&quot;??_);_(@_)"/>
    <numFmt numFmtId="167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rgb="FF00000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0" fontId="1" fillId="0" borderId="0"/>
  </cellStyleXfs>
  <cellXfs count="394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5" fillId="0" borderId="0" xfId="3" applyFont="1" applyAlignment="1">
      <alignment horizontal="left"/>
    </xf>
    <xf numFmtId="0" fontId="6" fillId="0" borderId="0" xfId="3" applyFont="1"/>
    <xf numFmtId="0" fontId="5" fillId="0" borderId="0" xfId="3" applyFont="1"/>
    <xf numFmtId="4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8" fillId="3" borderId="4" xfId="3" applyFont="1" applyFill="1" applyBorder="1" applyAlignment="1">
      <alignment horizontal="center" wrapText="1"/>
    </xf>
    <xf numFmtId="0" fontId="8" fillId="3" borderId="7" xfId="3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left" vertical="center" wrapText="1"/>
    </xf>
    <xf numFmtId="0" fontId="11" fillId="3" borderId="8" xfId="3" applyFont="1" applyFill="1" applyBorder="1" applyAlignment="1">
      <alignment horizontal="center" vertical="center" wrapText="1"/>
    </xf>
    <xf numFmtId="0" fontId="11" fillId="3" borderId="8" xfId="3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4" fontId="12" fillId="3" borderId="8" xfId="0" applyNumberFormat="1" applyFont="1" applyFill="1" applyBorder="1" applyAlignment="1">
      <alignment horizontal="center" vertical="center"/>
    </xf>
    <xf numFmtId="165" fontId="9" fillId="3" borderId="8" xfId="1" applyFont="1" applyFill="1" applyBorder="1" applyAlignment="1">
      <alignment horizontal="center" vertical="center"/>
    </xf>
    <xf numFmtId="4" fontId="0" fillId="3" borderId="8" xfId="0" applyNumberFormat="1" applyFill="1" applyBorder="1"/>
    <xf numFmtId="4" fontId="0" fillId="3" borderId="0" xfId="0" applyNumberFormat="1" applyFill="1"/>
    <xf numFmtId="4" fontId="12" fillId="3" borderId="9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3" borderId="10" xfId="3" applyFont="1" applyFill="1" applyBorder="1" applyAlignment="1">
      <alignment horizontal="center" vertical="center"/>
    </xf>
    <xf numFmtId="0" fontId="13" fillId="3" borderId="11" xfId="4" applyFont="1" applyFill="1" applyBorder="1" applyAlignment="1">
      <alignment horizontal="right" vertical="center" wrapText="1"/>
    </xf>
    <xf numFmtId="0" fontId="14" fillId="3" borderId="11" xfId="3" applyFont="1" applyFill="1" applyBorder="1" applyAlignment="1">
      <alignment horizontal="center" vertical="center" wrapText="1"/>
    </xf>
    <xf numFmtId="1" fontId="10" fillId="3" borderId="11" xfId="3" applyNumberFormat="1" applyFont="1" applyFill="1" applyBorder="1" applyAlignment="1">
      <alignment horizontal="center" vertical="center"/>
    </xf>
    <xf numFmtId="4" fontId="10" fillId="3" borderId="11" xfId="3" applyNumberFormat="1" applyFont="1" applyFill="1" applyBorder="1" applyAlignment="1">
      <alignment vertical="center"/>
    </xf>
    <xf numFmtId="44" fontId="0" fillId="0" borderId="0" xfId="0" applyNumberFormat="1" applyAlignment="1">
      <alignment horizontal="center" vertical="center"/>
    </xf>
    <xf numFmtId="44" fontId="0" fillId="0" borderId="0" xfId="0" applyNumberFormat="1"/>
    <xf numFmtId="166" fontId="0" fillId="0" borderId="0" xfId="2" applyFont="1"/>
    <xf numFmtId="0" fontId="8" fillId="4" borderId="13" xfId="3" applyFont="1" applyFill="1" applyBorder="1" applyAlignment="1">
      <alignment horizontal="center" vertical="center"/>
    </xf>
    <xf numFmtId="0" fontId="13" fillId="4" borderId="14" xfId="4" applyFont="1" applyFill="1" applyBorder="1" applyAlignment="1">
      <alignment horizontal="right" vertical="center" wrapText="1"/>
    </xf>
    <xf numFmtId="0" fontId="11" fillId="4" borderId="15" xfId="3" applyFont="1" applyFill="1" applyBorder="1" applyAlignment="1">
      <alignment horizontal="center" vertical="center" wrapText="1"/>
    </xf>
    <xf numFmtId="1" fontId="8" fillId="4" borderId="16" xfId="3" applyNumberFormat="1" applyFont="1" applyFill="1" applyBorder="1" applyAlignment="1">
      <alignment horizontal="center" vertical="center"/>
    </xf>
    <xf numFmtId="4" fontId="8" fillId="4" borderId="8" xfId="3" applyNumberFormat="1" applyFont="1" applyFill="1" applyBorder="1" applyAlignment="1">
      <alignment vertical="center"/>
    </xf>
    <xf numFmtId="4" fontId="8" fillId="4" borderId="16" xfId="3" applyNumberFormat="1" applyFont="1" applyFill="1" applyBorder="1" applyAlignment="1">
      <alignment vertical="center"/>
    </xf>
    <xf numFmtId="4" fontId="8" fillId="4" borderId="17" xfId="3" applyNumberFormat="1" applyFont="1" applyFill="1" applyBorder="1" applyAlignment="1">
      <alignment vertical="center"/>
    </xf>
    <xf numFmtId="0" fontId="0" fillId="0" borderId="18" xfId="0" applyBorder="1"/>
    <xf numFmtId="0" fontId="8" fillId="4" borderId="15" xfId="3" applyFont="1" applyFill="1" applyBorder="1" applyAlignment="1">
      <alignment horizontal="center" vertical="center"/>
    </xf>
    <xf numFmtId="4" fontId="8" fillId="4" borderId="19" xfId="3" applyNumberFormat="1" applyFont="1" applyFill="1" applyBorder="1" applyAlignment="1">
      <alignment vertical="center"/>
    </xf>
    <xf numFmtId="0" fontId="13" fillId="5" borderId="8" xfId="4" applyFont="1" applyFill="1" applyBorder="1" applyAlignment="1">
      <alignment horizontal="right" vertical="center" wrapText="1"/>
    </xf>
    <xf numFmtId="0" fontId="15" fillId="5" borderId="20" xfId="3" applyFont="1" applyFill="1" applyBorder="1" applyAlignment="1">
      <alignment horizontal="center" vertical="center" wrapText="1"/>
    </xf>
    <xf numFmtId="1" fontId="6" fillId="5" borderId="21" xfId="3" applyNumberFormat="1" applyFont="1" applyFill="1" applyBorder="1" applyAlignment="1">
      <alignment horizontal="center" vertical="center"/>
    </xf>
    <xf numFmtId="4" fontId="6" fillId="5" borderId="21" xfId="3" applyNumberFormat="1" applyFont="1" applyFill="1" applyBorder="1" applyAlignment="1">
      <alignment vertical="center"/>
    </xf>
    <xf numFmtId="4" fontId="8" fillId="4" borderId="21" xfId="3" applyNumberFormat="1" applyFont="1" applyFill="1" applyBorder="1" applyAlignment="1">
      <alignment vertical="center"/>
    </xf>
    <xf numFmtId="4" fontId="8" fillId="4" borderId="9" xfId="3" applyNumberFormat="1" applyFont="1" applyFill="1" applyBorder="1" applyAlignment="1">
      <alignment vertical="center"/>
    </xf>
    <xf numFmtId="0" fontId="8" fillId="0" borderId="22" xfId="3" applyFont="1" applyBorder="1" applyAlignment="1">
      <alignment horizontal="center" vertical="center"/>
    </xf>
    <xf numFmtId="0" fontId="8" fillId="0" borderId="21" xfId="3" applyFont="1" applyBorder="1" applyAlignment="1">
      <alignment horizontal="left" vertical="center" wrapText="1"/>
    </xf>
    <xf numFmtId="0" fontId="11" fillId="0" borderId="21" xfId="3" applyFont="1" applyBorder="1" applyAlignment="1">
      <alignment horizontal="center" vertical="center" wrapText="1"/>
    </xf>
    <xf numFmtId="1" fontId="8" fillId="0" borderId="21" xfId="3" applyNumberFormat="1" applyFont="1" applyBorder="1" applyAlignment="1">
      <alignment horizontal="center" vertical="center"/>
    </xf>
    <xf numFmtId="4" fontId="8" fillId="0" borderId="21" xfId="3" applyNumberFormat="1" applyFont="1" applyBorder="1" applyAlignment="1">
      <alignment vertical="center"/>
    </xf>
    <xf numFmtId="4" fontId="8" fillId="0" borderId="12" xfId="3" applyNumberFormat="1" applyFont="1" applyBorder="1" applyAlignment="1">
      <alignment vertical="center"/>
    </xf>
    <xf numFmtId="0" fontId="10" fillId="6" borderId="23" xfId="3" applyFont="1" applyFill="1" applyBorder="1" applyAlignment="1">
      <alignment horizontal="center" vertical="center"/>
    </xf>
    <xf numFmtId="0" fontId="10" fillId="7" borderId="5" xfId="3" applyFont="1" applyFill="1" applyBorder="1" applyAlignment="1">
      <alignment horizontal="left" wrapText="1"/>
    </xf>
    <xf numFmtId="0" fontId="8" fillId="7" borderId="5" xfId="3" applyFont="1" applyFill="1" applyBorder="1"/>
    <xf numFmtId="1" fontId="10" fillId="7" borderId="5" xfId="3" applyNumberFormat="1" applyFont="1" applyFill="1" applyBorder="1" applyAlignment="1">
      <alignment horizontal="center"/>
    </xf>
    <xf numFmtId="4" fontId="10" fillId="7" borderId="5" xfId="3" applyNumberFormat="1" applyFont="1" applyFill="1" applyBorder="1"/>
    <xf numFmtId="4" fontId="10" fillId="7" borderId="6" xfId="3" applyNumberFormat="1" applyFont="1" applyFill="1" applyBorder="1"/>
    <xf numFmtId="0" fontId="8" fillId="3" borderId="24" xfId="3" applyFont="1" applyFill="1" applyBorder="1" applyAlignment="1">
      <alignment horizontal="center"/>
    </xf>
    <xf numFmtId="0" fontId="10" fillId="3" borderId="8" xfId="3" applyFont="1" applyFill="1" applyBorder="1" applyAlignment="1">
      <alignment horizontal="left" vertical="center" wrapText="1"/>
    </xf>
    <xf numFmtId="0" fontId="8" fillId="3" borderId="8" xfId="3" applyFont="1" applyFill="1" applyBorder="1"/>
    <xf numFmtId="43" fontId="8" fillId="3" borderId="8" xfId="3" applyNumberFormat="1" applyFont="1" applyFill="1" applyBorder="1"/>
    <xf numFmtId="4" fontId="8" fillId="3" borderId="8" xfId="3" applyNumberFormat="1" applyFont="1" applyFill="1" applyBorder="1"/>
    <xf numFmtId="4" fontId="8" fillId="3" borderId="9" xfId="3" applyNumberFormat="1" applyFont="1" applyFill="1" applyBorder="1"/>
    <xf numFmtId="0" fontId="8" fillId="3" borderId="20" xfId="3" applyFont="1" applyFill="1" applyBorder="1" applyAlignment="1">
      <alignment vertical="center"/>
    </xf>
    <xf numFmtId="1" fontId="10" fillId="8" borderId="21" xfId="3" applyNumberFormat="1" applyFont="1" applyFill="1" applyBorder="1" applyAlignment="1">
      <alignment horizontal="center" vertical="center"/>
    </xf>
    <xf numFmtId="43" fontId="10" fillId="8" borderId="21" xfId="1" applyNumberFormat="1" applyFont="1" applyFill="1" applyBorder="1" applyAlignment="1">
      <alignment vertical="center"/>
    </xf>
    <xf numFmtId="43" fontId="10" fillId="8" borderId="8" xfId="1" applyNumberFormat="1" applyFont="1" applyFill="1" applyBorder="1" applyAlignment="1">
      <alignment vertical="center"/>
    </xf>
    <xf numFmtId="43" fontId="10" fillId="8" borderId="25" xfId="1" applyNumberFormat="1" applyFont="1" applyFill="1" applyBorder="1" applyAlignment="1">
      <alignment vertical="center"/>
    </xf>
    <xf numFmtId="0" fontId="8" fillId="6" borderId="24" xfId="3" applyFont="1" applyFill="1" applyBorder="1" applyAlignment="1">
      <alignment vertical="center"/>
    </xf>
    <xf numFmtId="0" fontId="10" fillId="7" borderId="8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wrapText="1"/>
    </xf>
    <xf numFmtId="43" fontId="10" fillId="0" borderId="8" xfId="3" applyNumberFormat="1" applyFont="1" applyFill="1" applyBorder="1" applyAlignment="1">
      <alignment horizontal="center" vertical="center"/>
    </xf>
    <xf numFmtId="43" fontId="10" fillId="7" borderId="8" xfId="1" applyNumberFormat="1" applyFont="1" applyFill="1" applyBorder="1" applyAlignment="1">
      <alignment vertical="center"/>
    </xf>
    <xf numFmtId="43" fontId="10" fillId="0" borderId="8" xfId="1" applyNumberFormat="1" applyFont="1" applyFill="1" applyBorder="1" applyAlignment="1">
      <alignment vertical="center"/>
    </xf>
    <xf numFmtId="43" fontId="10" fillId="7" borderId="9" xfId="1" applyNumberFormat="1" applyFont="1" applyFill="1" applyBorder="1" applyAlignment="1">
      <alignment vertical="center"/>
    </xf>
    <xf numFmtId="0" fontId="8" fillId="0" borderId="24" xfId="3" applyFont="1" applyBorder="1" applyAlignment="1">
      <alignment horizontal="center"/>
    </xf>
    <xf numFmtId="0" fontId="8" fillId="0" borderId="8" xfId="3" applyFont="1" applyBorder="1" applyAlignment="1">
      <alignment horizontal="left" wrapText="1"/>
    </xf>
    <xf numFmtId="164" fontId="8" fillId="0" borderId="8" xfId="3" applyNumberFormat="1" applyFont="1" applyBorder="1"/>
    <xf numFmtId="0" fontId="8" fillId="0" borderId="8" xfId="3" applyFont="1" applyFill="1" applyBorder="1" applyAlignment="1">
      <alignment horizontal="center" vertical="center"/>
    </xf>
    <xf numFmtId="165" fontId="8" fillId="0" borderId="8" xfId="3" applyNumberFormat="1" applyFont="1" applyBorder="1" applyAlignment="1">
      <alignment horizontal="right"/>
    </xf>
    <xf numFmtId="4" fontId="8" fillId="0" borderId="8" xfId="3" applyNumberFormat="1" applyFont="1" applyBorder="1"/>
    <xf numFmtId="4" fontId="8" fillId="0" borderId="8" xfId="3" applyNumberFormat="1" applyFont="1" applyBorder="1" applyAlignment="1">
      <alignment horizontal="right"/>
    </xf>
    <xf numFmtId="4" fontId="8" fillId="0" borderId="9" xfId="3" applyNumberFormat="1" applyFont="1" applyBorder="1"/>
    <xf numFmtId="165" fontId="8" fillId="0" borderId="8" xfId="3" applyNumberFormat="1" applyFont="1" applyBorder="1"/>
    <xf numFmtId="0" fontId="8" fillId="0" borderId="20" xfId="3" applyFont="1" applyBorder="1" applyAlignment="1">
      <alignment horizontal="center"/>
    </xf>
    <xf numFmtId="0" fontId="8" fillId="0" borderId="21" xfId="3" applyFont="1" applyBorder="1" applyAlignment="1">
      <alignment horizontal="left" wrapText="1"/>
    </xf>
    <xf numFmtId="164" fontId="8" fillId="0" borderId="21" xfId="3" applyNumberFormat="1" applyFont="1" applyBorder="1"/>
    <xf numFmtId="0" fontId="8" fillId="0" borderId="21" xfId="3" applyFont="1" applyFill="1" applyBorder="1" applyAlignment="1">
      <alignment horizontal="center" vertical="center"/>
    </xf>
    <xf numFmtId="0" fontId="8" fillId="0" borderId="21" xfId="3" applyFont="1" applyBorder="1"/>
    <xf numFmtId="4" fontId="10" fillId="0" borderId="21" xfId="3" applyNumberFormat="1" applyFont="1" applyBorder="1" applyAlignment="1">
      <alignment horizontal="center"/>
    </xf>
    <xf numFmtId="4" fontId="8" fillId="0" borderId="21" xfId="3" applyNumberFormat="1" applyFont="1" applyBorder="1"/>
    <xf numFmtId="165" fontId="8" fillId="0" borderId="21" xfId="3" applyNumberFormat="1" applyFont="1" applyBorder="1" applyAlignment="1">
      <alignment horizontal="right"/>
    </xf>
    <xf numFmtId="4" fontId="8" fillId="0" borderId="25" xfId="3" applyNumberFormat="1" applyFont="1" applyBorder="1"/>
    <xf numFmtId="0" fontId="8" fillId="3" borderId="23" xfId="3" applyFont="1" applyFill="1" applyBorder="1" applyAlignment="1">
      <alignment horizontal="center"/>
    </xf>
    <xf numFmtId="0" fontId="8" fillId="3" borderId="5" xfId="3" applyFont="1" applyFill="1" applyBorder="1"/>
    <xf numFmtId="4" fontId="8" fillId="3" borderId="5" xfId="3" applyNumberFormat="1" applyFont="1" applyFill="1" applyBorder="1"/>
    <xf numFmtId="4" fontId="10" fillId="3" borderId="5" xfId="3" applyNumberFormat="1" applyFont="1" applyFill="1" applyBorder="1" applyAlignment="1">
      <alignment horizontal="center"/>
    </xf>
    <xf numFmtId="4" fontId="8" fillId="3" borderId="6" xfId="3" applyNumberFormat="1" applyFont="1" applyFill="1" applyBorder="1"/>
    <xf numFmtId="0" fontId="8" fillId="3" borderId="20" xfId="3" applyFont="1" applyFill="1" applyBorder="1" applyAlignment="1">
      <alignment horizontal="center" vertical="center"/>
    </xf>
    <xf numFmtId="1" fontId="10" fillId="8" borderId="8" xfId="3" applyNumberFormat="1" applyFont="1" applyFill="1" applyBorder="1" applyAlignment="1">
      <alignment horizontal="center" vertical="center"/>
    </xf>
    <xf numFmtId="4" fontId="10" fillId="8" borderId="8" xfId="3" applyNumberFormat="1" applyFont="1" applyFill="1" applyBorder="1" applyAlignment="1">
      <alignment vertical="center"/>
    </xf>
    <xf numFmtId="4" fontId="10" fillId="8" borderId="9" xfId="3" applyNumberFormat="1" applyFont="1" applyFill="1" applyBorder="1" applyAlignment="1">
      <alignment vertical="center"/>
    </xf>
    <xf numFmtId="1" fontId="10" fillId="0" borderId="14" xfId="3" applyNumberFormat="1" applyFont="1" applyBorder="1" applyAlignment="1">
      <alignment horizontal="center"/>
    </xf>
    <xf numFmtId="43" fontId="10" fillId="0" borderId="14" xfId="1" applyNumberFormat="1" applyFont="1" applyFill="1" applyBorder="1"/>
    <xf numFmtId="43" fontId="10" fillId="0" borderId="19" xfId="1" applyNumberFormat="1" applyFont="1" applyFill="1" applyBorder="1"/>
    <xf numFmtId="0" fontId="8" fillId="0" borderId="15" xfId="3" applyFont="1" applyBorder="1" applyAlignment="1">
      <alignment horizontal="center"/>
    </xf>
    <xf numFmtId="0" fontId="10" fillId="0" borderId="21" xfId="3" applyFont="1" applyBorder="1" applyAlignment="1">
      <alignment horizontal="center" wrapText="1"/>
    </xf>
    <xf numFmtId="43" fontId="10" fillId="0" borderId="16" xfId="1" applyNumberFormat="1" applyFont="1" applyFill="1" applyBorder="1"/>
    <xf numFmtId="43" fontId="10" fillId="0" borderId="17" xfId="1" applyNumberFormat="1" applyFont="1" applyFill="1" applyBorder="1"/>
    <xf numFmtId="165" fontId="8" fillId="0" borderId="21" xfId="3" applyNumberFormat="1" applyFont="1" applyFill="1" applyBorder="1"/>
    <xf numFmtId="4" fontId="8" fillId="0" borderId="21" xfId="3" applyNumberFormat="1" applyFont="1" applyBorder="1" applyAlignment="1">
      <alignment horizontal="right"/>
    </xf>
    <xf numFmtId="0" fontId="8" fillId="0" borderId="8" xfId="3" applyFont="1" applyBorder="1" applyAlignment="1">
      <alignment horizontal="center" vertical="center"/>
    </xf>
    <xf numFmtId="0" fontId="8" fillId="0" borderId="8" xfId="3" quotePrefix="1" applyFont="1" applyBorder="1" applyAlignment="1">
      <alignment horizontal="left" wrapText="1"/>
    </xf>
    <xf numFmtId="0" fontId="8" fillId="0" borderId="8" xfId="3" applyFont="1" applyBorder="1"/>
    <xf numFmtId="4" fontId="8" fillId="0" borderId="9" xfId="3" applyNumberFormat="1" applyFont="1" applyBorder="1" applyAlignment="1">
      <alignment horizontal="right"/>
    </xf>
    <xf numFmtId="1" fontId="10" fillId="0" borderId="8" xfId="3" applyNumberFormat="1" applyFont="1" applyBorder="1" applyAlignment="1">
      <alignment horizontal="center"/>
    </xf>
    <xf numFmtId="43" fontId="10" fillId="0" borderId="8" xfId="1" applyNumberFormat="1" applyFont="1" applyFill="1" applyBorder="1"/>
    <xf numFmtId="43" fontId="10" fillId="0" borderId="9" xfId="1" applyNumberFormat="1" applyFont="1" applyFill="1" applyBorder="1"/>
    <xf numFmtId="0" fontId="10" fillId="0" borderId="8" xfId="3" applyFont="1" applyBorder="1" applyAlignment="1">
      <alignment horizontal="center" wrapText="1"/>
    </xf>
    <xf numFmtId="43" fontId="10" fillId="0" borderId="0" xfId="1" applyNumberFormat="1" applyFont="1" applyFill="1" applyBorder="1" applyAlignment="1">
      <alignment horizontal="center" vertical="center"/>
    </xf>
    <xf numFmtId="165" fontId="8" fillId="0" borderId="8" xfId="3" applyNumberFormat="1" applyFont="1" applyFill="1" applyBorder="1"/>
    <xf numFmtId="4" fontId="10" fillId="0" borderId="8" xfId="3" applyNumberFormat="1" applyFont="1" applyBorder="1" applyAlignment="1">
      <alignment horizontal="center"/>
    </xf>
    <xf numFmtId="165" fontId="8" fillId="0" borderId="9" xfId="3" applyNumberFormat="1" applyFont="1" applyBorder="1"/>
    <xf numFmtId="0" fontId="8" fillId="3" borderId="26" xfId="3" applyFont="1" applyFill="1" applyBorder="1" applyAlignment="1">
      <alignment horizontal="center"/>
    </xf>
    <xf numFmtId="0" fontId="8" fillId="3" borderId="14" xfId="3" applyFont="1" applyFill="1" applyBorder="1"/>
    <xf numFmtId="4" fontId="8" fillId="3" borderId="14" xfId="3" applyNumberFormat="1" applyFont="1" applyFill="1" applyBorder="1"/>
    <xf numFmtId="4" fontId="8" fillId="3" borderId="27" xfId="3" applyNumberFormat="1" applyFont="1" applyFill="1" applyBorder="1"/>
    <xf numFmtId="167" fontId="0" fillId="3" borderId="9" xfId="0" applyNumberFormat="1" applyFill="1" applyBorder="1"/>
    <xf numFmtId="0" fontId="0" fillId="0" borderId="0" xfId="0" applyBorder="1" applyAlignment="1">
      <alignment horizontal="center" vertical="center"/>
    </xf>
    <xf numFmtId="0" fontId="8" fillId="3" borderId="22" xfId="3" applyFont="1" applyFill="1" applyBorder="1" applyAlignment="1">
      <alignment horizontal="center" vertical="center"/>
    </xf>
    <xf numFmtId="1" fontId="10" fillId="8" borderId="11" xfId="3" applyNumberFormat="1" applyFont="1" applyFill="1" applyBorder="1" applyAlignment="1">
      <alignment horizontal="center" vertical="center"/>
    </xf>
    <xf numFmtId="43" fontId="10" fillId="8" borderId="11" xfId="3" applyNumberFormat="1" applyFont="1" applyFill="1" applyBorder="1" applyAlignment="1">
      <alignment vertical="center"/>
    </xf>
    <xf numFmtId="43" fontId="10" fillId="8" borderId="28" xfId="3" applyNumberFormat="1" applyFont="1" applyFill="1" applyBorder="1" applyAlignment="1">
      <alignment vertical="center"/>
    </xf>
    <xf numFmtId="43" fontId="10" fillId="8" borderId="12" xfId="3" applyNumberFormat="1" applyFont="1" applyFill="1" applyBorder="1" applyAlignment="1">
      <alignment vertical="center"/>
    </xf>
    <xf numFmtId="0" fontId="8" fillId="6" borderId="26" xfId="3" applyFont="1" applyFill="1" applyBorder="1" applyAlignment="1">
      <alignment horizontal="center"/>
    </xf>
    <xf numFmtId="1" fontId="10" fillId="0" borderId="14" xfId="3" applyNumberFormat="1" applyFont="1" applyFill="1" applyBorder="1" applyAlignment="1">
      <alignment horizontal="center"/>
    </xf>
    <xf numFmtId="165" fontId="10" fillId="6" borderId="14" xfId="1" applyFont="1" applyFill="1" applyBorder="1" applyAlignment="1"/>
    <xf numFmtId="165" fontId="10" fillId="0" borderId="14" xfId="1" applyFont="1" applyFill="1" applyBorder="1"/>
    <xf numFmtId="165" fontId="10" fillId="6" borderId="14" xfId="1" applyFont="1" applyFill="1" applyBorder="1"/>
    <xf numFmtId="165" fontId="10" fillId="6" borderId="19" xfId="1" applyFont="1" applyFill="1" applyBorder="1"/>
    <xf numFmtId="44" fontId="8" fillId="0" borderId="0" xfId="3" applyNumberFormat="1" applyFont="1"/>
    <xf numFmtId="165" fontId="10" fillId="0" borderId="8" xfId="1" applyFont="1" applyFill="1" applyBorder="1" applyAlignment="1"/>
    <xf numFmtId="165" fontId="10" fillId="0" borderId="9" xfId="1" applyFont="1" applyFill="1" applyBorder="1" applyAlignment="1"/>
    <xf numFmtId="0" fontId="8" fillId="0" borderId="15" xfId="3" applyFont="1" applyBorder="1" applyAlignment="1">
      <alignment horizontal="center" vertical="center"/>
    </xf>
    <xf numFmtId="0" fontId="8" fillId="0" borderId="0" xfId="3" applyFont="1"/>
    <xf numFmtId="0" fontId="8" fillId="0" borderId="26" xfId="3" applyFont="1" applyBorder="1" applyAlignment="1">
      <alignment horizontal="center"/>
    </xf>
    <xf numFmtId="0" fontId="8" fillId="0" borderId="14" xfId="3" applyFont="1" applyBorder="1" applyAlignment="1">
      <alignment horizontal="left" wrapText="1"/>
    </xf>
    <xf numFmtId="164" fontId="8" fillId="0" borderId="14" xfId="3" applyNumberFormat="1" applyFont="1" applyFill="1" applyBorder="1"/>
    <xf numFmtId="0" fontId="8" fillId="0" borderId="14" xfId="3" applyFont="1" applyFill="1" applyBorder="1" applyAlignment="1">
      <alignment horizontal="center" vertical="center"/>
    </xf>
    <xf numFmtId="165" fontId="8" fillId="0" borderId="14" xfId="3" applyNumberFormat="1" applyFont="1" applyFill="1" applyBorder="1"/>
    <xf numFmtId="4" fontId="8" fillId="0" borderId="14" xfId="3" applyNumberFormat="1" applyFont="1" applyFill="1" applyBorder="1"/>
    <xf numFmtId="4" fontId="8" fillId="0" borderId="14" xfId="3" applyNumberFormat="1" applyFont="1" applyFill="1" applyBorder="1" applyAlignment="1">
      <alignment horizontal="right"/>
    </xf>
    <xf numFmtId="4" fontId="8" fillId="0" borderId="8" xfId="3" applyNumberFormat="1" applyFont="1" applyFill="1" applyBorder="1"/>
    <xf numFmtId="4" fontId="8" fillId="0" borderId="9" xfId="3" applyNumberFormat="1" applyFont="1" applyFill="1" applyBorder="1"/>
    <xf numFmtId="0" fontId="0" fillId="0" borderId="18" xfId="0" applyFill="1" applyBorder="1"/>
    <xf numFmtId="0" fontId="8" fillId="0" borderId="24" xfId="3" applyFont="1" applyFill="1" applyBorder="1" applyAlignment="1">
      <alignment horizontal="center"/>
    </xf>
    <xf numFmtId="0" fontId="8" fillId="0" borderId="8" xfId="3" applyFont="1" applyFill="1" applyBorder="1" applyAlignment="1">
      <alignment horizontal="left" wrapText="1"/>
    </xf>
    <xf numFmtId="164" fontId="8" fillId="0" borderId="8" xfId="3" applyNumberFormat="1" applyFont="1" applyFill="1" applyBorder="1"/>
    <xf numFmtId="0" fontId="8" fillId="0" borderId="0" xfId="3" applyFont="1" applyFill="1"/>
    <xf numFmtId="0" fontId="0" fillId="0" borderId="0" xfId="0" applyFill="1"/>
    <xf numFmtId="0" fontId="4" fillId="0" borderId="8" xfId="3" applyFont="1" applyFill="1" applyBorder="1" applyAlignment="1">
      <alignment horizontal="center" vertical="center"/>
    </xf>
    <xf numFmtId="165" fontId="4" fillId="0" borderId="8" xfId="3" applyNumberFormat="1" applyFont="1" applyFill="1" applyBorder="1"/>
    <xf numFmtId="0" fontId="8" fillId="0" borderId="0" xfId="3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10" fillId="0" borderId="8" xfId="3" applyNumberFormat="1" applyFont="1" applyFill="1" applyBorder="1" applyAlignment="1">
      <alignment horizontal="center"/>
    </xf>
    <xf numFmtId="165" fontId="10" fillId="6" borderId="8" xfId="1" applyFont="1" applyFill="1" applyBorder="1" applyAlignment="1"/>
    <xf numFmtId="2" fontId="0" fillId="0" borderId="8" xfId="0" applyNumberFormat="1" applyBorder="1"/>
    <xf numFmtId="4" fontId="0" fillId="0" borderId="0" xfId="0" applyNumberFormat="1" applyBorder="1"/>
    <xf numFmtId="165" fontId="8" fillId="0" borderId="9" xfId="3" applyNumberFormat="1" applyFont="1" applyBorder="1" applyAlignment="1">
      <alignment horizontal="right"/>
    </xf>
    <xf numFmtId="43" fontId="8" fillId="0" borderId="15" xfId="3" applyNumberFormat="1" applyFont="1" applyBorder="1" applyAlignment="1">
      <alignment horizontal="center" vertical="center"/>
    </xf>
    <xf numFmtId="167" fontId="8" fillId="0" borderId="8" xfId="3" applyNumberFormat="1" applyFont="1" applyFill="1" applyBorder="1"/>
    <xf numFmtId="4" fontId="0" fillId="0" borderId="0" xfId="0" applyNumberFormat="1" applyFill="1" applyBorder="1"/>
    <xf numFmtId="165" fontId="10" fillId="0" borderId="8" xfId="1" applyFont="1" applyFill="1" applyBorder="1" applyAlignment="1">
      <alignment horizontal="right"/>
    </xf>
    <xf numFmtId="165" fontId="8" fillId="0" borderId="8" xfId="3" applyNumberFormat="1" applyFont="1" applyFill="1" applyBorder="1" applyAlignment="1">
      <alignment horizontal="right"/>
    </xf>
    <xf numFmtId="0" fontId="0" fillId="0" borderId="8" xfId="0" applyBorder="1"/>
    <xf numFmtId="167" fontId="8" fillId="0" borderId="8" xfId="3" applyNumberFormat="1" applyFont="1" applyBorder="1"/>
    <xf numFmtId="165" fontId="10" fillId="0" borderId="8" xfId="1" applyFont="1" applyFill="1" applyBorder="1"/>
    <xf numFmtId="165" fontId="10" fillId="0" borderId="9" xfId="1" applyFont="1" applyFill="1" applyBorder="1"/>
    <xf numFmtId="0" fontId="8" fillId="0" borderId="26" xfId="3" applyFont="1" applyBorder="1" applyAlignment="1">
      <alignment horizontal="center" vertical="center"/>
    </xf>
    <xf numFmtId="165" fontId="10" fillId="0" borderId="8" xfId="1" applyFont="1" applyFill="1" applyBorder="1" applyAlignment="1">
      <alignment horizontal="center"/>
    </xf>
    <xf numFmtId="165" fontId="10" fillId="0" borderId="9" xfId="1" applyFont="1" applyFill="1" applyBorder="1" applyAlignment="1">
      <alignment horizontal="right"/>
    </xf>
    <xf numFmtId="165" fontId="10" fillId="6" borderId="8" xfId="1" applyFont="1" applyFill="1" applyBorder="1" applyAlignment="1">
      <alignment horizontal="right"/>
    </xf>
    <xf numFmtId="4" fontId="8" fillId="0" borderId="14" xfId="3" applyNumberFormat="1" applyFont="1" applyBorder="1"/>
    <xf numFmtId="0" fontId="8" fillId="0" borderId="8" xfId="3" applyFont="1" applyFill="1" applyBorder="1"/>
    <xf numFmtId="4" fontId="8" fillId="0" borderId="8" xfId="3" applyNumberFormat="1" applyFont="1" applyFill="1" applyBorder="1" applyAlignment="1">
      <alignment horizontal="right"/>
    </xf>
    <xf numFmtId="0" fontId="10" fillId="0" borderId="15" xfId="3" applyFont="1" applyBorder="1" applyAlignment="1">
      <alignment horizontal="center" vertical="center"/>
    </xf>
    <xf numFmtId="165" fontId="8" fillId="0" borderId="12" xfId="3" applyNumberFormat="1" applyFont="1" applyBorder="1" applyAlignment="1">
      <alignment horizontal="right"/>
    </xf>
    <xf numFmtId="0" fontId="8" fillId="3" borderId="29" xfId="3" applyFont="1" applyFill="1" applyBorder="1" applyAlignment="1">
      <alignment horizontal="center"/>
    </xf>
    <xf numFmtId="0" fontId="10" fillId="3" borderId="13" xfId="3" applyFont="1" applyFill="1" applyBorder="1" applyAlignment="1">
      <alignment horizontal="left" vertical="center" wrapText="1"/>
    </xf>
    <xf numFmtId="0" fontId="8" fillId="3" borderId="30" xfId="3" applyFont="1" applyFill="1" applyBorder="1"/>
    <xf numFmtId="4" fontId="8" fillId="3" borderId="30" xfId="3" applyNumberFormat="1" applyFont="1" applyFill="1" applyBorder="1"/>
    <xf numFmtId="4" fontId="10" fillId="3" borderId="30" xfId="3" applyNumberFormat="1" applyFont="1" applyFill="1" applyBorder="1" applyAlignment="1">
      <alignment horizontal="center"/>
    </xf>
    <xf numFmtId="4" fontId="8" fillId="3" borderId="31" xfId="3" applyNumberFormat="1" applyFont="1" applyFill="1" applyBorder="1"/>
    <xf numFmtId="165" fontId="10" fillId="8" borderId="11" xfId="3" applyNumberFormat="1" applyFont="1" applyFill="1" applyBorder="1" applyAlignment="1">
      <alignment vertical="center"/>
    </xf>
    <xf numFmtId="165" fontId="10" fillId="8" borderId="12" xfId="3" applyNumberFormat="1" applyFont="1" applyFill="1" applyBorder="1" applyAlignment="1">
      <alignment vertical="center"/>
    </xf>
    <xf numFmtId="1" fontId="10" fillId="6" borderId="14" xfId="3" applyNumberFormat="1" applyFont="1" applyFill="1" applyBorder="1" applyAlignment="1">
      <alignment horizontal="center"/>
    </xf>
    <xf numFmtId="43" fontId="10" fillId="6" borderId="14" xfId="1" applyNumberFormat="1" applyFont="1" applyFill="1" applyBorder="1" applyAlignment="1"/>
    <xf numFmtId="43" fontId="10" fillId="0" borderId="14" xfId="1" applyNumberFormat="1" applyFont="1" applyFill="1" applyBorder="1" applyAlignment="1"/>
    <xf numFmtId="43" fontId="10" fillId="6" borderId="19" xfId="1" applyNumberFormat="1" applyFont="1" applyFill="1" applyBorder="1" applyAlignment="1"/>
    <xf numFmtId="2" fontId="16" fillId="0" borderId="8" xfId="1" applyNumberFormat="1" applyFont="1" applyFill="1" applyBorder="1" applyAlignment="1"/>
    <xf numFmtId="164" fontId="10" fillId="0" borderId="8" xfId="2" applyNumberFormat="1" applyFont="1" applyFill="1" applyBorder="1" applyAlignment="1"/>
    <xf numFmtId="4" fontId="0" fillId="0" borderId="0" xfId="0" applyNumberFormat="1" applyFill="1"/>
    <xf numFmtId="164" fontId="8" fillId="0" borderId="14" xfId="3" applyNumberFormat="1" applyFont="1" applyBorder="1"/>
    <xf numFmtId="0" fontId="8" fillId="0" borderId="14" xfId="3" applyFont="1" applyFill="1" applyBorder="1" applyAlignment="1">
      <alignment horizontal="center"/>
    </xf>
    <xf numFmtId="4" fontId="8" fillId="0" borderId="14" xfId="3" applyNumberFormat="1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4" fontId="8" fillId="0" borderId="16" xfId="3" applyNumberFormat="1" applyFont="1" applyBorder="1"/>
    <xf numFmtId="4" fontId="8" fillId="0" borderId="16" xfId="3" applyNumberFormat="1" applyFont="1" applyBorder="1" applyAlignment="1">
      <alignment horizontal="right"/>
    </xf>
    <xf numFmtId="0" fontId="2" fillId="0" borderId="18" xfId="0" applyFont="1" applyFill="1" applyBorder="1"/>
    <xf numFmtId="0" fontId="2" fillId="0" borderId="0" xfId="0" applyFont="1" applyFill="1"/>
    <xf numFmtId="0" fontId="10" fillId="0" borderId="8" xfId="3" applyFont="1" applyFill="1" applyBorder="1" applyAlignment="1">
      <alignment horizontal="center" vertical="center" wrapText="1"/>
    </xf>
    <xf numFmtId="43" fontId="10" fillId="6" borderId="9" xfId="1" applyNumberFormat="1" applyFont="1" applyFill="1" applyBorder="1"/>
    <xf numFmtId="0" fontId="8" fillId="0" borderId="21" xfId="3" applyFont="1" applyBorder="1" applyAlignment="1">
      <alignment horizontal="center" vertical="center"/>
    </xf>
    <xf numFmtId="0" fontId="10" fillId="8" borderId="11" xfId="3" applyFont="1" applyFill="1" applyBorder="1" applyAlignment="1">
      <alignment horizontal="center" vertical="center"/>
    </xf>
    <xf numFmtId="4" fontId="10" fillId="8" borderId="11" xfId="3" applyNumberFormat="1" applyFont="1" applyFill="1" applyBorder="1" applyAlignment="1">
      <alignment vertical="center"/>
    </xf>
    <xf numFmtId="43" fontId="10" fillId="8" borderId="11" xfId="1" applyNumberFormat="1" applyFont="1" applyFill="1" applyBorder="1"/>
    <xf numFmtId="4" fontId="10" fillId="8" borderId="12" xfId="3" applyNumberFormat="1" applyFont="1" applyFill="1" applyBorder="1" applyAlignment="1">
      <alignment vertical="center"/>
    </xf>
    <xf numFmtId="2" fontId="10" fillId="0" borderId="8" xfId="2" applyNumberFormat="1" applyFont="1" applyFill="1" applyBorder="1" applyAlignment="1"/>
    <xf numFmtId="0" fontId="8" fillId="0" borderId="26" xfId="3" applyFont="1" applyFill="1" applyBorder="1" applyAlignment="1">
      <alignment horizontal="center"/>
    </xf>
    <xf numFmtId="0" fontId="8" fillId="0" borderId="14" xfId="3" applyFont="1" applyFill="1" applyBorder="1" applyAlignment="1">
      <alignment horizontal="left" wrapText="1"/>
    </xf>
    <xf numFmtId="0" fontId="8" fillId="0" borderId="22" xfId="3" applyFont="1" applyBorder="1" applyAlignment="1">
      <alignment horizontal="center"/>
    </xf>
    <xf numFmtId="0" fontId="8" fillId="0" borderId="11" xfId="3" applyFont="1" applyBorder="1" applyAlignment="1">
      <alignment horizontal="left" wrapText="1"/>
    </xf>
    <xf numFmtId="164" fontId="8" fillId="0" borderId="11" xfId="3" applyNumberFormat="1" applyFont="1" applyBorder="1"/>
    <xf numFmtId="0" fontId="8" fillId="0" borderId="11" xfId="3" applyFont="1" applyBorder="1" applyAlignment="1">
      <alignment horizontal="center" vertical="center"/>
    </xf>
    <xf numFmtId="165" fontId="8" fillId="0" borderId="11" xfId="3" applyNumberFormat="1" applyFont="1" applyBorder="1"/>
    <xf numFmtId="4" fontId="8" fillId="0" borderId="11" xfId="3" applyNumberFormat="1" applyFont="1" applyBorder="1" applyAlignment="1">
      <alignment horizontal="right"/>
    </xf>
    <xf numFmtId="0" fontId="8" fillId="0" borderId="11" xfId="3" applyFont="1" applyBorder="1"/>
    <xf numFmtId="4" fontId="8" fillId="0" borderId="11" xfId="3" applyNumberFormat="1" applyFont="1" applyBorder="1"/>
    <xf numFmtId="165" fontId="8" fillId="0" borderId="12" xfId="3" applyNumberFormat="1" applyFont="1" applyBorder="1"/>
    <xf numFmtId="43" fontId="0" fillId="0" borderId="0" xfId="0" applyNumberFormat="1" applyAlignment="1">
      <alignment horizontal="center" vertical="center"/>
    </xf>
    <xf numFmtId="0" fontId="8" fillId="3" borderId="22" xfId="3" applyFont="1" applyFill="1" applyBorder="1" applyAlignment="1">
      <alignment horizontal="center"/>
    </xf>
    <xf numFmtId="0" fontId="10" fillId="8" borderId="11" xfId="3" applyFont="1" applyFill="1" applyBorder="1" applyAlignment="1">
      <alignment horizontal="center"/>
    </xf>
    <xf numFmtId="4" fontId="10" fillId="8" borderId="11" xfId="3" applyNumberFormat="1" applyFont="1" applyFill="1" applyBorder="1"/>
    <xf numFmtId="4" fontId="10" fillId="8" borderId="12" xfId="3" applyNumberFormat="1" applyFont="1" applyFill="1" applyBorder="1"/>
    <xf numFmtId="0" fontId="8" fillId="0" borderId="8" xfId="3" applyFont="1" applyFill="1" applyBorder="1" applyAlignment="1">
      <alignment horizontal="center"/>
    </xf>
    <xf numFmtId="4" fontId="8" fillId="0" borderId="21" xfId="3" applyNumberFormat="1" applyFont="1" applyFill="1" applyBorder="1"/>
    <xf numFmtId="165" fontId="8" fillId="0" borderId="21" xfId="3" applyNumberFormat="1" applyFont="1" applyBorder="1"/>
    <xf numFmtId="4" fontId="8" fillId="0" borderId="25" xfId="3" applyNumberFormat="1" applyFont="1" applyFill="1" applyBorder="1"/>
    <xf numFmtId="0" fontId="10" fillId="3" borderId="5" xfId="3" applyFont="1" applyFill="1" applyBorder="1" applyAlignment="1">
      <alignment horizontal="left" wrapText="1"/>
    </xf>
    <xf numFmtId="164" fontId="10" fillId="3" borderId="5" xfId="3" applyNumberFormat="1" applyFont="1" applyFill="1" applyBorder="1"/>
    <xf numFmtId="1" fontId="17" fillId="3" borderId="5" xfId="3" applyNumberFormat="1" applyFont="1" applyFill="1" applyBorder="1" applyAlignment="1">
      <alignment horizontal="center"/>
    </xf>
    <xf numFmtId="4" fontId="17" fillId="3" borderId="5" xfId="3" applyNumberFormat="1" applyFont="1" applyFill="1" applyBorder="1"/>
    <xf numFmtId="0" fontId="10" fillId="8" borderId="11" xfId="1" applyNumberFormat="1" applyFont="1" applyFill="1" applyBorder="1" applyAlignment="1">
      <alignment horizontal="center"/>
    </xf>
    <xf numFmtId="43" fontId="10" fillId="8" borderId="11" xfId="1" applyNumberFormat="1" applyFont="1" applyFill="1" applyBorder="1" applyAlignment="1">
      <alignment horizontal="center"/>
    </xf>
    <xf numFmtId="4" fontId="10" fillId="3" borderId="12" xfId="3" applyNumberFormat="1" applyFont="1" applyFill="1" applyBorder="1"/>
    <xf numFmtId="165" fontId="10" fillId="0" borderId="19" xfId="1" applyFont="1" applyFill="1" applyBorder="1" applyAlignment="1"/>
    <xf numFmtId="164" fontId="10" fillId="7" borderId="30" xfId="3" applyNumberFormat="1" applyFont="1" applyFill="1" applyBorder="1"/>
    <xf numFmtId="1" fontId="10" fillId="7" borderId="30" xfId="3" applyNumberFormat="1" applyFont="1" applyFill="1" applyBorder="1" applyAlignment="1">
      <alignment horizontal="center"/>
    </xf>
    <xf numFmtId="4" fontId="10" fillId="7" borderId="30" xfId="3" applyNumberFormat="1" applyFont="1" applyFill="1" applyBorder="1"/>
    <xf numFmtId="4" fontId="10" fillId="7" borderId="31" xfId="3" applyNumberFormat="1" applyFont="1" applyFill="1" applyBorder="1"/>
    <xf numFmtId="3" fontId="10" fillId="3" borderId="5" xfId="3" applyNumberFormat="1" applyFont="1" applyFill="1" applyBorder="1" applyAlignment="1">
      <alignment horizontal="center"/>
    </xf>
    <xf numFmtId="4" fontId="10" fillId="3" borderId="5" xfId="3" applyNumberFormat="1" applyFont="1" applyFill="1" applyBorder="1"/>
    <xf numFmtId="4" fontId="10" fillId="3" borderId="6" xfId="3" applyNumberFormat="1" applyFont="1" applyFill="1" applyBorder="1"/>
    <xf numFmtId="3" fontId="10" fillId="8" borderId="11" xfId="3" applyNumberFormat="1" applyFont="1" applyFill="1" applyBorder="1" applyAlignment="1">
      <alignment horizontal="center"/>
    </xf>
    <xf numFmtId="0" fontId="8" fillId="0" borderId="23" xfId="3" applyFont="1" applyBorder="1" applyAlignment="1">
      <alignment horizontal="center"/>
    </xf>
    <xf numFmtId="1" fontId="8" fillId="0" borderId="14" xfId="3" applyNumberFormat="1" applyFont="1" applyFill="1" applyBorder="1" applyAlignment="1">
      <alignment horizontal="center"/>
    </xf>
    <xf numFmtId="43" fontId="8" fillId="0" borderId="14" xfId="1" applyNumberFormat="1" applyFont="1" applyFill="1" applyBorder="1"/>
    <xf numFmtId="43" fontId="8" fillId="0" borderId="19" xfId="1" applyNumberFormat="1" applyFont="1" applyFill="1" applyBorder="1"/>
    <xf numFmtId="0" fontId="0" fillId="0" borderId="24" xfId="0" applyBorder="1"/>
    <xf numFmtId="0" fontId="10" fillId="0" borderId="24" xfId="3" applyFont="1" applyBorder="1" applyAlignment="1">
      <alignment horizontal="left" wrapText="1"/>
    </xf>
    <xf numFmtId="0" fontId="10" fillId="7" borderId="8" xfId="3" applyFont="1" applyFill="1" applyBorder="1" applyAlignment="1">
      <alignment horizontal="left" wrapText="1"/>
    </xf>
    <xf numFmtId="1" fontId="10" fillId="7" borderId="8" xfId="3" applyNumberFormat="1" applyFont="1" applyFill="1" applyBorder="1" applyAlignment="1">
      <alignment horizontal="center"/>
    </xf>
    <xf numFmtId="43" fontId="10" fillId="7" borderId="8" xfId="1" applyNumberFormat="1" applyFont="1" applyFill="1" applyBorder="1"/>
    <xf numFmtId="0" fontId="8" fillId="0" borderId="24" xfId="3" applyFont="1" applyBorder="1" applyAlignment="1">
      <alignment horizontal="left" wrapText="1"/>
    </xf>
    <xf numFmtId="1" fontId="8" fillId="6" borderId="16" xfId="3" applyNumberFormat="1" applyFont="1" applyFill="1" applyBorder="1" applyAlignment="1">
      <alignment horizontal="center"/>
    </xf>
    <xf numFmtId="43" fontId="8" fillId="0" borderId="16" xfId="1" applyNumberFormat="1" applyFont="1" applyFill="1" applyBorder="1"/>
    <xf numFmtId="43" fontId="8" fillId="0" borderId="17" xfId="1" applyNumberFormat="1" applyFont="1" applyFill="1" applyBorder="1"/>
    <xf numFmtId="0" fontId="8" fillId="0" borderId="16" xfId="3" applyFont="1" applyBorder="1" applyAlignment="1">
      <alignment horizontal="center" vertical="center"/>
    </xf>
    <xf numFmtId="4" fontId="8" fillId="0" borderId="17" xfId="3" applyNumberFormat="1" applyFont="1" applyBorder="1"/>
    <xf numFmtId="1" fontId="8" fillId="0" borderId="16" xfId="3" applyNumberFormat="1" applyFont="1" applyBorder="1" applyAlignment="1">
      <alignment horizontal="center"/>
    </xf>
    <xf numFmtId="0" fontId="8" fillId="0" borderId="15" xfId="3" applyFont="1" applyBorder="1" applyAlignment="1">
      <alignment horizontal="left" wrapText="1"/>
    </xf>
    <xf numFmtId="164" fontId="8" fillId="0" borderId="16" xfId="3" applyNumberFormat="1" applyFont="1" applyBorder="1"/>
    <xf numFmtId="4" fontId="10" fillId="0" borderId="16" xfId="3" applyNumberFormat="1" applyFont="1" applyBorder="1" applyAlignment="1">
      <alignment horizontal="center"/>
    </xf>
    <xf numFmtId="165" fontId="8" fillId="0" borderId="16" xfId="3" applyNumberFormat="1" applyFont="1" applyBorder="1"/>
    <xf numFmtId="164" fontId="8" fillId="3" borderId="30" xfId="3" applyNumberFormat="1" applyFont="1" applyFill="1" applyBorder="1"/>
    <xf numFmtId="0" fontId="8" fillId="3" borderId="30" xfId="3" applyFont="1" applyFill="1" applyBorder="1" applyAlignment="1">
      <alignment horizontal="center" vertical="center"/>
    </xf>
    <xf numFmtId="165" fontId="8" fillId="3" borderId="30" xfId="3" applyNumberFormat="1" applyFont="1" applyFill="1" applyBorder="1"/>
    <xf numFmtId="4" fontId="8" fillId="3" borderId="30" xfId="3" applyNumberFormat="1" applyFont="1" applyFill="1" applyBorder="1" applyAlignment="1">
      <alignment horizontal="right"/>
    </xf>
    <xf numFmtId="0" fontId="8" fillId="3" borderId="38" xfId="3" applyFont="1" applyFill="1" applyBorder="1" applyAlignment="1">
      <alignment horizontal="center"/>
    </xf>
    <xf numFmtId="1" fontId="10" fillId="8" borderId="11" xfId="3" applyNumberFormat="1" applyFont="1" applyFill="1" applyBorder="1" applyAlignment="1">
      <alignment horizontal="center"/>
    </xf>
    <xf numFmtId="43" fontId="10" fillId="8" borderId="12" xfId="1" applyNumberFormat="1" applyFont="1" applyFill="1" applyBorder="1"/>
    <xf numFmtId="0" fontId="10" fillId="0" borderId="0" xfId="3" applyFont="1" applyBorder="1" applyAlignment="1">
      <alignment horizontal="left" wrapText="1"/>
    </xf>
    <xf numFmtId="0" fontId="10" fillId="7" borderId="15" xfId="3" applyFont="1" applyFill="1" applyBorder="1" applyAlignment="1">
      <alignment horizontal="left" wrapText="1"/>
    </xf>
    <xf numFmtId="1" fontId="10" fillId="7" borderId="16" xfId="3" applyNumberFormat="1" applyFont="1" applyFill="1" applyBorder="1" applyAlignment="1">
      <alignment horizontal="center"/>
    </xf>
    <xf numFmtId="43" fontId="10" fillId="7" borderId="16" xfId="1" applyNumberFormat="1" applyFont="1" applyFill="1" applyBorder="1"/>
    <xf numFmtId="0" fontId="8" fillId="0" borderId="32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10" fillId="7" borderId="39" xfId="3" applyFont="1" applyFill="1" applyBorder="1" applyAlignment="1">
      <alignment horizontal="left" wrapText="1"/>
    </xf>
    <xf numFmtId="0" fontId="10" fillId="3" borderId="30" xfId="3" applyFont="1" applyFill="1" applyBorder="1" applyAlignment="1">
      <alignment horizontal="center"/>
    </xf>
    <xf numFmtId="4" fontId="10" fillId="3" borderId="30" xfId="3" applyNumberFormat="1" applyFont="1" applyFill="1" applyBorder="1"/>
    <xf numFmtId="4" fontId="10" fillId="3" borderId="31" xfId="3" applyNumberFormat="1" applyFont="1" applyFill="1" applyBorder="1"/>
    <xf numFmtId="0" fontId="10" fillId="0" borderId="14" xfId="3" applyFont="1" applyBorder="1" applyAlignment="1">
      <alignment horizontal="left" wrapText="1"/>
    </xf>
    <xf numFmtId="0" fontId="10" fillId="7" borderId="14" xfId="3" applyFont="1" applyFill="1" applyBorder="1" applyAlignment="1">
      <alignment horizontal="left" wrapText="1"/>
    </xf>
    <xf numFmtId="1" fontId="10" fillId="7" borderId="14" xfId="3" applyNumberFormat="1" applyFont="1" applyFill="1" applyBorder="1" applyAlignment="1">
      <alignment horizontal="center"/>
    </xf>
    <xf numFmtId="43" fontId="10" fillId="7" borderId="14" xfId="1" applyNumberFormat="1" applyFont="1" applyFill="1" applyBorder="1"/>
    <xf numFmtId="0" fontId="10" fillId="3" borderId="35" xfId="3" applyFont="1" applyFill="1" applyBorder="1" applyAlignment="1">
      <alignment horizontal="left" wrapText="1"/>
    </xf>
    <xf numFmtId="0" fontId="8" fillId="0" borderId="29" xfId="3" applyFont="1" applyBorder="1" applyAlignment="1">
      <alignment horizontal="center"/>
    </xf>
    <xf numFmtId="4" fontId="8" fillId="0" borderId="12" xfId="3" applyNumberFormat="1" applyFont="1" applyBorder="1"/>
    <xf numFmtId="0" fontId="10" fillId="3" borderId="13" xfId="3" applyFont="1" applyFill="1" applyBorder="1" applyAlignment="1">
      <alignment horizontal="left" wrapText="1"/>
    </xf>
    <xf numFmtId="166" fontId="0" fillId="0" borderId="0" xfId="2" applyFont="1" applyFill="1"/>
    <xf numFmtId="0" fontId="8" fillId="0" borderId="8" xfId="3" quotePrefix="1" applyFont="1" applyFill="1" applyBorder="1" applyAlignment="1">
      <alignment horizontal="left" wrapText="1"/>
    </xf>
    <xf numFmtId="0" fontId="18" fillId="0" borderId="18" xfId="0" applyFont="1" applyFill="1" applyBorder="1"/>
    <xf numFmtId="0" fontId="4" fillId="0" borderId="24" xfId="3" applyFont="1" applyFill="1" applyBorder="1" applyAlignment="1">
      <alignment horizontal="center"/>
    </xf>
    <xf numFmtId="0" fontId="4" fillId="0" borderId="8" xfId="3" applyFont="1" applyFill="1" applyBorder="1" applyAlignment="1">
      <alignment horizontal="left" wrapText="1"/>
    </xf>
    <xf numFmtId="164" fontId="4" fillId="0" borderId="8" xfId="3" applyNumberFormat="1" applyFont="1" applyFill="1" applyBorder="1"/>
    <xf numFmtId="4" fontId="4" fillId="0" borderId="8" xfId="3" applyNumberFormat="1" applyFont="1" applyFill="1" applyBorder="1"/>
    <xf numFmtId="0" fontId="18" fillId="0" borderId="0" xfId="0" applyFont="1" applyFill="1"/>
    <xf numFmtId="4" fontId="0" fillId="0" borderId="0" xfId="0" applyNumberFormat="1" applyBorder="1" applyAlignment="1">
      <alignment horizontal="center" vertical="center"/>
    </xf>
    <xf numFmtId="4" fontId="8" fillId="0" borderId="12" xfId="3" applyNumberFormat="1" applyFont="1" applyFill="1" applyBorder="1"/>
    <xf numFmtId="0" fontId="8" fillId="0" borderId="24" xfId="3" applyFont="1" applyBorder="1" applyAlignment="1">
      <alignment horizontal="left" wrapText="1"/>
    </xf>
    <xf numFmtId="0" fontId="8" fillId="0" borderId="24" xfId="3" applyFont="1" applyBorder="1" applyAlignment="1">
      <alignment horizontal="center"/>
    </xf>
    <xf numFmtId="0" fontId="10" fillId="0" borderId="8" xfId="3" applyFont="1" applyBorder="1" applyAlignment="1">
      <alignment horizontal="center" wrapText="1"/>
    </xf>
    <xf numFmtId="0" fontId="10" fillId="0" borderId="8" xfId="3" applyFont="1" applyFill="1" applyBorder="1" applyAlignment="1">
      <alignment horizontal="center" wrapText="1"/>
    </xf>
    <xf numFmtId="0" fontId="8" fillId="0" borderId="24" xfId="3" applyFont="1" applyBorder="1" applyAlignment="1">
      <alignment horizontal="center"/>
    </xf>
    <xf numFmtId="43" fontId="10" fillId="5" borderId="8" xfId="3" applyNumberFormat="1" applyFont="1" applyFill="1" applyBorder="1" applyAlignment="1">
      <alignment horizontal="center" vertical="center"/>
    </xf>
    <xf numFmtId="165" fontId="10" fillId="5" borderId="8" xfId="1" applyFont="1" applyFill="1" applyBorder="1" applyAlignment="1">
      <alignment horizontal="right"/>
    </xf>
    <xf numFmtId="165" fontId="10" fillId="5" borderId="8" xfId="1" applyFont="1" applyFill="1" applyBorder="1" applyAlignment="1">
      <alignment horizontal="right" vertical="center"/>
    </xf>
    <xf numFmtId="0" fontId="10" fillId="7" borderId="39" xfId="3" applyFont="1" applyFill="1" applyBorder="1" applyAlignment="1">
      <alignment horizontal="left" vertical="center" wrapText="1"/>
    </xf>
    <xf numFmtId="0" fontId="8" fillId="0" borderId="8" xfId="3" applyFont="1" applyBorder="1" applyAlignment="1">
      <alignment horizontal="left" wrapText="1"/>
    </xf>
    <xf numFmtId="0" fontId="8" fillId="0" borderId="24" xfId="3" applyFont="1" applyBorder="1" applyAlignment="1">
      <alignment horizontal="center"/>
    </xf>
    <xf numFmtId="0" fontId="8" fillId="0" borderId="8" xfId="3" applyFont="1" applyFill="1" applyBorder="1" applyAlignment="1">
      <alignment horizontal="left" wrapText="1"/>
    </xf>
    <xf numFmtId="43" fontId="0" fillId="0" borderId="0" xfId="0" applyNumberFormat="1" applyFill="1" applyBorder="1" applyAlignment="1">
      <alignment horizontal="center" vertical="center"/>
    </xf>
    <xf numFmtId="4" fontId="10" fillId="3" borderId="12" xfId="3" applyNumberFormat="1" applyFont="1" applyFill="1" applyBorder="1" applyAlignment="1">
      <alignment vertical="center"/>
    </xf>
    <xf numFmtId="43" fontId="10" fillId="8" borderId="12" xfId="1" applyNumberFormat="1" applyFont="1" applyFill="1" applyBorder="1" applyAlignment="1">
      <alignment horizontal="center"/>
    </xf>
    <xf numFmtId="0" fontId="8" fillId="0" borderId="8" xfId="3" applyFont="1" applyFill="1" applyBorder="1" applyAlignment="1">
      <alignment horizontal="left" wrapText="1"/>
    </xf>
    <xf numFmtId="0" fontId="8" fillId="0" borderId="8" xfId="3" applyFont="1" applyBorder="1" applyAlignment="1">
      <alignment horizontal="left" wrapText="1"/>
    </xf>
    <xf numFmtId="0" fontId="8" fillId="0" borderId="24" xfId="3" applyFont="1" applyBorder="1" applyAlignment="1">
      <alignment horizontal="center"/>
    </xf>
    <xf numFmtId="0" fontId="8" fillId="0" borderId="24" xfId="3" applyFont="1" applyBorder="1" applyAlignment="1">
      <alignment horizontal="center"/>
    </xf>
    <xf numFmtId="0" fontId="8" fillId="0" borderId="8" xfId="3" applyFont="1" applyBorder="1" applyAlignment="1">
      <alignment horizontal="left" wrapText="1"/>
    </xf>
    <xf numFmtId="0" fontId="8" fillId="0" borderId="8" xfId="3" applyFont="1" applyFill="1" applyBorder="1" applyAlignment="1">
      <alignment horizontal="left" wrapText="1"/>
    </xf>
    <xf numFmtId="0" fontId="8" fillId="0" borderId="14" xfId="3" applyFont="1" applyBorder="1" applyAlignment="1">
      <alignment horizontal="left" vertical="center" wrapText="1"/>
    </xf>
    <xf numFmtId="0" fontId="8" fillId="0" borderId="8" xfId="3" applyFont="1" applyBorder="1" applyAlignment="1">
      <alignment horizontal="left" vertical="center" wrapText="1"/>
    </xf>
    <xf numFmtId="0" fontId="8" fillId="0" borderId="8" xfId="3" quotePrefix="1" applyFont="1" applyFill="1" applyBorder="1" applyAlignment="1">
      <alignment horizontal="left" vertical="center" wrapText="1"/>
    </xf>
    <xf numFmtId="0" fontId="8" fillId="0" borderId="8" xfId="3" applyFont="1" applyFill="1" applyBorder="1" applyAlignment="1">
      <alignment horizontal="left" vertical="center" wrapText="1"/>
    </xf>
    <xf numFmtId="0" fontId="8" fillId="0" borderId="8" xfId="3" applyFont="1" applyFill="1" applyBorder="1" applyAlignment="1">
      <alignment horizontal="left" wrapText="1"/>
    </xf>
    <xf numFmtId="0" fontId="8" fillId="0" borderId="8" xfId="3" applyFont="1" applyFill="1" applyBorder="1" applyAlignment="1">
      <alignment horizontal="left" wrapText="1"/>
    </xf>
    <xf numFmtId="0" fontId="10" fillId="8" borderId="11" xfId="3" applyFont="1" applyFill="1" applyBorder="1" applyAlignment="1">
      <alignment horizontal="center" vertical="center" wrapText="1"/>
    </xf>
    <xf numFmtId="0" fontId="10" fillId="3" borderId="14" xfId="3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2" borderId="1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left" vertical="center" wrapText="1"/>
    </xf>
    <xf numFmtId="0" fontId="8" fillId="3" borderId="8" xfId="3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165" fontId="10" fillId="3" borderId="5" xfId="3" applyNumberFormat="1" applyFont="1" applyFill="1" applyBorder="1" applyAlignment="1">
      <alignment horizontal="center" vertical="center" wrapText="1"/>
    </xf>
    <xf numFmtId="165" fontId="10" fillId="3" borderId="8" xfId="3" applyNumberFormat="1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wrapText="1"/>
    </xf>
    <xf numFmtId="0" fontId="10" fillId="3" borderId="6" xfId="3" applyFont="1" applyFill="1" applyBorder="1" applyAlignment="1">
      <alignment horizontal="center" wrapText="1"/>
    </xf>
    <xf numFmtId="0" fontId="10" fillId="8" borderId="21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left" wrapText="1"/>
    </xf>
    <xf numFmtId="0" fontId="10" fillId="8" borderId="8" xfId="3" applyFont="1" applyFill="1" applyBorder="1" applyAlignment="1">
      <alignment horizontal="center" vertical="center" wrapText="1"/>
    </xf>
    <xf numFmtId="0" fontId="10" fillId="0" borderId="14" xfId="3" applyFont="1" applyBorder="1" applyAlignment="1">
      <alignment horizontal="center" wrapText="1"/>
    </xf>
    <xf numFmtId="0" fontId="10" fillId="0" borderId="8" xfId="3" applyFont="1" applyBorder="1" applyAlignment="1">
      <alignment horizontal="center" wrapText="1"/>
    </xf>
    <xf numFmtId="0" fontId="10" fillId="0" borderId="8" xfId="3" applyFont="1" applyFill="1" applyBorder="1" applyAlignment="1">
      <alignment horizontal="center" wrapText="1"/>
    </xf>
    <xf numFmtId="0" fontId="10" fillId="6" borderId="14" xfId="3" applyFont="1" applyFill="1" applyBorder="1" applyAlignment="1">
      <alignment horizontal="center" wrapText="1"/>
    </xf>
    <xf numFmtId="0" fontId="10" fillId="8" borderId="11" xfId="3" applyFont="1" applyFill="1" applyBorder="1" applyAlignment="1">
      <alignment horizontal="left" wrapText="1"/>
    </xf>
    <xf numFmtId="0" fontId="8" fillId="0" borderId="37" xfId="3" applyFont="1" applyBorder="1" applyAlignment="1">
      <alignment horizontal="left" wrapText="1"/>
    </xf>
    <xf numFmtId="0" fontId="8" fillId="0" borderId="24" xfId="3" applyFont="1" applyBorder="1" applyAlignment="1">
      <alignment horizontal="left" wrapText="1"/>
    </xf>
    <xf numFmtId="0" fontId="8" fillId="0" borderId="36" xfId="3" applyFont="1" applyBorder="1" applyAlignment="1">
      <alignment horizontal="center" vertical="center" wrapText="1"/>
    </xf>
    <xf numFmtId="0" fontId="8" fillId="0" borderId="20" xfId="3" applyFont="1" applyBorder="1" applyAlignment="1">
      <alignment horizontal="center" vertical="center" wrapText="1"/>
    </xf>
    <xf numFmtId="0" fontId="8" fillId="0" borderId="27" xfId="3" applyFont="1" applyBorder="1" applyAlignment="1">
      <alignment horizontal="center" vertical="center" wrapText="1"/>
    </xf>
    <xf numFmtId="0" fontId="8" fillId="0" borderId="26" xfId="3" applyFont="1" applyBorder="1" applyAlignment="1">
      <alignment horizontal="center" vertical="center" wrapText="1"/>
    </xf>
    <xf numFmtId="0" fontId="8" fillId="0" borderId="36" xfId="3" applyFont="1" applyBorder="1" applyAlignment="1">
      <alignment horizontal="center" wrapText="1"/>
    </xf>
    <xf numFmtId="0" fontId="8" fillId="0" borderId="20" xfId="3" applyFont="1" applyBorder="1" applyAlignment="1">
      <alignment horizontal="center" wrapText="1"/>
    </xf>
    <xf numFmtId="0" fontId="8" fillId="0" borderId="27" xfId="3" applyFont="1" applyBorder="1" applyAlignment="1">
      <alignment horizontal="center" wrapText="1"/>
    </xf>
    <xf numFmtId="0" fontId="8" fillId="0" borderId="26" xfId="3" applyFont="1" applyBorder="1" applyAlignment="1">
      <alignment horizontal="center" wrapText="1"/>
    </xf>
    <xf numFmtId="0" fontId="8" fillId="0" borderId="32" xfId="3" applyFont="1" applyBorder="1" applyAlignment="1">
      <alignment horizontal="center"/>
    </xf>
    <xf numFmtId="0" fontId="8" fillId="0" borderId="24" xfId="3" applyFont="1" applyBorder="1" applyAlignment="1">
      <alignment horizontal="center"/>
    </xf>
    <xf numFmtId="0" fontId="8" fillId="0" borderId="8" xfId="3" applyFont="1" applyBorder="1" applyAlignment="1">
      <alignment horizontal="left" wrapText="1"/>
    </xf>
    <xf numFmtId="0" fontId="10" fillId="3" borderId="33" xfId="3" applyFont="1" applyFill="1" applyBorder="1" applyAlignment="1">
      <alignment horizontal="left" vertical="center" wrapText="1"/>
    </xf>
    <xf numFmtId="0" fontId="10" fillId="3" borderId="23" xfId="3" applyFont="1" applyFill="1" applyBorder="1" applyAlignment="1">
      <alignment horizontal="left" vertical="center" wrapText="1"/>
    </xf>
    <xf numFmtId="0" fontId="10" fillId="3" borderId="34" xfId="3" applyFont="1" applyFill="1" applyBorder="1" applyAlignment="1">
      <alignment horizontal="left" wrapText="1"/>
    </xf>
    <xf numFmtId="0" fontId="10" fillId="3" borderId="35" xfId="3" applyFont="1" applyFill="1" applyBorder="1" applyAlignment="1">
      <alignment horizontal="left" wrapText="1"/>
    </xf>
    <xf numFmtId="0" fontId="8" fillId="0" borderId="8" xfId="3" applyFont="1" applyFill="1" applyBorder="1" applyAlignment="1">
      <alignment horizontal="left" wrapText="1"/>
    </xf>
    <xf numFmtId="0" fontId="10" fillId="3" borderId="40" xfId="3" applyFont="1" applyFill="1" applyBorder="1" applyAlignment="1">
      <alignment horizontal="left" wrapText="1"/>
    </xf>
    <xf numFmtId="0" fontId="10" fillId="3" borderId="23" xfId="3" applyFont="1" applyFill="1" applyBorder="1" applyAlignment="1">
      <alignment horizontal="left" wrapText="1"/>
    </xf>
    <xf numFmtId="0" fontId="10" fillId="8" borderId="41" xfId="3" applyFont="1" applyFill="1" applyBorder="1" applyAlignment="1">
      <alignment horizontal="left" wrapText="1"/>
    </xf>
    <xf numFmtId="0" fontId="10" fillId="8" borderId="22" xfId="3" applyFont="1" applyFill="1" applyBorder="1" applyAlignment="1">
      <alignment horizontal="left" wrapText="1"/>
    </xf>
    <xf numFmtId="0" fontId="8" fillId="0" borderId="40" xfId="3" applyFont="1" applyBorder="1" applyAlignment="1">
      <alignment horizontal="left" wrapText="1"/>
    </xf>
    <xf numFmtId="0" fontId="8" fillId="0" borderId="23" xfId="3" applyFont="1" applyBorder="1" applyAlignment="1">
      <alignment horizontal="left" wrapText="1"/>
    </xf>
    <xf numFmtId="0" fontId="10" fillId="3" borderId="29" xfId="3" applyFont="1" applyFill="1" applyBorder="1" applyAlignment="1">
      <alignment horizontal="left" wrapText="1"/>
    </xf>
    <xf numFmtId="0" fontId="8" fillId="0" borderId="14" xfId="3" applyFont="1" applyFill="1" applyBorder="1" applyAlignment="1">
      <alignment horizontal="left" vertical="center" wrapText="1"/>
    </xf>
    <xf numFmtId="0" fontId="10" fillId="3" borderId="40" xfId="3" applyFont="1" applyFill="1" applyBorder="1" applyAlignment="1">
      <alignment horizontal="center" vertical="center"/>
    </xf>
    <xf numFmtId="0" fontId="10" fillId="3" borderId="23" xfId="3" applyFont="1" applyFill="1" applyBorder="1" applyAlignment="1">
      <alignment horizontal="center" vertical="center"/>
    </xf>
    <xf numFmtId="0" fontId="8" fillId="0" borderId="21" xfId="3" applyFont="1" applyFill="1" applyBorder="1" applyAlignment="1">
      <alignment horizontal="left" wrapText="1"/>
    </xf>
    <xf numFmtId="164" fontId="8" fillId="0" borderId="21" xfId="3" applyNumberFormat="1" applyFont="1" applyFill="1" applyBorder="1"/>
  </cellXfs>
  <cellStyles count="5">
    <cellStyle name="Millares" xfId="1" builtinId="3"/>
    <cellStyle name="Moneda" xfId="2" builtinId="4"/>
    <cellStyle name="Normal" xfId="0" builtinId="0"/>
    <cellStyle name="Normal 2" xfId="3"/>
    <cellStyle name="Normal 4" xfId="4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271821</xdr:colOff>
      <xdr:row>0</xdr:row>
      <xdr:rowOff>46433</xdr:rowOff>
    </xdr:from>
    <xdr:to>
      <xdr:col>2</xdr:col>
      <xdr:colOff>2012577</xdr:colOff>
      <xdr:row>4</xdr:row>
      <xdr:rowOff>149623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2262" y="46433"/>
          <a:ext cx="1745238" cy="1022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89"/>
  <sheetViews>
    <sheetView tabSelected="1" zoomScale="85" zoomScaleNormal="85" zoomScaleSheetLayoutView="55" workbookViewId="0">
      <selection activeCell="G15" sqref="G15:R15"/>
    </sheetView>
  </sheetViews>
  <sheetFormatPr baseColWidth="10" defaultRowHeight="15" x14ac:dyDescent="0.25"/>
  <cols>
    <col min="1" max="1" width="1.28515625" customWidth="1"/>
    <col min="2" max="2" width="10.5703125" customWidth="1"/>
    <col min="3" max="3" width="30.5703125" customWidth="1"/>
    <col min="4" max="4" width="15.140625" bestFit="1" customWidth="1"/>
    <col min="5" max="5" width="13.7109375" customWidth="1"/>
    <col min="6" max="6" width="20.140625" customWidth="1"/>
    <col min="7" max="7" width="15.7109375" customWidth="1"/>
    <col min="8" max="8" width="15.5703125" customWidth="1"/>
    <col min="9" max="9" width="16.7109375" customWidth="1"/>
    <col min="10" max="11" width="17.42578125" customWidth="1"/>
    <col min="12" max="12" width="17.140625" customWidth="1"/>
    <col min="13" max="13" width="17.28515625" customWidth="1"/>
    <col min="14" max="14" width="18.140625" customWidth="1"/>
    <col min="15" max="15" width="18.5703125" customWidth="1"/>
    <col min="16" max="17" width="17.42578125" customWidth="1"/>
    <col min="18" max="18" width="18.7109375" customWidth="1"/>
    <col min="19" max="19" width="15.85546875" style="2" hidden="1" customWidth="1"/>
    <col min="20" max="20" width="17.140625" hidden="1" customWidth="1"/>
    <col min="21" max="21" width="15.28515625" customWidth="1"/>
    <col min="22" max="22" width="16.42578125" customWidth="1"/>
    <col min="23" max="23" width="15.42578125" customWidth="1"/>
    <col min="24" max="26" width="11.5703125" customWidth="1"/>
    <col min="27" max="27" width="32.85546875" bestFit="1" customWidth="1"/>
  </cols>
  <sheetData>
    <row r="2" spans="1:27" x14ac:dyDescent="0.25">
      <c r="F2" s="1"/>
      <c r="G2" s="1"/>
      <c r="H2" s="1"/>
      <c r="I2" s="1"/>
      <c r="J2" s="1"/>
      <c r="K2" s="1"/>
      <c r="L2" s="1"/>
      <c r="M2" s="1"/>
      <c r="N2" s="1"/>
      <c r="O2" s="1"/>
    </row>
    <row r="3" spans="1:27" ht="21" x14ac:dyDescent="0.35">
      <c r="B3" s="343" t="s">
        <v>0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</row>
    <row r="4" spans="1:27" ht="21" x14ac:dyDescent="0.35">
      <c r="B4" s="343" t="s">
        <v>98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</row>
    <row r="6" spans="1:27" ht="15.75" x14ac:dyDescent="0.25">
      <c r="C6" s="3" t="s">
        <v>99</v>
      </c>
      <c r="D6" s="4"/>
      <c r="E6" s="3"/>
      <c r="F6" s="4"/>
    </row>
    <row r="7" spans="1:27" ht="15.75" x14ac:dyDescent="0.25">
      <c r="C7" s="3" t="s">
        <v>98</v>
      </c>
      <c r="D7" s="5"/>
      <c r="E7" s="3"/>
      <c r="F7" s="5"/>
    </row>
    <row r="8" spans="1:27" ht="15.75" x14ac:dyDescent="0.25">
      <c r="C8" s="3" t="s">
        <v>1</v>
      </c>
      <c r="D8" s="5"/>
      <c r="E8" s="3"/>
      <c r="F8" s="5"/>
      <c r="I8" s="6"/>
      <c r="L8" s="7"/>
      <c r="M8" s="6"/>
      <c r="N8" s="8"/>
    </row>
    <row r="9" spans="1:27" ht="15.75" x14ac:dyDescent="0.25">
      <c r="C9" s="3" t="s">
        <v>2</v>
      </c>
      <c r="D9" s="5"/>
      <c r="E9" s="3"/>
      <c r="F9" s="5"/>
      <c r="H9" s="7"/>
    </row>
    <row r="10" spans="1:27" ht="16.5" thickBot="1" x14ac:dyDescent="0.3">
      <c r="C10" s="3"/>
      <c r="D10" s="5"/>
      <c r="E10" s="3"/>
      <c r="F10" s="5"/>
      <c r="G10" s="7"/>
      <c r="H10" s="7"/>
      <c r="M10" s="7"/>
      <c r="Q10" s="7"/>
      <c r="R10" s="7"/>
    </row>
    <row r="11" spans="1:27" ht="66" customHeight="1" thickBot="1" x14ac:dyDescent="0.3">
      <c r="A11" s="9"/>
      <c r="B11" s="345" t="s">
        <v>3</v>
      </c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7"/>
      <c r="V11" s="10"/>
      <c r="AA11" s="11"/>
    </row>
    <row r="12" spans="1:27" x14ac:dyDescent="0.25">
      <c r="A12" s="9"/>
      <c r="B12" s="12"/>
      <c r="C12" s="348" t="s">
        <v>4</v>
      </c>
      <c r="D12" s="350" t="s">
        <v>5</v>
      </c>
      <c r="E12" s="350" t="s">
        <v>6</v>
      </c>
      <c r="F12" s="352" t="s">
        <v>7</v>
      </c>
      <c r="G12" s="354" t="s">
        <v>8</v>
      </c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5"/>
    </row>
    <row r="13" spans="1:27" ht="23.25" customHeight="1" x14ac:dyDescent="0.25">
      <c r="A13" s="9"/>
      <c r="B13" s="13"/>
      <c r="C13" s="349"/>
      <c r="D13" s="351"/>
      <c r="E13" s="351"/>
      <c r="F13" s="353"/>
      <c r="G13" s="14" t="s">
        <v>9</v>
      </c>
      <c r="H13" s="14" t="s">
        <v>10</v>
      </c>
      <c r="I13" s="14" t="s">
        <v>11</v>
      </c>
      <c r="J13" s="14" t="s">
        <v>12</v>
      </c>
      <c r="K13" s="14" t="s">
        <v>13</v>
      </c>
      <c r="L13" s="14" t="s">
        <v>14</v>
      </c>
      <c r="M13" s="14" t="s">
        <v>15</v>
      </c>
      <c r="N13" s="14" t="s">
        <v>16</v>
      </c>
      <c r="O13" s="14" t="s">
        <v>17</v>
      </c>
      <c r="P13" s="14" t="s">
        <v>18</v>
      </c>
      <c r="Q13" s="14" t="s">
        <v>19</v>
      </c>
      <c r="R13" s="15" t="s">
        <v>20</v>
      </c>
      <c r="S13" s="2" t="s">
        <v>21</v>
      </c>
    </row>
    <row r="14" spans="1:27" ht="15" customHeight="1" x14ac:dyDescent="0.25">
      <c r="A14" s="9"/>
      <c r="B14" s="13"/>
      <c r="C14" s="16" t="s">
        <v>22</v>
      </c>
      <c r="D14" s="17"/>
      <c r="E14" s="18"/>
      <c r="F14" s="17"/>
      <c r="G14" s="19"/>
      <c r="H14" s="20"/>
      <c r="I14" s="20"/>
      <c r="J14" s="19"/>
      <c r="K14" s="19"/>
      <c r="L14" s="20"/>
      <c r="M14" s="19"/>
      <c r="N14" s="21"/>
      <c r="O14" s="19"/>
      <c r="P14" s="22"/>
      <c r="Q14" s="23"/>
      <c r="R14" s="24"/>
      <c r="S14" s="25"/>
      <c r="T14" s="7"/>
    </row>
    <row r="15" spans="1:27" ht="15.75" thickBot="1" x14ac:dyDescent="0.3">
      <c r="A15" s="9"/>
      <c r="B15" s="26"/>
      <c r="C15" s="27" t="s">
        <v>23</v>
      </c>
      <c r="D15" s="28"/>
      <c r="E15" s="29">
        <f>E20+E272+E316+E329+E357</f>
        <v>1083</v>
      </c>
      <c r="F15" s="30">
        <f>F22+F38+F51+F134+F203+F342+F218+F250+F274+F313+F318+F322+F326+F331+F371+F359</f>
        <v>30522447</v>
      </c>
      <c r="G15" s="30">
        <f t="shared" ref="G15:R15" si="0">G20+G272+G316+G329+G357</f>
        <v>2323739.85</v>
      </c>
      <c r="H15" s="30">
        <f t="shared" si="0"/>
        <v>2184752.9300000002</v>
      </c>
      <c r="I15" s="30">
        <f t="shared" si="0"/>
        <v>2385860.8100000005</v>
      </c>
      <c r="J15" s="30">
        <f t="shared" si="0"/>
        <v>2199034.2000000002</v>
      </c>
      <c r="K15" s="30">
        <f t="shared" si="0"/>
        <v>2270048.16</v>
      </c>
      <c r="L15" s="30">
        <f t="shared" si="0"/>
        <v>2196820.7999999998</v>
      </c>
      <c r="M15" s="30">
        <f t="shared" si="0"/>
        <v>2270048.16</v>
      </c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27">
        <f t="shared" si="0"/>
        <v>14692142.090000002</v>
      </c>
      <c r="S15" s="31">
        <f>SUM(G15:R15)</f>
        <v>30522447</v>
      </c>
      <c r="T15" s="32"/>
      <c r="V15" s="33"/>
    </row>
    <row r="16" spans="1:27" x14ac:dyDescent="0.25">
      <c r="A16" s="9"/>
      <c r="B16" s="34"/>
      <c r="C16" s="35" t="s">
        <v>24</v>
      </c>
      <c r="D16" s="36"/>
      <c r="E16" s="37"/>
      <c r="F16" s="38">
        <f>F15-F17</f>
        <v>16416399.509999998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31">
        <f>+S15-F18</f>
        <v>29412075</v>
      </c>
      <c r="V16" s="33"/>
    </row>
    <row r="17" spans="1:24" x14ac:dyDescent="0.25">
      <c r="A17" s="41"/>
      <c r="B17" s="42"/>
      <c r="C17" s="35" t="s">
        <v>25</v>
      </c>
      <c r="D17" s="36"/>
      <c r="E17" s="37"/>
      <c r="F17" s="38">
        <f>F36+F44+F49+F69+F80+F89+F99+F107+F114+F120+F126+F132+F161+F174+F195+F201+F216+F356+F248+F271+F311+F291+F295+F299+F303+F307+F315+F320+F324+F328+F340+F388+F369</f>
        <v>14106047.490000002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3"/>
      <c r="T17" s="32"/>
      <c r="V17" s="33"/>
    </row>
    <row r="18" spans="1:24" x14ac:dyDescent="0.25">
      <c r="A18" s="41"/>
      <c r="B18" s="42"/>
      <c r="C18" s="44" t="s">
        <v>26</v>
      </c>
      <c r="D18" s="45"/>
      <c r="E18" s="46"/>
      <c r="F18" s="47">
        <f>F23+F40+F71+F82+F91+F101+F109+F116+F136+F164+F189+F204+F343+F251+F53+F219+F129+F122+F332+F360+F372+F276</f>
        <v>1110372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9"/>
      <c r="T18" s="32"/>
      <c r="V18" s="33"/>
    </row>
    <row r="19" spans="1:24" ht="14.25" customHeight="1" thickBot="1" x14ac:dyDescent="0.3">
      <c r="A19" s="41"/>
      <c r="B19" s="50"/>
      <c r="C19" s="51"/>
      <c r="D19" s="52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  <c r="T19" s="32"/>
    </row>
    <row r="20" spans="1:24" x14ac:dyDescent="0.25">
      <c r="A20" s="41"/>
      <c r="B20" s="56"/>
      <c r="C20" s="57" t="s">
        <v>27</v>
      </c>
      <c r="D20" s="58"/>
      <c r="E20" s="59">
        <f>E22+E38+E51+E134+E203+E218+E250+E342</f>
        <v>833</v>
      </c>
      <c r="F20" s="60">
        <f t="shared" ref="F20:R20" si="1">F22+F38+F51+F134+F203+F218+F250</f>
        <v>21454556</v>
      </c>
      <c r="G20" s="60">
        <f t="shared" si="1"/>
        <v>1776654.6400000001</v>
      </c>
      <c r="H20" s="60">
        <f t="shared" si="1"/>
        <v>1687541.2500000002</v>
      </c>
      <c r="I20" s="60">
        <f t="shared" si="1"/>
        <v>1831207.2000000002</v>
      </c>
      <c r="J20" s="60">
        <f t="shared" si="1"/>
        <v>1665312.9000000001</v>
      </c>
      <c r="K20" s="60">
        <f t="shared" si="1"/>
        <v>1718536.1500000001</v>
      </c>
      <c r="L20" s="60">
        <f t="shared" si="1"/>
        <v>1663099.5</v>
      </c>
      <c r="M20" s="60">
        <f t="shared" si="1"/>
        <v>1718536.1500000001</v>
      </c>
      <c r="N20" s="60">
        <f t="shared" si="1"/>
        <v>0</v>
      </c>
      <c r="O20" s="60">
        <f t="shared" si="1"/>
        <v>0</v>
      </c>
      <c r="P20" s="60">
        <f t="shared" si="1"/>
        <v>0</v>
      </c>
      <c r="Q20" s="60">
        <f t="shared" si="1"/>
        <v>0</v>
      </c>
      <c r="R20" s="61">
        <f t="shared" si="1"/>
        <v>9393668.2100000009</v>
      </c>
    </row>
    <row r="21" spans="1:24" ht="39.75" customHeight="1" x14ac:dyDescent="0.25">
      <c r="A21" s="41"/>
      <c r="B21" s="62"/>
      <c r="C21" s="63" t="s">
        <v>28</v>
      </c>
      <c r="D21" s="64"/>
      <c r="E21" s="64"/>
      <c r="F21" s="65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7"/>
      <c r="S21" s="25"/>
      <c r="T21">
        <f>2159.1-928.2</f>
        <v>1230.8999999999999</v>
      </c>
      <c r="X21" s="7"/>
    </row>
    <row r="22" spans="1:24" ht="26.25" customHeight="1" x14ac:dyDescent="0.25">
      <c r="A22" s="41"/>
      <c r="B22" s="68"/>
      <c r="C22" s="356" t="s">
        <v>100</v>
      </c>
      <c r="D22" s="356"/>
      <c r="E22" s="69">
        <f>SUM(E24:E35)</f>
        <v>33</v>
      </c>
      <c r="F22" s="70">
        <f>SUM(F24:F36)</f>
        <v>879464</v>
      </c>
      <c r="G22" s="70">
        <f t="shared" ref="G22:Q22" si="2">SUM(G24:G35)</f>
        <v>68881.38</v>
      </c>
      <c r="H22" s="70">
        <f t="shared" si="2"/>
        <v>62215.439999999988</v>
      </c>
      <c r="I22" s="70">
        <f t="shared" si="2"/>
        <v>71094.78</v>
      </c>
      <c r="J22" s="70">
        <f t="shared" si="2"/>
        <v>73156.799999999988</v>
      </c>
      <c r="K22" s="70">
        <f t="shared" si="2"/>
        <v>73308.180000000022</v>
      </c>
      <c r="L22" s="70">
        <f t="shared" si="2"/>
        <v>70943.399999999994</v>
      </c>
      <c r="M22" s="70">
        <f t="shared" si="2"/>
        <v>73308.180000000022</v>
      </c>
      <c r="N22" s="70">
        <f t="shared" si="2"/>
        <v>0</v>
      </c>
      <c r="O22" s="71">
        <f t="shared" si="2"/>
        <v>0</v>
      </c>
      <c r="P22" s="70">
        <f t="shared" si="2"/>
        <v>0</v>
      </c>
      <c r="Q22" s="70">
        <f t="shared" si="2"/>
        <v>0</v>
      </c>
      <c r="R22" s="72">
        <f>SUM(R24:R36)</f>
        <v>386555.83999999997</v>
      </c>
      <c r="S22" s="326">
        <f>F22-SUM(G22:R22)</f>
        <v>0</v>
      </c>
      <c r="V22" s="6"/>
    </row>
    <row r="23" spans="1:24" x14ac:dyDescent="0.25">
      <c r="A23" s="41"/>
      <c r="B23" s="73"/>
      <c r="C23" s="74"/>
      <c r="D23" s="74"/>
      <c r="E23" s="75" t="s">
        <v>29</v>
      </c>
      <c r="F23" s="319">
        <v>-10880</v>
      </c>
      <c r="G23" s="77"/>
      <c r="H23" s="77"/>
      <c r="I23" s="77"/>
      <c r="J23" s="77"/>
      <c r="K23" s="77"/>
      <c r="L23" s="77"/>
      <c r="M23" s="77"/>
      <c r="N23" s="78"/>
      <c r="O23" s="7"/>
      <c r="P23" s="77"/>
      <c r="Q23" s="77"/>
      <c r="R23" s="79"/>
      <c r="V23" s="6"/>
    </row>
    <row r="24" spans="1:24" x14ac:dyDescent="0.25">
      <c r="A24" s="41"/>
      <c r="B24" s="80">
        <v>1</v>
      </c>
      <c r="C24" s="81" t="s">
        <v>30</v>
      </c>
      <c r="D24" s="82">
        <v>71.400000000000006</v>
      </c>
      <c r="E24" s="83">
        <v>10</v>
      </c>
      <c r="F24" s="84">
        <f t="shared" ref="F24:F35" si="3">+E24*S24*D24</f>
        <v>151368</v>
      </c>
      <c r="G24" s="85">
        <f t="shared" ref="G24:G35" si="4">E24*D24*31</f>
        <v>22134</v>
      </c>
      <c r="H24" s="86">
        <f>E24*D24*28</f>
        <v>19992</v>
      </c>
      <c r="I24" s="85">
        <f t="shared" ref="I24:I35" si="5">E24*D24*31</f>
        <v>22134</v>
      </c>
      <c r="J24" s="85">
        <f t="shared" ref="J24:J35" si="6">E24*D24*30</f>
        <v>21420</v>
      </c>
      <c r="K24" s="85">
        <f t="shared" ref="K24:K35" si="7">E24*D24*31</f>
        <v>22134</v>
      </c>
      <c r="L24" s="85">
        <f t="shared" ref="L24:L35" si="8">E24*D24*30</f>
        <v>21420</v>
      </c>
      <c r="M24" s="85">
        <f t="shared" ref="M24:M35" si="9">E24*D24*31</f>
        <v>22134</v>
      </c>
      <c r="N24" s="85">
        <v>0</v>
      </c>
      <c r="O24" s="85">
        <v>0</v>
      </c>
      <c r="P24" s="85">
        <v>0</v>
      </c>
      <c r="Q24" s="85">
        <v>0</v>
      </c>
      <c r="R24" s="87">
        <v>0</v>
      </c>
      <c r="S24" s="2">
        <v>212</v>
      </c>
    </row>
    <row r="25" spans="1:24" x14ac:dyDescent="0.25">
      <c r="A25" s="41"/>
      <c r="B25" s="331">
        <v>1</v>
      </c>
      <c r="C25" s="330" t="s">
        <v>30</v>
      </c>
      <c r="D25" s="82">
        <v>71.400000000000006</v>
      </c>
      <c r="E25" s="83">
        <v>1</v>
      </c>
      <c r="F25" s="84">
        <f t="shared" si="3"/>
        <v>0</v>
      </c>
      <c r="G25" s="85">
        <v>0</v>
      </c>
      <c r="H25" s="86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7">
        <v>0</v>
      </c>
      <c r="S25" s="2">
        <v>0</v>
      </c>
    </row>
    <row r="26" spans="1:24" x14ac:dyDescent="0.25">
      <c r="A26" s="41"/>
      <c r="B26" s="324">
        <v>1</v>
      </c>
      <c r="C26" s="323" t="s">
        <v>30</v>
      </c>
      <c r="D26" s="82">
        <v>71.400000000000006</v>
      </c>
      <c r="E26" s="83">
        <v>1</v>
      </c>
      <c r="F26" s="84">
        <f t="shared" ref="F26" si="10">+E26*S26*D26</f>
        <v>10924.2</v>
      </c>
      <c r="G26" s="85">
        <v>0</v>
      </c>
      <c r="H26" s="86">
        <v>0</v>
      </c>
      <c r="I26" s="85">
        <f t="shared" ref="I26" si="11">E26*D26*31</f>
        <v>2213.4</v>
      </c>
      <c r="J26" s="85">
        <f t="shared" ref="J26" si="12">E26*D26*30</f>
        <v>2142</v>
      </c>
      <c r="K26" s="85">
        <f t="shared" ref="K26" si="13">E26*D26*31</f>
        <v>2213.4</v>
      </c>
      <c r="L26" s="85">
        <f t="shared" ref="L26" si="14">E26*D26*30</f>
        <v>2142</v>
      </c>
      <c r="M26" s="85">
        <f t="shared" ref="M26" si="15">E26*D26*31</f>
        <v>2213.4</v>
      </c>
      <c r="N26" s="85">
        <v>0</v>
      </c>
      <c r="O26" s="85">
        <v>0</v>
      </c>
      <c r="P26" s="85">
        <v>0</v>
      </c>
      <c r="Q26" s="85">
        <v>0</v>
      </c>
      <c r="R26" s="87">
        <v>0</v>
      </c>
      <c r="S26" s="2">
        <f>212-31-28</f>
        <v>153</v>
      </c>
    </row>
    <row r="27" spans="1:24" s="164" customFormat="1" x14ac:dyDescent="0.25">
      <c r="A27" s="159"/>
      <c r="B27" s="160">
        <v>1</v>
      </c>
      <c r="C27" s="340" t="s">
        <v>30</v>
      </c>
      <c r="D27" s="162">
        <v>71.400000000000006</v>
      </c>
      <c r="E27" s="83">
        <v>1</v>
      </c>
      <c r="F27" s="178">
        <f t="shared" ref="F27" si="16">+E27*S27*D27</f>
        <v>10924.2</v>
      </c>
      <c r="G27" s="157">
        <v>0</v>
      </c>
      <c r="H27" s="189">
        <v>0</v>
      </c>
      <c r="I27" s="157">
        <v>0</v>
      </c>
      <c r="J27" s="157">
        <f>E27*D27*30+D27*E27*31</f>
        <v>4355.3999999999996</v>
      </c>
      <c r="K27" s="157">
        <f t="shared" ref="K27" si="17">E27*D27*31</f>
        <v>2213.4</v>
      </c>
      <c r="L27" s="157">
        <f t="shared" ref="L27" si="18">E27*D27*30</f>
        <v>2142</v>
      </c>
      <c r="M27" s="157">
        <f t="shared" ref="M27" si="19">E27*D27*31</f>
        <v>2213.4</v>
      </c>
      <c r="N27" s="157">
        <v>0</v>
      </c>
      <c r="O27" s="157">
        <v>0</v>
      </c>
      <c r="P27" s="157">
        <v>0</v>
      </c>
      <c r="Q27" s="157">
        <v>0</v>
      </c>
      <c r="R27" s="158">
        <v>0</v>
      </c>
      <c r="S27" s="210">
        <f>31+30+31+30+31</f>
        <v>153</v>
      </c>
    </row>
    <row r="28" spans="1:24" x14ac:dyDescent="0.25">
      <c r="A28" s="41"/>
      <c r="B28" s="80">
        <v>2</v>
      </c>
      <c r="C28" s="81" t="s">
        <v>31</v>
      </c>
      <c r="D28" s="82">
        <v>72.540000000000006</v>
      </c>
      <c r="E28" s="83">
        <v>1</v>
      </c>
      <c r="F28" s="84">
        <f t="shared" si="3"/>
        <v>15378.480000000001</v>
      </c>
      <c r="G28" s="85">
        <f t="shared" si="4"/>
        <v>2248.7400000000002</v>
      </c>
      <c r="H28" s="86">
        <f t="shared" ref="H28:H35" si="20">E28*D28*28</f>
        <v>2031.1200000000001</v>
      </c>
      <c r="I28" s="85">
        <f t="shared" si="5"/>
        <v>2248.7400000000002</v>
      </c>
      <c r="J28" s="85">
        <f t="shared" si="6"/>
        <v>2176.2000000000003</v>
      </c>
      <c r="K28" s="85">
        <f t="shared" si="7"/>
        <v>2248.7400000000002</v>
      </c>
      <c r="L28" s="85">
        <f t="shared" si="8"/>
        <v>2176.2000000000003</v>
      </c>
      <c r="M28" s="85">
        <f t="shared" si="9"/>
        <v>2248.7400000000002</v>
      </c>
      <c r="N28" s="85">
        <v>0</v>
      </c>
      <c r="O28" s="85">
        <v>0</v>
      </c>
      <c r="P28" s="85">
        <v>0</v>
      </c>
      <c r="Q28" s="85">
        <v>0</v>
      </c>
      <c r="R28" s="87">
        <v>0</v>
      </c>
      <c r="S28" s="2">
        <v>212</v>
      </c>
    </row>
    <row r="29" spans="1:24" x14ac:dyDescent="0.25">
      <c r="A29" s="41"/>
      <c r="B29" s="80">
        <v>3</v>
      </c>
      <c r="C29" s="81" t="s">
        <v>32</v>
      </c>
      <c r="D29" s="82">
        <v>80.86</v>
      </c>
      <c r="E29" s="83">
        <v>4</v>
      </c>
      <c r="F29" s="84">
        <f>+E29*S29*D29</f>
        <v>68569.279999999999</v>
      </c>
      <c r="G29" s="85">
        <f t="shared" si="4"/>
        <v>10026.64</v>
      </c>
      <c r="H29" s="86">
        <f t="shared" si="20"/>
        <v>9056.32</v>
      </c>
      <c r="I29" s="85">
        <f t="shared" si="5"/>
        <v>10026.64</v>
      </c>
      <c r="J29" s="85">
        <f t="shared" si="6"/>
        <v>9703.2000000000007</v>
      </c>
      <c r="K29" s="85">
        <f t="shared" si="7"/>
        <v>10026.64</v>
      </c>
      <c r="L29" s="85">
        <f t="shared" si="8"/>
        <v>9703.2000000000007</v>
      </c>
      <c r="M29" s="85">
        <f t="shared" si="9"/>
        <v>10026.64</v>
      </c>
      <c r="N29" s="85">
        <v>0</v>
      </c>
      <c r="O29" s="85">
        <v>0</v>
      </c>
      <c r="P29" s="85">
        <v>0</v>
      </c>
      <c r="Q29" s="85">
        <v>0</v>
      </c>
      <c r="R29" s="87">
        <v>0</v>
      </c>
      <c r="S29" s="2">
        <v>212</v>
      </c>
    </row>
    <row r="30" spans="1:24" x14ac:dyDescent="0.25">
      <c r="A30" s="41"/>
      <c r="B30" s="318">
        <v>4</v>
      </c>
      <c r="C30" s="81" t="s">
        <v>33</v>
      </c>
      <c r="D30" s="82">
        <v>71.400000000000006</v>
      </c>
      <c r="E30" s="83">
        <v>4</v>
      </c>
      <c r="F30" s="84">
        <f t="shared" si="3"/>
        <v>60547.200000000004</v>
      </c>
      <c r="G30" s="85">
        <f t="shared" si="4"/>
        <v>8853.6</v>
      </c>
      <c r="H30" s="86">
        <f t="shared" si="20"/>
        <v>7996.8000000000011</v>
      </c>
      <c r="I30" s="85">
        <f t="shared" si="5"/>
        <v>8853.6</v>
      </c>
      <c r="J30" s="85">
        <f t="shared" si="6"/>
        <v>8568</v>
      </c>
      <c r="K30" s="85">
        <f t="shared" si="7"/>
        <v>8853.6</v>
      </c>
      <c r="L30" s="85">
        <f t="shared" si="8"/>
        <v>8568</v>
      </c>
      <c r="M30" s="85">
        <f t="shared" si="9"/>
        <v>8853.6</v>
      </c>
      <c r="N30" s="85">
        <v>0</v>
      </c>
      <c r="O30" s="85">
        <v>0</v>
      </c>
      <c r="P30" s="85">
        <v>0</v>
      </c>
      <c r="Q30" s="85">
        <v>0</v>
      </c>
      <c r="R30" s="87">
        <v>0</v>
      </c>
      <c r="S30" s="2">
        <v>212</v>
      </c>
    </row>
    <row r="31" spans="1:24" x14ac:dyDescent="0.25">
      <c r="A31" s="41"/>
      <c r="B31" s="318">
        <v>5</v>
      </c>
      <c r="C31" s="81" t="s">
        <v>34</v>
      </c>
      <c r="D31" s="82">
        <v>78.25</v>
      </c>
      <c r="E31" s="83">
        <v>1</v>
      </c>
      <c r="F31" s="84">
        <f t="shared" si="3"/>
        <v>16589</v>
      </c>
      <c r="G31" s="85">
        <f t="shared" si="4"/>
        <v>2425.75</v>
      </c>
      <c r="H31" s="86">
        <f t="shared" si="20"/>
        <v>2191</v>
      </c>
      <c r="I31" s="85">
        <f t="shared" si="5"/>
        <v>2425.75</v>
      </c>
      <c r="J31" s="85">
        <f t="shared" si="6"/>
        <v>2347.5</v>
      </c>
      <c r="K31" s="85">
        <f t="shared" si="7"/>
        <v>2425.75</v>
      </c>
      <c r="L31" s="85">
        <f t="shared" si="8"/>
        <v>2347.5</v>
      </c>
      <c r="M31" s="85">
        <f t="shared" si="9"/>
        <v>2425.75</v>
      </c>
      <c r="N31" s="85">
        <v>0</v>
      </c>
      <c r="O31" s="85">
        <v>0</v>
      </c>
      <c r="P31" s="85">
        <v>0</v>
      </c>
      <c r="Q31" s="85">
        <v>0</v>
      </c>
      <c r="R31" s="87">
        <v>0</v>
      </c>
      <c r="S31" s="2">
        <v>212</v>
      </c>
    </row>
    <row r="32" spans="1:24" x14ac:dyDescent="0.25">
      <c r="A32" s="41"/>
      <c r="B32" s="318">
        <v>6</v>
      </c>
      <c r="C32" s="81" t="s">
        <v>35</v>
      </c>
      <c r="D32" s="82">
        <v>72.540000000000006</v>
      </c>
      <c r="E32" s="83">
        <v>2</v>
      </c>
      <c r="F32" s="84">
        <f t="shared" si="3"/>
        <v>30756.960000000003</v>
      </c>
      <c r="G32" s="85">
        <f t="shared" si="4"/>
        <v>4497.4800000000005</v>
      </c>
      <c r="H32" s="86">
        <f t="shared" si="20"/>
        <v>4062.2400000000002</v>
      </c>
      <c r="I32" s="85">
        <f t="shared" si="5"/>
        <v>4497.4800000000005</v>
      </c>
      <c r="J32" s="85">
        <f t="shared" si="6"/>
        <v>4352.4000000000005</v>
      </c>
      <c r="K32" s="85">
        <f t="shared" si="7"/>
        <v>4497.4800000000005</v>
      </c>
      <c r="L32" s="85">
        <f t="shared" si="8"/>
        <v>4352.4000000000005</v>
      </c>
      <c r="M32" s="85">
        <f t="shared" si="9"/>
        <v>4497.4800000000005</v>
      </c>
      <c r="N32" s="85">
        <v>0</v>
      </c>
      <c r="O32" s="85">
        <v>0</v>
      </c>
      <c r="P32" s="85">
        <v>0</v>
      </c>
      <c r="Q32" s="85">
        <v>0</v>
      </c>
      <c r="R32" s="87">
        <v>0</v>
      </c>
      <c r="S32" s="2">
        <v>212</v>
      </c>
    </row>
    <row r="33" spans="1:22" x14ac:dyDescent="0.25">
      <c r="A33" s="41"/>
      <c r="B33" s="318">
        <v>7</v>
      </c>
      <c r="C33" s="81" t="s">
        <v>36</v>
      </c>
      <c r="D33" s="82">
        <v>73.59</v>
      </c>
      <c r="E33" s="83">
        <v>1</v>
      </c>
      <c r="F33" s="84">
        <f t="shared" si="3"/>
        <v>15601.08</v>
      </c>
      <c r="G33" s="85">
        <f t="shared" si="4"/>
        <v>2281.29</v>
      </c>
      <c r="H33" s="86">
        <f t="shared" si="20"/>
        <v>2060.52</v>
      </c>
      <c r="I33" s="85">
        <f t="shared" si="5"/>
        <v>2281.29</v>
      </c>
      <c r="J33" s="85">
        <f t="shared" si="6"/>
        <v>2207.7000000000003</v>
      </c>
      <c r="K33" s="85">
        <f t="shared" si="7"/>
        <v>2281.29</v>
      </c>
      <c r="L33" s="85">
        <f t="shared" si="8"/>
        <v>2207.7000000000003</v>
      </c>
      <c r="M33" s="85">
        <f t="shared" si="9"/>
        <v>2281.29</v>
      </c>
      <c r="N33" s="85">
        <v>0</v>
      </c>
      <c r="O33" s="85">
        <v>0</v>
      </c>
      <c r="P33" s="85">
        <v>0</v>
      </c>
      <c r="Q33" s="85">
        <v>0</v>
      </c>
      <c r="R33" s="87">
        <v>0</v>
      </c>
      <c r="S33" s="2">
        <v>212</v>
      </c>
    </row>
    <row r="34" spans="1:22" x14ac:dyDescent="0.25">
      <c r="A34" s="41"/>
      <c r="B34" s="318">
        <v>8</v>
      </c>
      <c r="C34" s="81" t="s">
        <v>37</v>
      </c>
      <c r="D34" s="82">
        <v>75.64</v>
      </c>
      <c r="E34" s="83">
        <v>5</v>
      </c>
      <c r="F34" s="88">
        <f t="shared" si="3"/>
        <v>80178.399999999994</v>
      </c>
      <c r="G34" s="85">
        <f t="shared" si="4"/>
        <v>11724.199999999999</v>
      </c>
      <c r="H34" s="86">
        <f t="shared" si="20"/>
        <v>10589.6</v>
      </c>
      <c r="I34" s="85">
        <f t="shared" si="5"/>
        <v>11724.199999999999</v>
      </c>
      <c r="J34" s="85">
        <f t="shared" si="6"/>
        <v>11346</v>
      </c>
      <c r="K34" s="85">
        <f t="shared" si="7"/>
        <v>11724.199999999999</v>
      </c>
      <c r="L34" s="85">
        <f t="shared" si="8"/>
        <v>11346</v>
      </c>
      <c r="M34" s="85">
        <f t="shared" si="9"/>
        <v>11724.199999999999</v>
      </c>
      <c r="N34" s="85">
        <v>0</v>
      </c>
      <c r="O34" s="85">
        <v>0</v>
      </c>
      <c r="P34" s="85">
        <v>0</v>
      </c>
      <c r="Q34" s="85">
        <v>0</v>
      </c>
      <c r="R34" s="87">
        <v>0</v>
      </c>
      <c r="S34" s="2">
        <v>212</v>
      </c>
    </row>
    <row r="35" spans="1:22" ht="12.75" customHeight="1" x14ac:dyDescent="0.25">
      <c r="A35" s="41"/>
      <c r="B35" s="318">
        <v>9</v>
      </c>
      <c r="C35" s="81" t="s">
        <v>38</v>
      </c>
      <c r="D35" s="82">
        <v>75.64</v>
      </c>
      <c r="E35" s="83">
        <v>2</v>
      </c>
      <c r="F35" s="84">
        <f t="shared" si="3"/>
        <v>32071.360000000001</v>
      </c>
      <c r="G35" s="85">
        <f t="shared" si="4"/>
        <v>4689.68</v>
      </c>
      <c r="H35" s="86">
        <f t="shared" si="20"/>
        <v>4235.84</v>
      </c>
      <c r="I35" s="85">
        <f t="shared" si="5"/>
        <v>4689.68</v>
      </c>
      <c r="J35" s="85">
        <f t="shared" si="6"/>
        <v>4538.3999999999996</v>
      </c>
      <c r="K35" s="85">
        <f t="shared" si="7"/>
        <v>4689.68</v>
      </c>
      <c r="L35" s="85">
        <f t="shared" si="8"/>
        <v>4538.3999999999996</v>
      </c>
      <c r="M35" s="85">
        <f t="shared" si="9"/>
        <v>4689.68</v>
      </c>
      <c r="N35" s="85">
        <v>0</v>
      </c>
      <c r="O35" s="85">
        <v>0</v>
      </c>
      <c r="P35" s="85">
        <v>0</v>
      </c>
      <c r="Q35" s="85">
        <v>0</v>
      </c>
      <c r="R35" s="87">
        <v>0</v>
      </c>
      <c r="S35" s="2">
        <v>212</v>
      </c>
    </row>
    <row r="36" spans="1:22" ht="15.75" thickBot="1" x14ac:dyDescent="0.3">
      <c r="A36" s="41"/>
      <c r="B36" s="89"/>
      <c r="C36" s="90" t="s">
        <v>39</v>
      </c>
      <c r="D36" s="91"/>
      <c r="E36" s="92"/>
      <c r="F36" s="88">
        <f xml:space="preserve"> 890344-SUM(F24:F35)-10880</f>
        <v>386555.83999999997</v>
      </c>
      <c r="G36" s="93"/>
      <c r="H36" s="94"/>
      <c r="I36" s="95"/>
      <c r="J36" s="95"/>
      <c r="K36" s="96"/>
      <c r="L36" s="85"/>
      <c r="M36" s="95"/>
      <c r="N36" s="95"/>
      <c r="O36" s="95"/>
      <c r="P36" s="95"/>
      <c r="Q36" s="95"/>
      <c r="R36" s="97">
        <f>F36</f>
        <v>386555.83999999997</v>
      </c>
    </row>
    <row r="37" spans="1:22" x14ac:dyDescent="0.25">
      <c r="A37" s="41"/>
      <c r="B37" s="98"/>
      <c r="C37" s="357" t="s">
        <v>40</v>
      </c>
      <c r="D37" s="357"/>
      <c r="E37" s="99"/>
      <c r="F37" s="99"/>
      <c r="G37" s="100"/>
      <c r="H37" s="101"/>
      <c r="I37" s="100"/>
      <c r="J37" s="100"/>
      <c r="K37" s="100"/>
      <c r="L37" s="100"/>
      <c r="M37" s="100"/>
      <c r="N37" s="100"/>
      <c r="O37" s="100"/>
      <c r="P37" s="100"/>
      <c r="Q37" s="100"/>
      <c r="R37" s="102"/>
    </row>
    <row r="38" spans="1:22" ht="28.5" customHeight="1" x14ac:dyDescent="0.25">
      <c r="A38" s="41"/>
      <c r="B38" s="103"/>
      <c r="C38" s="358" t="s">
        <v>101</v>
      </c>
      <c r="D38" s="358"/>
      <c r="E38" s="104">
        <f t="shared" ref="E38:R38" si="21">E39+E45</f>
        <v>13</v>
      </c>
      <c r="F38" s="105">
        <f t="shared" si="21"/>
        <v>341712</v>
      </c>
      <c r="G38" s="105">
        <f t="shared" si="21"/>
        <v>26808.18</v>
      </c>
      <c r="H38" s="105">
        <f t="shared" si="21"/>
        <v>27284.040000000005</v>
      </c>
      <c r="I38" s="105">
        <f t="shared" si="21"/>
        <v>29021.58</v>
      </c>
      <c r="J38" s="105">
        <f t="shared" si="21"/>
        <v>25943.4</v>
      </c>
      <c r="K38" s="105">
        <f t="shared" si="21"/>
        <v>26808.18</v>
      </c>
      <c r="L38" s="105">
        <f>L39+L45</f>
        <v>25943.4</v>
      </c>
      <c r="M38" s="105">
        <f t="shared" si="21"/>
        <v>26808.18</v>
      </c>
      <c r="N38" s="105">
        <f t="shared" si="21"/>
        <v>0</v>
      </c>
      <c r="O38" s="105">
        <f t="shared" si="21"/>
        <v>0</v>
      </c>
      <c r="P38" s="105">
        <f>P39+P45</f>
        <v>0</v>
      </c>
      <c r="Q38" s="105">
        <f t="shared" si="21"/>
        <v>0</v>
      </c>
      <c r="R38" s="106">
        <f t="shared" si="21"/>
        <v>153095.03999999998</v>
      </c>
      <c r="S38" s="326">
        <f>F38-SUM(G38:R38)</f>
        <v>0</v>
      </c>
    </row>
    <row r="39" spans="1:22" ht="31.15" customHeight="1" x14ac:dyDescent="0.25">
      <c r="A39" s="41"/>
      <c r="B39" s="80"/>
      <c r="C39" s="359" t="s">
        <v>102</v>
      </c>
      <c r="D39" s="359"/>
      <c r="E39" s="107">
        <f>SUM(E41:E44)</f>
        <v>3</v>
      </c>
      <c r="F39" s="108">
        <f>SUM(F41:F44)</f>
        <v>78600</v>
      </c>
      <c r="G39" s="108">
        <f>SUM(G41:G43)</f>
        <v>4462.1400000000003</v>
      </c>
      <c r="H39" s="108">
        <f>SUM(H41:H43)</f>
        <v>7100.52</v>
      </c>
      <c r="I39" s="108">
        <f t="shared" ref="I39:Q39" si="22">SUM(I41:I43)</f>
        <v>6675.5400000000009</v>
      </c>
      <c r="J39" s="108">
        <f t="shared" si="22"/>
        <v>4318.2000000000007</v>
      </c>
      <c r="K39" s="108">
        <f t="shared" si="22"/>
        <v>4462.1400000000003</v>
      </c>
      <c r="L39" s="108">
        <f t="shared" si="22"/>
        <v>4318.2000000000007</v>
      </c>
      <c r="M39" s="108">
        <f t="shared" si="22"/>
        <v>4462.1400000000003</v>
      </c>
      <c r="N39" s="108">
        <f t="shared" si="22"/>
        <v>0</v>
      </c>
      <c r="O39" s="108">
        <f t="shared" si="22"/>
        <v>0</v>
      </c>
      <c r="P39" s="108">
        <f t="shared" si="22"/>
        <v>0</v>
      </c>
      <c r="Q39" s="108">
        <f t="shared" si="22"/>
        <v>0</v>
      </c>
      <c r="R39" s="108">
        <f>SUM(R41:R44)</f>
        <v>42801.119999999995</v>
      </c>
    </row>
    <row r="40" spans="1:22" ht="17.25" customHeight="1" x14ac:dyDescent="0.25">
      <c r="A40" s="41"/>
      <c r="B40" s="110"/>
      <c r="C40" s="111"/>
      <c r="D40" s="111"/>
      <c r="E40" s="317" t="s">
        <v>29</v>
      </c>
      <c r="F40" s="319">
        <v>26061</v>
      </c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3"/>
    </row>
    <row r="41" spans="1:22" x14ac:dyDescent="0.25">
      <c r="A41" s="41"/>
      <c r="B41" s="89">
        <v>1</v>
      </c>
      <c r="C41" s="90" t="s">
        <v>41</v>
      </c>
      <c r="D41" s="91">
        <v>72.540000000000006</v>
      </c>
      <c r="E41" s="92">
        <v>1</v>
      </c>
      <c r="F41" s="114">
        <f>+E41*S41*D41</f>
        <v>15378.480000000001</v>
      </c>
      <c r="G41" s="95">
        <f>E41*D41*31</f>
        <v>2248.7400000000002</v>
      </c>
      <c r="H41" s="115">
        <f>E41*D41*28</f>
        <v>2031.1200000000001</v>
      </c>
      <c r="I41" s="95">
        <f>E41*D41*31</f>
        <v>2248.7400000000002</v>
      </c>
      <c r="J41" s="95">
        <f>E41*D41*30</f>
        <v>2176.2000000000003</v>
      </c>
      <c r="K41" s="95">
        <f>E41*D41*31</f>
        <v>2248.7400000000002</v>
      </c>
      <c r="L41" s="95">
        <f>E41*D41*30</f>
        <v>2176.2000000000003</v>
      </c>
      <c r="M41" s="95">
        <f>E41*D41*31</f>
        <v>2248.7400000000002</v>
      </c>
      <c r="N41" s="85">
        <v>0</v>
      </c>
      <c r="O41" s="85">
        <v>0</v>
      </c>
      <c r="P41" s="85">
        <v>0</v>
      </c>
      <c r="Q41" s="85">
        <v>0</v>
      </c>
      <c r="R41" s="87">
        <v>0</v>
      </c>
      <c r="S41" s="2">
        <v>212</v>
      </c>
    </row>
    <row r="42" spans="1:22" x14ac:dyDescent="0.25">
      <c r="A42" s="41"/>
      <c r="B42" s="80">
        <v>2</v>
      </c>
      <c r="C42" s="81" t="s">
        <v>30</v>
      </c>
      <c r="D42" s="82">
        <v>71.400000000000006</v>
      </c>
      <c r="E42" s="116">
        <v>1</v>
      </c>
      <c r="F42" s="88">
        <f>+E42*S42*D42</f>
        <v>15136.800000000001</v>
      </c>
      <c r="G42" s="85">
        <f>E42*D42*31</f>
        <v>2213.4</v>
      </c>
      <c r="H42" s="86">
        <f>E42*D42*28</f>
        <v>1999.2000000000003</v>
      </c>
      <c r="I42" s="85">
        <f>E42*D42*31</f>
        <v>2213.4</v>
      </c>
      <c r="J42" s="85">
        <f>E42*D42*30</f>
        <v>2142</v>
      </c>
      <c r="K42" s="85">
        <f>E42*D42*31</f>
        <v>2213.4</v>
      </c>
      <c r="L42" s="85">
        <f>E42*D42*30</f>
        <v>2142</v>
      </c>
      <c r="M42" s="85">
        <f>E42*D42*31</f>
        <v>2213.4</v>
      </c>
      <c r="N42" s="85">
        <v>0</v>
      </c>
      <c r="O42" s="85">
        <v>0</v>
      </c>
      <c r="P42" s="85">
        <v>0</v>
      </c>
      <c r="Q42" s="85">
        <v>0</v>
      </c>
      <c r="R42" s="87">
        <v>0</v>
      </c>
      <c r="S42" s="2">
        <v>212</v>
      </c>
    </row>
    <row r="43" spans="1:22" s="164" customFormat="1" x14ac:dyDescent="0.25">
      <c r="A43" s="159"/>
      <c r="B43" s="160">
        <v>2</v>
      </c>
      <c r="C43" s="329" t="s">
        <v>33</v>
      </c>
      <c r="D43" s="162">
        <v>71.400000000000006</v>
      </c>
      <c r="E43" s="83">
        <v>1</v>
      </c>
      <c r="F43" s="125">
        <f>+E43*S43*D43</f>
        <v>5283.6</v>
      </c>
      <c r="G43" s="157">
        <v>0</v>
      </c>
      <c r="H43" s="189">
        <f>E43*D43*28+D43*E43*15</f>
        <v>3070.2000000000003</v>
      </c>
      <c r="I43" s="157">
        <f>E43*D43*31</f>
        <v>2213.4</v>
      </c>
      <c r="J43" s="157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57">
        <v>0</v>
      </c>
      <c r="Q43" s="157">
        <v>0</v>
      </c>
      <c r="R43" s="158">
        <v>0</v>
      </c>
      <c r="S43" s="210">
        <f>15+28+31</f>
        <v>74</v>
      </c>
    </row>
    <row r="44" spans="1:22" x14ac:dyDescent="0.25">
      <c r="A44" s="41"/>
      <c r="B44" s="80"/>
      <c r="C44" s="117" t="s">
        <v>39</v>
      </c>
      <c r="D44" s="82"/>
      <c r="E44" s="116"/>
      <c r="F44" s="86">
        <f xml:space="preserve"> 52539-SUM(F41:F43)+26061</f>
        <v>42801.119999999995</v>
      </c>
      <c r="G44" s="118"/>
      <c r="H44" s="86"/>
      <c r="I44" s="85"/>
      <c r="J44" s="85"/>
      <c r="K44" s="86"/>
      <c r="L44" s="86"/>
      <c r="M44" s="85"/>
      <c r="N44" s="85"/>
      <c r="O44" s="85"/>
      <c r="P44" s="85"/>
      <c r="Q44" s="85"/>
      <c r="R44" s="119">
        <f>F44</f>
        <v>42801.119999999995</v>
      </c>
    </row>
    <row r="45" spans="1:22" ht="27.6" customHeight="1" x14ac:dyDescent="0.25">
      <c r="A45" s="41"/>
      <c r="B45" s="80"/>
      <c r="C45" s="360" t="s">
        <v>103</v>
      </c>
      <c r="D45" s="360"/>
      <c r="E45" s="120">
        <f>SUM(E47:E48)</f>
        <v>10</v>
      </c>
      <c r="F45" s="121">
        <f>SUM(F47:F49)</f>
        <v>263112</v>
      </c>
      <c r="G45" s="121">
        <f t="shared" ref="G45:Q45" si="23">SUM(G47:G48)</f>
        <v>22346.04</v>
      </c>
      <c r="H45" s="121">
        <f t="shared" si="23"/>
        <v>20183.520000000004</v>
      </c>
      <c r="I45" s="121">
        <f t="shared" si="23"/>
        <v>22346.04</v>
      </c>
      <c r="J45" s="121">
        <f>SUM(J47:J48)</f>
        <v>21625.200000000001</v>
      </c>
      <c r="K45" s="121">
        <f t="shared" si="23"/>
        <v>22346.04</v>
      </c>
      <c r="L45" s="121">
        <f t="shared" si="23"/>
        <v>21625.200000000001</v>
      </c>
      <c r="M45" s="121">
        <f t="shared" si="23"/>
        <v>22346.04</v>
      </c>
      <c r="N45" s="121">
        <f t="shared" si="23"/>
        <v>0</v>
      </c>
      <c r="O45" s="121">
        <f t="shared" si="23"/>
        <v>0</v>
      </c>
      <c r="P45" s="121">
        <f t="shared" si="23"/>
        <v>0</v>
      </c>
      <c r="Q45" s="121">
        <f t="shared" si="23"/>
        <v>0</v>
      </c>
      <c r="R45" s="122">
        <f>SUM(R47:R49)</f>
        <v>110293.91999999998</v>
      </c>
      <c r="V45" s="6"/>
    </row>
    <row r="46" spans="1:22" ht="12.75" customHeight="1" x14ac:dyDescent="0.25">
      <c r="A46" s="41"/>
      <c r="B46" s="80"/>
      <c r="C46" s="123"/>
      <c r="D46" s="123"/>
      <c r="E46" s="75" t="s">
        <v>29</v>
      </c>
      <c r="F46" s="76">
        <v>0</v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2"/>
      <c r="S46" s="124"/>
      <c r="V46" s="6"/>
    </row>
    <row r="47" spans="1:22" ht="33.75" customHeight="1" x14ac:dyDescent="0.25">
      <c r="A47" s="41"/>
      <c r="B47" s="80">
        <v>1</v>
      </c>
      <c r="C47" s="81" t="s">
        <v>41</v>
      </c>
      <c r="D47" s="82">
        <v>72.540000000000006</v>
      </c>
      <c r="E47" s="83">
        <v>6</v>
      </c>
      <c r="F47" s="125">
        <f>+E47*S47*D47</f>
        <v>92270.88</v>
      </c>
      <c r="G47" s="85">
        <f>E47*D47*31</f>
        <v>13492.44</v>
      </c>
      <c r="H47" s="86">
        <f>E47*D47*28</f>
        <v>12186.720000000001</v>
      </c>
      <c r="I47" s="85">
        <f>E47*D47*31</f>
        <v>13492.44</v>
      </c>
      <c r="J47" s="85">
        <f>E47*D47*30</f>
        <v>13057.2</v>
      </c>
      <c r="K47" s="85">
        <f>E47*D47*31</f>
        <v>13492.44</v>
      </c>
      <c r="L47" s="85">
        <f>E47*D47*30</f>
        <v>13057.2</v>
      </c>
      <c r="M47" s="85">
        <f>E47*D47*31</f>
        <v>13492.44</v>
      </c>
      <c r="N47" s="85">
        <v>0</v>
      </c>
      <c r="O47" s="85">
        <v>0</v>
      </c>
      <c r="P47" s="85">
        <v>0</v>
      </c>
      <c r="Q47" s="85">
        <v>0</v>
      </c>
      <c r="R47" s="87">
        <v>0</v>
      </c>
      <c r="S47" s="2">
        <v>212</v>
      </c>
    </row>
    <row r="48" spans="1:22" x14ac:dyDescent="0.25">
      <c r="A48" s="41"/>
      <c r="B48" s="80">
        <v>2</v>
      </c>
      <c r="C48" s="81" t="s">
        <v>30</v>
      </c>
      <c r="D48" s="82">
        <v>71.400000000000006</v>
      </c>
      <c r="E48" s="116">
        <v>4</v>
      </c>
      <c r="F48" s="88">
        <f>+E48*S48*D48</f>
        <v>60547.200000000004</v>
      </c>
      <c r="G48" s="85">
        <f>E48*D48*31</f>
        <v>8853.6</v>
      </c>
      <c r="H48" s="86">
        <f>E48*D48*28</f>
        <v>7996.8000000000011</v>
      </c>
      <c r="I48" s="85">
        <f>E48*D48*31</f>
        <v>8853.6</v>
      </c>
      <c r="J48" s="85">
        <f>E48*D48*30</f>
        <v>8568</v>
      </c>
      <c r="K48" s="85">
        <f>E48*D48*31</f>
        <v>8853.6</v>
      </c>
      <c r="L48" s="85">
        <f>E48*D48*30</f>
        <v>8568</v>
      </c>
      <c r="M48" s="85">
        <f>E48*D48*31</f>
        <v>8853.6</v>
      </c>
      <c r="N48" s="85">
        <v>0</v>
      </c>
      <c r="O48" s="85">
        <v>0</v>
      </c>
      <c r="P48" s="85">
        <v>0</v>
      </c>
      <c r="Q48" s="85">
        <v>0</v>
      </c>
      <c r="R48" s="87">
        <v>0</v>
      </c>
      <c r="S48" s="2">
        <v>212</v>
      </c>
    </row>
    <row r="49" spans="1:27" x14ac:dyDescent="0.25">
      <c r="A49" s="41"/>
      <c r="B49" s="80"/>
      <c r="C49" s="81" t="s">
        <v>39</v>
      </c>
      <c r="D49" s="82"/>
      <c r="E49" s="116"/>
      <c r="F49" s="86">
        <f xml:space="preserve"> 263112-SUM(F47:F48)</f>
        <v>110293.91999999998</v>
      </c>
      <c r="G49" s="118"/>
      <c r="H49" s="126"/>
      <c r="I49" s="85"/>
      <c r="J49" s="85"/>
      <c r="K49" s="85"/>
      <c r="L49" s="85"/>
      <c r="M49" s="85"/>
      <c r="N49" s="85"/>
      <c r="O49" s="85"/>
      <c r="P49" s="85"/>
      <c r="Q49" s="85"/>
      <c r="R49" s="127">
        <f>F49</f>
        <v>110293.91999999998</v>
      </c>
    </row>
    <row r="50" spans="1:27" x14ac:dyDescent="0.25">
      <c r="A50" s="41"/>
      <c r="B50" s="128"/>
      <c r="C50" s="342" t="s">
        <v>42</v>
      </c>
      <c r="D50" s="342"/>
      <c r="E50" s="129"/>
      <c r="F50" s="129"/>
      <c r="G50" s="130"/>
      <c r="H50" s="130"/>
      <c r="I50" s="130"/>
      <c r="J50" s="130"/>
      <c r="K50" s="130"/>
      <c r="L50" s="130"/>
      <c r="M50" s="130"/>
      <c r="N50" s="130"/>
      <c r="O50" s="130"/>
      <c r="P50" s="131"/>
      <c r="Q50" s="130"/>
      <c r="R50" s="132"/>
      <c r="S50" s="133"/>
    </row>
    <row r="51" spans="1:27" ht="24" customHeight="1" thickBot="1" x14ac:dyDescent="0.3">
      <c r="A51" s="41"/>
      <c r="B51" s="134"/>
      <c r="C51" s="341" t="s">
        <v>104</v>
      </c>
      <c r="D51" s="341"/>
      <c r="E51" s="135">
        <f t="shared" ref="E51:R51" si="24">E52+E70+E81+E90+E100+E108+E115+E121+E128</f>
        <v>368</v>
      </c>
      <c r="F51" s="136">
        <f t="shared" si="24"/>
        <v>9693899</v>
      </c>
      <c r="G51" s="136">
        <f t="shared" si="24"/>
        <v>795132.95000000007</v>
      </c>
      <c r="H51" s="136">
        <f t="shared" si="24"/>
        <v>746030.60000000009</v>
      </c>
      <c r="I51" s="136">
        <f t="shared" si="24"/>
        <v>815053.55</v>
      </c>
      <c r="J51" s="136">
        <f t="shared" si="24"/>
        <v>769483.50000000012</v>
      </c>
      <c r="K51" s="136">
        <f t="shared" si="24"/>
        <v>795132.95000000007</v>
      </c>
      <c r="L51" s="136">
        <f t="shared" si="24"/>
        <v>769483.50000000012</v>
      </c>
      <c r="M51" s="136">
        <f t="shared" si="24"/>
        <v>795132.95000000007</v>
      </c>
      <c r="N51" s="136">
        <f t="shared" si="24"/>
        <v>0</v>
      </c>
      <c r="O51" s="136">
        <f t="shared" si="24"/>
        <v>0</v>
      </c>
      <c r="P51" s="136">
        <f t="shared" si="24"/>
        <v>0</v>
      </c>
      <c r="Q51" s="137">
        <f t="shared" si="24"/>
        <v>0</v>
      </c>
      <c r="R51" s="138">
        <f t="shared" si="24"/>
        <v>4208449</v>
      </c>
      <c r="S51" s="326">
        <f>F51-SUM(G51:R51)</f>
        <v>0</v>
      </c>
      <c r="T51" s="32"/>
    </row>
    <row r="52" spans="1:27" ht="43.15" customHeight="1" x14ac:dyDescent="0.25">
      <c r="A52" s="41"/>
      <c r="B52" s="139"/>
      <c r="C52" s="362" t="s">
        <v>105</v>
      </c>
      <c r="D52" s="362"/>
      <c r="E52" s="140">
        <f>SUM(E54:E68)</f>
        <v>83</v>
      </c>
      <c r="F52" s="141">
        <f t="shared" ref="F52:R52" si="25">SUM(F54:F69)</f>
        <v>2221211</v>
      </c>
      <c r="G52" s="142">
        <f t="shared" si="25"/>
        <v>183838.99</v>
      </c>
      <c r="H52" s="142">
        <f t="shared" si="25"/>
        <v>164048.92000000001</v>
      </c>
      <c r="I52" s="143">
        <f t="shared" si="25"/>
        <v>183838.99</v>
      </c>
      <c r="J52" s="143">
        <f t="shared" si="25"/>
        <v>177908.69999999998</v>
      </c>
      <c r="K52" s="143">
        <f t="shared" si="25"/>
        <v>183838.99</v>
      </c>
      <c r="L52" s="143">
        <f t="shared" si="25"/>
        <v>177908.69999999998</v>
      </c>
      <c r="M52" s="142">
        <f t="shared" si="25"/>
        <v>183838.99</v>
      </c>
      <c r="N52" s="143">
        <f t="shared" si="25"/>
        <v>0</v>
      </c>
      <c r="O52" s="143">
        <f t="shared" si="25"/>
        <v>0</v>
      </c>
      <c r="P52" s="143">
        <f t="shared" si="25"/>
        <v>0</v>
      </c>
      <c r="Q52" s="143">
        <f t="shared" si="25"/>
        <v>0</v>
      </c>
      <c r="R52" s="144">
        <f t="shared" si="25"/>
        <v>965988.71999999974</v>
      </c>
      <c r="S52" s="326">
        <f>F52-SUM(G52:R52)</f>
        <v>0</v>
      </c>
      <c r="T52" s="7"/>
      <c r="V52" s="145"/>
      <c r="W52" s="33"/>
    </row>
    <row r="53" spans="1:27" ht="16.899999999999999" customHeight="1" x14ac:dyDescent="0.25">
      <c r="A53" s="41"/>
      <c r="B53" s="80"/>
      <c r="C53" s="123"/>
      <c r="D53" s="123"/>
      <c r="E53" s="75" t="s">
        <v>29</v>
      </c>
      <c r="F53" s="76">
        <v>0</v>
      </c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7"/>
      <c r="R53" s="147"/>
      <c r="S53" s="148"/>
      <c r="V53" s="149"/>
    </row>
    <row r="54" spans="1:27" x14ac:dyDescent="0.25">
      <c r="A54" s="41"/>
      <c r="B54" s="150">
        <v>1</v>
      </c>
      <c r="C54" s="151" t="s">
        <v>41</v>
      </c>
      <c r="D54" s="152">
        <v>72.540000000000006</v>
      </c>
      <c r="E54" s="153">
        <v>6</v>
      </c>
      <c r="F54" s="154">
        <f t="shared" ref="F54:F68" si="26">+E54*S54*D54</f>
        <v>92270.88</v>
      </c>
      <c r="G54" s="155">
        <f>E54*D54*31</f>
        <v>13492.44</v>
      </c>
      <c r="H54" s="156">
        <f>E54*D54*28</f>
        <v>12186.720000000001</v>
      </c>
      <c r="I54" s="155">
        <f t="shared" ref="I54:I60" si="27">E54*D54*31</f>
        <v>13492.44</v>
      </c>
      <c r="J54" s="157">
        <f t="shared" ref="J54:J60" si="28">E54*D54*30</f>
        <v>13057.2</v>
      </c>
      <c r="K54" s="157">
        <f t="shared" ref="K54:K60" si="29">E54*D54*31</f>
        <v>13492.44</v>
      </c>
      <c r="L54" s="157">
        <f t="shared" ref="L54:L60" si="30">E54*D54*30</f>
        <v>13057.2</v>
      </c>
      <c r="M54" s="157">
        <f t="shared" ref="M54:M60" si="31">E54*D54*31</f>
        <v>13492.44</v>
      </c>
      <c r="N54" s="157">
        <v>0</v>
      </c>
      <c r="O54" s="157">
        <v>0</v>
      </c>
      <c r="P54" s="157">
        <v>0</v>
      </c>
      <c r="Q54" s="157">
        <v>0</v>
      </c>
      <c r="R54" s="158">
        <v>0</v>
      </c>
      <c r="S54" s="148">
        <v>212</v>
      </c>
      <c r="V54" s="149"/>
    </row>
    <row r="55" spans="1:27" s="164" customFormat="1" x14ac:dyDescent="0.25">
      <c r="A55" s="159"/>
      <c r="B55" s="160">
        <v>2</v>
      </c>
      <c r="C55" s="161" t="s">
        <v>43</v>
      </c>
      <c r="D55" s="162">
        <v>71.400000000000006</v>
      </c>
      <c r="E55" s="83">
        <v>1</v>
      </c>
      <c r="F55" s="125">
        <f t="shared" si="26"/>
        <v>15136.800000000001</v>
      </c>
      <c r="G55" s="155">
        <f t="shared" ref="G55:G60" si="32">E55*D55*31</f>
        <v>2213.4</v>
      </c>
      <c r="H55" s="156">
        <f t="shared" ref="H55:H60" si="33">E55*D55*28</f>
        <v>1999.2000000000003</v>
      </c>
      <c r="I55" s="155">
        <f t="shared" si="27"/>
        <v>2213.4</v>
      </c>
      <c r="J55" s="157">
        <f t="shared" si="28"/>
        <v>2142</v>
      </c>
      <c r="K55" s="157">
        <f t="shared" si="29"/>
        <v>2213.4</v>
      </c>
      <c r="L55" s="157">
        <f t="shared" si="30"/>
        <v>2142</v>
      </c>
      <c r="M55" s="157">
        <f t="shared" si="31"/>
        <v>2213.4</v>
      </c>
      <c r="N55" s="157">
        <v>0</v>
      </c>
      <c r="O55" s="157">
        <v>0</v>
      </c>
      <c r="P55" s="157">
        <v>0</v>
      </c>
      <c r="Q55" s="157">
        <v>0</v>
      </c>
      <c r="R55" s="158">
        <v>0</v>
      </c>
      <c r="S55" s="148">
        <v>212</v>
      </c>
      <c r="T55"/>
      <c r="U55"/>
      <c r="V55" s="163"/>
      <c r="Z55"/>
      <c r="AA55"/>
    </row>
    <row r="56" spans="1:27" s="164" customFormat="1" x14ac:dyDescent="0.25">
      <c r="A56" s="159"/>
      <c r="B56" s="160">
        <v>3</v>
      </c>
      <c r="C56" s="161" t="s">
        <v>44</v>
      </c>
      <c r="D56" s="162">
        <v>74.63</v>
      </c>
      <c r="E56" s="83">
        <v>1</v>
      </c>
      <c r="F56" s="125">
        <f t="shared" si="26"/>
        <v>15821.56</v>
      </c>
      <c r="G56" s="155">
        <f t="shared" si="32"/>
        <v>2313.5299999999997</v>
      </c>
      <c r="H56" s="156">
        <f t="shared" si="33"/>
        <v>2089.64</v>
      </c>
      <c r="I56" s="155">
        <f t="shared" si="27"/>
        <v>2313.5299999999997</v>
      </c>
      <c r="J56" s="157">
        <f t="shared" si="28"/>
        <v>2238.8999999999996</v>
      </c>
      <c r="K56" s="157">
        <f t="shared" si="29"/>
        <v>2313.5299999999997</v>
      </c>
      <c r="L56" s="157">
        <f t="shared" si="30"/>
        <v>2238.8999999999996</v>
      </c>
      <c r="M56" s="157">
        <f t="shared" si="31"/>
        <v>2313.5299999999997</v>
      </c>
      <c r="N56" s="157">
        <v>0</v>
      </c>
      <c r="O56" s="157">
        <v>0</v>
      </c>
      <c r="P56" s="157">
        <v>0</v>
      </c>
      <c r="Q56" s="157">
        <v>0</v>
      </c>
      <c r="R56" s="158">
        <v>0</v>
      </c>
      <c r="S56" s="148">
        <v>212</v>
      </c>
      <c r="T56"/>
      <c r="U56"/>
      <c r="V56" s="163"/>
      <c r="Z56"/>
      <c r="AA56"/>
    </row>
    <row r="57" spans="1:27" s="164" customFormat="1" x14ac:dyDescent="0.25">
      <c r="A57" s="159"/>
      <c r="B57" s="160">
        <v>4</v>
      </c>
      <c r="C57" s="161" t="s">
        <v>30</v>
      </c>
      <c r="D57" s="162">
        <v>71.400000000000006</v>
      </c>
      <c r="E57" s="83">
        <v>5</v>
      </c>
      <c r="F57" s="125">
        <f t="shared" si="26"/>
        <v>75684</v>
      </c>
      <c r="G57" s="155">
        <f t="shared" si="32"/>
        <v>11067</v>
      </c>
      <c r="H57" s="156">
        <f t="shared" si="33"/>
        <v>9996</v>
      </c>
      <c r="I57" s="155">
        <f t="shared" si="27"/>
        <v>11067</v>
      </c>
      <c r="J57" s="157">
        <f t="shared" si="28"/>
        <v>10710</v>
      </c>
      <c r="K57" s="157">
        <f t="shared" si="29"/>
        <v>11067</v>
      </c>
      <c r="L57" s="157">
        <f t="shared" si="30"/>
        <v>10710</v>
      </c>
      <c r="M57" s="157">
        <f t="shared" si="31"/>
        <v>11067</v>
      </c>
      <c r="N57" s="157">
        <v>0</v>
      </c>
      <c r="O57" s="157">
        <v>0</v>
      </c>
      <c r="P57" s="157">
        <v>0</v>
      </c>
      <c r="Q57" s="157">
        <v>0</v>
      </c>
      <c r="R57" s="158">
        <v>0</v>
      </c>
      <c r="S57" s="148">
        <v>212</v>
      </c>
      <c r="T57"/>
      <c r="U57"/>
      <c r="V57" s="163"/>
      <c r="Z57"/>
      <c r="AA57"/>
    </row>
    <row r="58" spans="1:27" s="164" customFormat="1" x14ac:dyDescent="0.25">
      <c r="A58" s="159"/>
      <c r="B58" s="150">
        <v>5</v>
      </c>
      <c r="C58" s="161" t="s">
        <v>45</v>
      </c>
      <c r="D58" s="162">
        <v>74.63</v>
      </c>
      <c r="E58" s="83">
        <v>1</v>
      </c>
      <c r="F58" s="125">
        <f t="shared" si="26"/>
        <v>15821.56</v>
      </c>
      <c r="G58" s="155">
        <f t="shared" si="32"/>
        <v>2313.5299999999997</v>
      </c>
      <c r="H58" s="156">
        <f t="shared" si="33"/>
        <v>2089.64</v>
      </c>
      <c r="I58" s="155">
        <f t="shared" si="27"/>
        <v>2313.5299999999997</v>
      </c>
      <c r="J58" s="157">
        <f t="shared" si="28"/>
        <v>2238.8999999999996</v>
      </c>
      <c r="K58" s="157">
        <f t="shared" si="29"/>
        <v>2313.5299999999997</v>
      </c>
      <c r="L58" s="157">
        <f t="shared" si="30"/>
        <v>2238.8999999999996</v>
      </c>
      <c r="M58" s="157">
        <f t="shared" si="31"/>
        <v>2313.5299999999997</v>
      </c>
      <c r="N58" s="157">
        <v>0</v>
      </c>
      <c r="O58" s="157">
        <v>0</v>
      </c>
      <c r="P58" s="157">
        <v>0</v>
      </c>
      <c r="Q58" s="157">
        <v>0</v>
      </c>
      <c r="R58" s="158">
        <v>0</v>
      </c>
      <c r="S58" s="148">
        <v>212</v>
      </c>
      <c r="V58" s="163"/>
    </row>
    <row r="59" spans="1:27" s="164" customFormat="1" x14ac:dyDescent="0.25">
      <c r="A59" s="159"/>
      <c r="B59" s="160">
        <v>6</v>
      </c>
      <c r="C59" s="161" t="s">
        <v>46</v>
      </c>
      <c r="D59" s="162">
        <v>74.63</v>
      </c>
      <c r="E59" s="83">
        <v>1</v>
      </c>
      <c r="F59" s="125">
        <f t="shared" si="26"/>
        <v>15821.56</v>
      </c>
      <c r="G59" s="155">
        <f t="shared" si="32"/>
        <v>2313.5299999999997</v>
      </c>
      <c r="H59" s="156">
        <f t="shared" si="33"/>
        <v>2089.64</v>
      </c>
      <c r="I59" s="155">
        <f t="shared" si="27"/>
        <v>2313.5299999999997</v>
      </c>
      <c r="J59" s="157">
        <f t="shared" si="28"/>
        <v>2238.8999999999996</v>
      </c>
      <c r="K59" s="157">
        <f t="shared" si="29"/>
        <v>2313.5299999999997</v>
      </c>
      <c r="L59" s="157">
        <f t="shared" si="30"/>
        <v>2238.8999999999996</v>
      </c>
      <c r="M59" s="157">
        <f t="shared" si="31"/>
        <v>2313.5299999999997</v>
      </c>
      <c r="N59" s="157">
        <v>0</v>
      </c>
      <c r="O59" s="157">
        <v>0</v>
      </c>
      <c r="P59" s="157">
        <v>0</v>
      </c>
      <c r="Q59" s="157">
        <v>0</v>
      </c>
      <c r="R59" s="158">
        <v>0</v>
      </c>
      <c r="S59" s="148">
        <v>212</v>
      </c>
      <c r="T59"/>
      <c r="U59"/>
      <c r="V59" s="163"/>
      <c r="Z59"/>
      <c r="AA59"/>
    </row>
    <row r="60" spans="1:27" s="164" customFormat="1" ht="15.75" customHeight="1" x14ac:dyDescent="0.25">
      <c r="A60" s="159"/>
      <c r="B60" s="160">
        <v>7</v>
      </c>
      <c r="C60" s="161" t="s">
        <v>47</v>
      </c>
      <c r="D60" s="162">
        <v>72.540000000000006</v>
      </c>
      <c r="E60" s="83">
        <v>1</v>
      </c>
      <c r="F60" s="125">
        <f t="shared" si="26"/>
        <v>15378.480000000001</v>
      </c>
      <c r="G60" s="155">
        <f t="shared" si="32"/>
        <v>2248.7400000000002</v>
      </c>
      <c r="H60" s="156">
        <f t="shared" si="33"/>
        <v>2031.1200000000001</v>
      </c>
      <c r="I60" s="155">
        <f t="shared" si="27"/>
        <v>2248.7400000000002</v>
      </c>
      <c r="J60" s="157">
        <f t="shared" si="28"/>
        <v>2176.2000000000003</v>
      </c>
      <c r="K60" s="157">
        <f t="shared" si="29"/>
        <v>2248.7400000000002</v>
      </c>
      <c r="L60" s="157">
        <f t="shared" si="30"/>
        <v>2176.2000000000003</v>
      </c>
      <c r="M60" s="157">
        <f t="shared" si="31"/>
        <v>2248.7400000000002</v>
      </c>
      <c r="N60" s="157">
        <v>0</v>
      </c>
      <c r="O60" s="157">
        <v>0</v>
      </c>
      <c r="P60" s="157">
        <v>0</v>
      </c>
      <c r="Q60" s="157">
        <v>0</v>
      </c>
      <c r="R60" s="158">
        <v>0</v>
      </c>
      <c r="S60" s="148">
        <v>212</v>
      </c>
      <c r="T60"/>
      <c r="U60"/>
      <c r="V60" s="163"/>
      <c r="Z60"/>
      <c r="AA60"/>
    </row>
    <row r="61" spans="1:27" s="164" customFormat="1" x14ac:dyDescent="0.25">
      <c r="A61" s="159"/>
      <c r="B61" s="160">
        <v>8</v>
      </c>
      <c r="C61" s="161" t="s">
        <v>33</v>
      </c>
      <c r="D61" s="162">
        <v>71.400000000000006</v>
      </c>
      <c r="E61" s="165">
        <v>1</v>
      </c>
      <c r="F61" s="166">
        <f t="shared" si="26"/>
        <v>15136.800000000001</v>
      </c>
      <c r="G61" s="155">
        <f>E61*D61*31</f>
        <v>2213.4</v>
      </c>
      <c r="H61" s="156">
        <f>E61*D61*28</f>
        <v>1999.2000000000003</v>
      </c>
      <c r="I61" s="155">
        <f>E61*D61*31</f>
        <v>2213.4</v>
      </c>
      <c r="J61" s="157">
        <f>E61*D61*30</f>
        <v>2142</v>
      </c>
      <c r="K61" s="157">
        <f>E61*D61*31</f>
        <v>2213.4</v>
      </c>
      <c r="L61" s="157">
        <f>E61*D61*30</f>
        <v>2142</v>
      </c>
      <c r="M61" s="157">
        <f>E61*D61*31</f>
        <v>2213.4</v>
      </c>
      <c r="N61" s="157">
        <v>0</v>
      </c>
      <c r="O61" s="157">
        <v>0</v>
      </c>
      <c r="P61" s="157">
        <v>0</v>
      </c>
      <c r="Q61" s="157">
        <v>0</v>
      </c>
      <c r="R61" s="158">
        <v>0</v>
      </c>
      <c r="S61" s="148">
        <v>212</v>
      </c>
      <c r="U61"/>
      <c r="V61" s="163"/>
    </row>
    <row r="62" spans="1:27" s="164" customFormat="1" x14ac:dyDescent="0.25">
      <c r="A62" s="159"/>
      <c r="B62" s="150">
        <v>9</v>
      </c>
      <c r="C62" s="161" t="s">
        <v>34</v>
      </c>
      <c r="D62" s="162">
        <v>78.25</v>
      </c>
      <c r="E62" s="165">
        <v>6</v>
      </c>
      <c r="F62" s="166">
        <f t="shared" si="26"/>
        <v>99534</v>
      </c>
      <c r="G62" s="155">
        <f>E62*D62*31</f>
        <v>14554.5</v>
      </c>
      <c r="H62" s="156">
        <f>E62*D62*28</f>
        <v>13146</v>
      </c>
      <c r="I62" s="155">
        <f>E62*D62*31</f>
        <v>14554.5</v>
      </c>
      <c r="J62" s="157">
        <f>E62*D62*30</f>
        <v>14085</v>
      </c>
      <c r="K62" s="157">
        <f>E62*D62*31</f>
        <v>14554.5</v>
      </c>
      <c r="L62" s="157">
        <f>E62*D62*30</f>
        <v>14085</v>
      </c>
      <c r="M62" s="157">
        <f>E62*D62*31</f>
        <v>14554.5</v>
      </c>
      <c r="N62" s="157">
        <v>0</v>
      </c>
      <c r="O62" s="157">
        <v>0</v>
      </c>
      <c r="P62" s="157">
        <v>0</v>
      </c>
      <c r="Q62" s="157">
        <v>0</v>
      </c>
      <c r="R62" s="158">
        <v>0</v>
      </c>
      <c r="S62" s="167">
        <v>212</v>
      </c>
      <c r="U62"/>
      <c r="V62" s="163"/>
    </row>
    <row r="63" spans="1:27" s="164" customFormat="1" x14ac:dyDescent="0.25">
      <c r="A63" s="159"/>
      <c r="B63" s="150">
        <v>9</v>
      </c>
      <c r="C63" s="329" t="s">
        <v>34</v>
      </c>
      <c r="D63" s="162">
        <v>78.25</v>
      </c>
      <c r="E63" s="165">
        <v>1</v>
      </c>
      <c r="F63" s="166">
        <f t="shared" ref="F63" si="34">+E63*S63*D63</f>
        <v>0</v>
      </c>
      <c r="G63" s="155">
        <v>0</v>
      </c>
      <c r="H63" s="156">
        <v>0</v>
      </c>
      <c r="I63" s="155">
        <v>0</v>
      </c>
      <c r="J63" s="157">
        <v>0</v>
      </c>
      <c r="K63" s="157">
        <v>0</v>
      </c>
      <c r="L63" s="157">
        <v>0</v>
      </c>
      <c r="M63" s="157">
        <v>0</v>
      </c>
      <c r="N63" s="157">
        <v>0</v>
      </c>
      <c r="O63" s="157">
        <v>0</v>
      </c>
      <c r="P63" s="157">
        <v>0</v>
      </c>
      <c r="Q63" s="157">
        <v>0</v>
      </c>
      <c r="R63" s="158">
        <v>0</v>
      </c>
      <c r="S63" s="167">
        <v>0</v>
      </c>
      <c r="U63"/>
      <c r="V63" s="163"/>
    </row>
    <row r="64" spans="1:27" s="164" customFormat="1" x14ac:dyDescent="0.25">
      <c r="A64" s="159"/>
      <c r="B64" s="160">
        <v>10</v>
      </c>
      <c r="C64" s="161" t="s">
        <v>48</v>
      </c>
      <c r="D64" s="162">
        <v>71.400000000000006</v>
      </c>
      <c r="E64" s="165">
        <v>46</v>
      </c>
      <c r="F64" s="166">
        <f t="shared" si="26"/>
        <v>696292.8</v>
      </c>
      <c r="G64" s="155">
        <f>E64*D64*31</f>
        <v>101816.40000000001</v>
      </c>
      <c r="H64" s="156">
        <f>E64*D64*28</f>
        <v>91963.199999999997</v>
      </c>
      <c r="I64" s="155">
        <f>E64*D64*31</f>
        <v>101816.40000000001</v>
      </c>
      <c r="J64" s="157">
        <f>E64*D64*30</f>
        <v>98532</v>
      </c>
      <c r="K64" s="157">
        <f>E64*D64*31</f>
        <v>101816.40000000001</v>
      </c>
      <c r="L64" s="157">
        <f>E64*D64*30</f>
        <v>98532</v>
      </c>
      <c r="M64" s="157">
        <f>E64*D64*31</f>
        <v>101816.40000000001</v>
      </c>
      <c r="N64" s="157">
        <v>0</v>
      </c>
      <c r="O64" s="157">
        <v>0</v>
      </c>
      <c r="P64" s="157">
        <v>0</v>
      </c>
      <c r="Q64" s="157">
        <v>0</v>
      </c>
      <c r="R64" s="158">
        <v>0</v>
      </c>
      <c r="S64" s="167">
        <v>212</v>
      </c>
      <c r="U64"/>
      <c r="V64" s="163"/>
    </row>
    <row r="65" spans="1:22" s="164" customFormat="1" x14ac:dyDescent="0.25">
      <c r="A65" s="159"/>
      <c r="B65" s="160">
        <v>10</v>
      </c>
      <c r="C65" s="339" t="s">
        <v>48</v>
      </c>
      <c r="D65" s="162">
        <v>71.400000000000006</v>
      </c>
      <c r="E65" s="165">
        <v>1</v>
      </c>
      <c r="F65" s="166">
        <f t="shared" ref="F65" si="35">+E65*S65*D65</f>
        <v>13137.6</v>
      </c>
      <c r="G65" s="155">
        <f>E65*D65*31</f>
        <v>2213.4</v>
      </c>
      <c r="H65" s="156">
        <v>0</v>
      </c>
      <c r="I65" s="155">
        <f>E65*D65*31</f>
        <v>2213.4</v>
      </c>
      <c r="J65" s="157">
        <f>E65*D65*30</f>
        <v>2142</v>
      </c>
      <c r="K65" s="157">
        <f>E65*D65*31</f>
        <v>2213.4</v>
      </c>
      <c r="L65" s="157">
        <f>E65*D65*30</f>
        <v>2142</v>
      </c>
      <c r="M65" s="157">
        <f>E65*D65*31</f>
        <v>2213.4</v>
      </c>
      <c r="N65" s="157">
        <v>0</v>
      </c>
      <c r="O65" s="157">
        <v>0</v>
      </c>
      <c r="P65" s="157">
        <v>0</v>
      </c>
      <c r="Q65" s="157">
        <v>0</v>
      </c>
      <c r="R65" s="158">
        <v>0</v>
      </c>
      <c r="S65" s="167">
        <f>212-28</f>
        <v>184</v>
      </c>
      <c r="U65"/>
      <c r="V65" s="163"/>
    </row>
    <row r="66" spans="1:22" s="164" customFormat="1" x14ac:dyDescent="0.25">
      <c r="A66" s="159"/>
      <c r="B66" s="160">
        <v>11</v>
      </c>
      <c r="C66" s="161" t="s">
        <v>49</v>
      </c>
      <c r="D66" s="162">
        <v>72.540000000000006</v>
      </c>
      <c r="E66" s="165">
        <v>9</v>
      </c>
      <c r="F66" s="166">
        <f t="shared" si="26"/>
        <v>138406.32</v>
      </c>
      <c r="G66" s="155">
        <f>E66*D66*31</f>
        <v>20238.66</v>
      </c>
      <c r="H66" s="156">
        <f>E66*D66*28</f>
        <v>18280.080000000002</v>
      </c>
      <c r="I66" s="155">
        <f>E66*D66*31</f>
        <v>20238.66</v>
      </c>
      <c r="J66" s="157">
        <f>E66*D66*30</f>
        <v>19585.8</v>
      </c>
      <c r="K66" s="157">
        <f>E66*D66*31</f>
        <v>20238.66</v>
      </c>
      <c r="L66" s="157">
        <f>E66*D66*30</f>
        <v>19585.8</v>
      </c>
      <c r="M66" s="157">
        <f>E66*D66*31</f>
        <v>20238.66</v>
      </c>
      <c r="N66" s="157">
        <v>0</v>
      </c>
      <c r="O66" s="157">
        <v>0</v>
      </c>
      <c r="P66" s="157">
        <v>0</v>
      </c>
      <c r="Q66" s="157">
        <v>0</v>
      </c>
      <c r="R66" s="158">
        <v>0</v>
      </c>
      <c r="S66" s="167">
        <v>212</v>
      </c>
      <c r="U66"/>
      <c r="V66" s="163"/>
    </row>
    <row r="67" spans="1:22" s="164" customFormat="1" x14ac:dyDescent="0.25">
      <c r="A67" s="159"/>
      <c r="B67" s="160">
        <v>12</v>
      </c>
      <c r="C67" s="161" t="s">
        <v>50</v>
      </c>
      <c r="D67" s="162">
        <v>71.400000000000006</v>
      </c>
      <c r="E67" s="165">
        <v>1</v>
      </c>
      <c r="F67" s="166">
        <f t="shared" si="26"/>
        <v>15136.800000000001</v>
      </c>
      <c r="G67" s="155">
        <f t="shared" ref="G67:G68" si="36">E67*D67*31</f>
        <v>2213.4</v>
      </c>
      <c r="H67" s="156">
        <f t="shared" ref="H67:H68" si="37">E67*D67*28</f>
        <v>1999.2000000000003</v>
      </c>
      <c r="I67" s="155">
        <f t="shared" ref="I67:I68" si="38">E67*D67*31</f>
        <v>2213.4</v>
      </c>
      <c r="J67" s="157">
        <f t="shared" ref="J67:J68" si="39">E67*D67*30</f>
        <v>2142</v>
      </c>
      <c r="K67" s="157">
        <f t="shared" ref="K67:K68" si="40">E67*D67*31</f>
        <v>2213.4</v>
      </c>
      <c r="L67" s="157">
        <f t="shared" ref="L67:L68" si="41">E67*D67*30</f>
        <v>2142</v>
      </c>
      <c r="M67" s="157">
        <f t="shared" ref="M67:M68" si="42">E67*D67*31</f>
        <v>2213.4</v>
      </c>
      <c r="N67" s="157">
        <v>0</v>
      </c>
      <c r="O67" s="157">
        <v>0</v>
      </c>
      <c r="P67" s="157">
        <v>0</v>
      </c>
      <c r="Q67" s="157">
        <v>0</v>
      </c>
      <c r="R67" s="158">
        <v>0</v>
      </c>
      <c r="S67" s="167">
        <v>212</v>
      </c>
      <c r="U67"/>
      <c r="V67" s="163"/>
    </row>
    <row r="68" spans="1:22" s="164" customFormat="1" x14ac:dyDescent="0.25">
      <c r="A68" s="159"/>
      <c r="B68" s="150">
        <v>13</v>
      </c>
      <c r="C68" s="161" t="s">
        <v>51</v>
      </c>
      <c r="D68" s="162">
        <v>74.63</v>
      </c>
      <c r="E68" s="165">
        <v>2</v>
      </c>
      <c r="F68" s="166">
        <f t="shared" si="26"/>
        <v>31643.119999999999</v>
      </c>
      <c r="G68" s="155">
        <f t="shared" si="36"/>
        <v>4627.0599999999995</v>
      </c>
      <c r="H68" s="156">
        <f t="shared" si="37"/>
        <v>4179.28</v>
      </c>
      <c r="I68" s="155">
        <f t="shared" si="38"/>
        <v>4627.0599999999995</v>
      </c>
      <c r="J68" s="157">
        <f t="shared" si="39"/>
        <v>4477.7999999999993</v>
      </c>
      <c r="K68" s="157">
        <f t="shared" si="40"/>
        <v>4627.0599999999995</v>
      </c>
      <c r="L68" s="157">
        <f t="shared" si="41"/>
        <v>4477.7999999999993</v>
      </c>
      <c r="M68" s="157">
        <f t="shared" si="42"/>
        <v>4627.0599999999995</v>
      </c>
      <c r="N68" s="157">
        <v>0</v>
      </c>
      <c r="O68" s="157">
        <v>0</v>
      </c>
      <c r="P68" s="157">
        <v>0</v>
      </c>
      <c r="Q68" s="157">
        <v>0</v>
      </c>
      <c r="R68" s="158">
        <v>0</v>
      </c>
      <c r="S68" s="167">
        <v>212</v>
      </c>
      <c r="U68"/>
      <c r="V68" s="163"/>
    </row>
    <row r="69" spans="1:22" x14ac:dyDescent="0.25">
      <c r="A69" s="41"/>
      <c r="B69" s="80"/>
      <c r="C69" s="81" t="s">
        <v>39</v>
      </c>
      <c r="D69" s="82"/>
      <c r="E69" s="83"/>
      <c r="F69" s="88">
        <f>2221211-SUM(F54:F68)</f>
        <v>965988.71999999974</v>
      </c>
      <c r="G69" s="118"/>
      <c r="H69" s="86"/>
      <c r="I69" s="85"/>
      <c r="J69" s="85"/>
      <c r="K69" s="85"/>
      <c r="L69" s="85"/>
      <c r="M69" s="85"/>
      <c r="N69" s="157"/>
      <c r="O69" s="157"/>
      <c r="P69" s="157"/>
      <c r="Q69" s="157"/>
      <c r="R69" s="158">
        <f>F69</f>
        <v>965988.71999999974</v>
      </c>
      <c r="S69" s="168"/>
      <c r="V69" s="149"/>
    </row>
    <row r="70" spans="1:22" ht="33.6" customHeight="1" x14ac:dyDescent="0.25">
      <c r="A70" s="41"/>
      <c r="B70" s="80"/>
      <c r="C70" s="360" t="s">
        <v>106</v>
      </c>
      <c r="D70" s="360"/>
      <c r="E70" s="169">
        <f>SUM(E72:E79)</f>
        <v>161</v>
      </c>
      <c r="F70" s="146">
        <f>SUM(F72:F80)</f>
        <v>4212701</v>
      </c>
      <c r="G70" s="146">
        <f t="shared" ref="G70:Q70" si="43">SUM(G72:G79)</f>
        <v>344510.13</v>
      </c>
      <c r="H70" s="146">
        <f t="shared" si="43"/>
        <v>329591.64</v>
      </c>
      <c r="I70" s="170">
        <f t="shared" si="43"/>
        <v>357790.53</v>
      </c>
      <c r="J70" s="146">
        <f t="shared" si="43"/>
        <v>333396.90000000002</v>
      </c>
      <c r="K70" s="146">
        <f t="shared" si="43"/>
        <v>344510.13</v>
      </c>
      <c r="L70" s="146">
        <f t="shared" si="43"/>
        <v>333396.90000000002</v>
      </c>
      <c r="M70" s="146">
        <f t="shared" si="43"/>
        <v>344510.13</v>
      </c>
      <c r="N70" s="146">
        <f t="shared" si="43"/>
        <v>0</v>
      </c>
      <c r="O70" s="146">
        <f t="shared" si="43"/>
        <v>0</v>
      </c>
      <c r="P70" s="146">
        <f t="shared" si="43"/>
        <v>0</v>
      </c>
      <c r="Q70" s="146">
        <f t="shared" si="43"/>
        <v>0</v>
      </c>
      <c r="R70" s="147">
        <f>SUM(R72:R80)</f>
        <v>1824994.6399999997</v>
      </c>
      <c r="S70" s="326">
        <f>F70-SUM(G70:R70)</f>
        <v>0</v>
      </c>
      <c r="V70" s="149"/>
    </row>
    <row r="71" spans="1:22" ht="16.899999999999999" customHeight="1" x14ac:dyDescent="0.25">
      <c r="A71" s="41"/>
      <c r="B71" s="80"/>
      <c r="C71" s="123"/>
      <c r="D71" s="123"/>
      <c r="E71" s="75" t="s">
        <v>29</v>
      </c>
      <c r="F71" s="76">
        <v>0</v>
      </c>
      <c r="G71" s="146"/>
      <c r="H71" s="146"/>
      <c r="I71" s="146"/>
      <c r="J71" s="146"/>
      <c r="K71" s="146"/>
      <c r="L71" s="146"/>
      <c r="M71" s="9"/>
      <c r="N71" s="171"/>
      <c r="O71" s="172"/>
      <c r="P71" s="146"/>
      <c r="Q71" s="146"/>
      <c r="R71" s="147"/>
      <c r="S71" s="148"/>
      <c r="V71" s="149"/>
    </row>
    <row r="72" spans="1:22" x14ac:dyDescent="0.25">
      <c r="A72" s="41"/>
      <c r="B72" s="80">
        <v>1</v>
      </c>
      <c r="C72" s="81" t="s">
        <v>41</v>
      </c>
      <c r="D72" s="82">
        <v>72.540000000000006</v>
      </c>
      <c r="E72" s="83">
        <v>1</v>
      </c>
      <c r="F72" s="85">
        <f t="shared" ref="F72:F79" si="44">+E72*S72*D72</f>
        <v>15378.480000000001</v>
      </c>
      <c r="G72" s="85">
        <f t="shared" ref="G72:G79" si="45">E72*D72*31</f>
        <v>2248.7400000000002</v>
      </c>
      <c r="H72" s="86">
        <f t="shared" ref="H72:H79" si="46">E72*D72*28</f>
        <v>2031.1200000000001</v>
      </c>
      <c r="I72" s="85">
        <f t="shared" ref="I72:I79" si="47">E72*D72*31</f>
        <v>2248.7400000000002</v>
      </c>
      <c r="J72" s="85">
        <f t="shared" ref="J72:J79" si="48">E72*D72*30</f>
        <v>2176.2000000000003</v>
      </c>
      <c r="K72" s="85">
        <f t="shared" ref="K72:K79" si="49">E72*D72*31</f>
        <v>2248.7400000000002</v>
      </c>
      <c r="L72" s="85">
        <f t="shared" ref="L72:L79" si="50">E72*D72*30</f>
        <v>2176.2000000000003</v>
      </c>
      <c r="M72" s="85">
        <f t="shared" ref="M72:M79" si="51">E72*D72*31</f>
        <v>2248.7400000000002</v>
      </c>
      <c r="N72" s="85">
        <v>0</v>
      </c>
      <c r="O72" s="85">
        <v>0</v>
      </c>
      <c r="P72" s="85">
        <v>0</v>
      </c>
      <c r="Q72" s="85">
        <v>0</v>
      </c>
      <c r="R72" s="87">
        <v>0</v>
      </c>
      <c r="S72" s="148">
        <v>212</v>
      </c>
      <c r="V72" s="149"/>
    </row>
    <row r="73" spans="1:22" x14ac:dyDescent="0.25">
      <c r="A73" s="41"/>
      <c r="B73" s="80">
        <v>2</v>
      </c>
      <c r="C73" s="81" t="s">
        <v>52</v>
      </c>
      <c r="D73" s="82">
        <v>73.59</v>
      </c>
      <c r="E73" s="83">
        <v>2</v>
      </c>
      <c r="F73" s="85">
        <f t="shared" si="44"/>
        <v>31202.16</v>
      </c>
      <c r="G73" s="85">
        <f t="shared" si="45"/>
        <v>4562.58</v>
      </c>
      <c r="H73" s="86">
        <f t="shared" si="46"/>
        <v>4121.04</v>
      </c>
      <c r="I73" s="85">
        <f t="shared" si="47"/>
        <v>4562.58</v>
      </c>
      <c r="J73" s="85">
        <f t="shared" si="48"/>
        <v>4415.4000000000005</v>
      </c>
      <c r="K73" s="85">
        <f t="shared" si="49"/>
        <v>4562.58</v>
      </c>
      <c r="L73" s="85">
        <f t="shared" si="50"/>
        <v>4415.4000000000005</v>
      </c>
      <c r="M73" s="85">
        <f t="shared" si="51"/>
        <v>4562.58</v>
      </c>
      <c r="N73" s="85">
        <v>0</v>
      </c>
      <c r="O73" s="85">
        <v>0</v>
      </c>
      <c r="P73" s="85">
        <v>0</v>
      </c>
      <c r="Q73" s="85">
        <v>0</v>
      </c>
      <c r="R73" s="87">
        <v>0</v>
      </c>
      <c r="S73" s="148">
        <v>212</v>
      </c>
      <c r="V73" s="149"/>
    </row>
    <row r="74" spans="1:22" x14ac:dyDescent="0.25">
      <c r="A74" s="41"/>
      <c r="B74" s="80">
        <v>3</v>
      </c>
      <c r="C74" s="81" t="s">
        <v>53</v>
      </c>
      <c r="D74" s="82">
        <v>74.63</v>
      </c>
      <c r="E74" s="83">
        <v>2</v>
      </c>
      <c r="F74" s="85">
        <f t="shared" si="44"/>
        <v>31643.119999999999</v>
      </c>
      <c r="G74" s="85">
        <f t="shared" si="45"/>
        <v>4627.0599999999995</v>
      </c>
      <c r="H74" s="86">
        <f t="shared" si="46"/>
        <v>4179.28</v>
      </c>
      <c r="I74" s="85">
        <f t="shared" si="47"/>
        <v>4627.0599999999995</v>
      </c>
      <c r="J74" s="85">
        <f t="shared" si="48"/>
        <v>4477.7999999999993</v>
      </c>
      <c r="K74" s="85">
        <f t="shared" si="49"/>
        <v>4627.0599999999995</v>
      </c>
      <c r="L74" s="85">
        <f t="shared" si="50"/>
        <v>4477.7999999999993</v>
      </c>
      <c r="M74" s="85">
        <f t="shared" si="51"/>
        <v>4627.0599999999995</v>
      </c>
      <c r="N74" s="85">
        <v>0</v>
      </c>
      <c r="O74" s="85">
        <v>0</v>
      </c>
      <c r="P74" s="85">
        <v>0</v>
      </c>
      <c r="Q74" s="85">
        <v>0</v>
      </c>
      <c r="R74" s="87">
        <v>0</v>
      </c>
      <c r="S74" s="148">
        <v>212</v>
      </c>
      <c r="V74" s="149"/>
    </row>
    <row r="75" spans="1:22" x14ac:dyDescent="0.25">
      <c r="A75" s="41"/>
      <c r="B75" s="80">
        <v>4</v>
      </c>
      <c r="C75" s="81" t="s">
        <v>30</v>
      </c>
      <c r="D75" s="82">
        <v>71.400000000000006</v>
      </c>
      <c r="E75" s="83">
        <v>4</v>
      </c>
      <c r="F75" s="85">
        <f t="shared" si="44"/>
        <v>60547.200000000004</v>
      </c>
      <c r="G75" s="85">
        <f t="shared" si="45"/>
        <v>8853.6</v>
      </c>
      <c r="H75" s="86">
        <f t="shared" si="46"/>
        <v>7996.8000000000011</v>
      </c>
      <c r="I75" s="85">
        <f t="shared" si="47"/>
        <v>8853.6</v>
      </c>
      <c r="J75" s="85">
        <f t="shared" si="48"/>
        <v>8568</v>
      </c>
      <c r="K75" s="85">
        <f t="shared" si="49"/>
        <v>8853.6</v>
      </c>
      <c r="L75" s="85">
        <f t="shared" si="50"/>
        <v>8568</v>
      </c>
      <c r="M75" s="85">
        <f t="shared" si="51"/>
        <v>8853.6</v>
      </c>
      <c r="N75" s="85">
        <v>0</v>
      </c>
      <c r="O75" s="85">
        <v>0</v>
      </c>
      <c r="P75" s="85">
        <v>0</v>
      </c>
      <c r="Q75" s="85">
        <v>0</v>
      </c>
      <c r="R75" s="87">
        <v>0</v>
      </c>
      <c r="S75" s="148">
        <v>212</v>
      </c>
      <c r="V75" s="149"/>
    </row>
    <row r="76" spans="1:22" x14ac:dyDescent="0.25">
      <c r="A76" s="41"/>
      <c r="B76" s="80">
        <v>6</v>
      </c>
      <c r="C76" s="81" t="s">
        <v>34</v>
      </c>
      <c r="D76" s="82">
        <v>78.25</v>
      </c>
      <c r="E76" s="83">
        <v>5</v>
      </c>
      <c r="F76" s="85">
        <f t="shared" si="44"/>
        <v>82945</v>
      </c>
      <c r="G76" s="85">
        <f t="shared" si="45"/>
        <v>12128.75</v>
      </c>
      <c r="H76" s="86">
        <f t="shared" si="46"/>
        <v>10955</v>
      </c>
      <c r="I76" s="85">
        <f t="shared" si="47"/>
        <v>12128.75</v>
      </c>
      <c r="J76" s="85">
        <f t="shared" si="48"/>
        <v>11737.5</v>
      </c>
      <c r="K76" s="85">
        <f t="shared" si="49"/>
        <v>12128.75</v>
      </c>
      <c r="L76" s="85">
        <f t="shared" si="50"/>
        <v>11737.5</v>
      </c>
      <c r="M76" s="85">
        <f t="shared" si="51"/>
        <v>12128.75</v>
      </c>
      <c r="N76" s="85">
        <v>0</v>
      </c>
      <c r="O76" s="85">
        <v>0</v>
      </c>
      <c r="P76" s="85">
        <v>0</v>
      </c>
      <c r="Q76" s="85">
        <v>0</v>
      </c>
      <c r="R76" s="87">
        <v>0</v>
      </c>
      <c r="S76" s="148">
        <v>212</v>
      </c>
      <c r="V76" s="149"/>
    </row>
    <row r="77" spans="1:22" x14ac:dyDescent="0.25">
      <c r="A77" s="41"/>
      <c r="B77" s="80">
        <v>7</v>
      </c>
      <c r="C77" s="81" t="s">
        <v>48</v>
      </c>
      <c r="D77" s="82">
        <v>71.400000000000006</v>
      </c>
      <c r="E77" s="83">
        <v>13</v>
      </c>
      <c r="F77" s="85">
        <f t="shared" si="44"/>
        <v>196778.40000000002</v>
      </c>
      <c r="G77" s="85">
        <f t="shared" si="45"/>
        <v>28774.2</v>
      </c>
      <c r="H77" s="86">
        <f t="shared" si="46"/>
        <v>25989.600000000002</v>
      </c>
      <c r="I77" s="85">
        <f t="shared" si="47"/>
        <v>28774.2</v>
      </c>
      <c r="J77" s="85">
        <f t="shared" si="48"/>
        <v>27846</v>
      </c>
      <c r="K77" s="85">
        <f t="shared" si="49"/>
        <v>28774.2</v>
      </c>
      <c r="L77" s="85">
        <f t="shared" si="50"/>
        <v>27846</v>
      </c>
      <c r="M77" s="85">
        <f t="shared" si="51"/>
        <v>28774.2</v>
      </c>
      <c r="N77" s="85">
        <v>0</v>
      </c>
      <c r="O77" s="85">
        <v>0</v>
      </c>
      <c r="P77" s="85">
        <v>0</v>
      </c>
      <c r="Q77" s="85">
        <v>0</v>
      </c>
      <c r="R77" s="87">
        <v>0</v>
      </c>
      <c r="S77" s="148">
        <v>212</v>
      </c>
      <c r="V77" s="149"/>
    </row>
    <row r="78" spans="1:22" x14ac:dyDescent="0.25">
      <c r="A78" s="41"/>
      <c r="B78" s="160">
        <v>8</v>
      </c>
      <c r="C78" s="329" t="s">
        <v>54</v>
      </c>
      <c r="D78" s="162">
        <v>71.400000000000006</v>
      </c>
      <c r="E78" s="83">
        <v>6</v>
      </c>
      <c r="F78" s="85">
        <f t="shared" si="44"/>
        <v>31701.600000000002</v>
      </c>
      <c r="G78" s="85">
        <v>0</v>
      </c>
      <c r="H78" s="86">
        <f>E78*D78*28+D78*E78*15</f>
        <v>18421.2</v>
      </c>
      <c r="I78" s="85">
        <f t="shared" si="47"/>
        <v>13280.400000000001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  <c r="R78" s="87">
        <v>0</v>
      </c>
      <c r="S78" s="148">
        <f>15+28+31</f>
        <v>74</v>
      </c>
      <c r="V78" s="149"/>
    </row>
    <row r="79" spans="1:22" s="164" customFormat="1" x14ac:dyDescent="0.25">
      <c r="A79" s="159"/>
      <c r="B79" s="160">
        <v>8</v>
      </c>
      <c r="C79" s="161" t="s">
        <v>54</v>
      </c>
      <c r="D79" s="162">
        <v>71.400000000000006</v>
      </c>
      <c r="E79" s="83">
        <v>128</v>
      </c>
      <c r="F79" s="157">
        <f t="shared" si="44"/>
        <v>1937510.4000000001</v>
      </c>
      <c r="G79" s="85">
        <f t="shared" si="45"/>
        <v>283315.20000000001</v>
      </c>
      <c r="H79" s="86">
        <f t="shared" si="46"/>
        <v>255897.60000000003</v>
      </c>
      <c r="I79" s="85">
        <f t="shared" si="47"/>
        <v>283315.20000000001</v>
      </c>
      <c r="J79" s="85">
        <f t="shared" si="48"/>
        <v>274176</v>
      </c>
      <c r="K79" s="85">
        <f t="shared" si="49"/>
        <v>283315.20000000001</v>
      </c>
      <c r="L79" s="85">
        <f t="shared" si="50"/>
        <v>274176</v>
      </c>
      <c r="M79" s="85">
        <f t="shared" si="51"/>
        <v>283315.20000000001</v>
      </c>
      <c r="N79" s="85">
        <v>0</v>
      </c>
      <c r="O79" s="85">
        <v>0</v>
      </c>
      <c r="P79" s="85">
        <v>0</v>
      </c>
      <c r="Q79" s="85">
        <v>0</v>
      </c>
      <c r="R79" s="87">
        <v>0</v>
      </c>
      <c r="S79" s="148">
        <v>212</v>
      </c>
      <c r="T79"/>
      <c r="U79"/>
      <c r="V79" s="163"/>
    </row>
    <row r="80" spans="1:22" x14ac:dyDescent="0.25">
      <c r="A80" s="41"/>
      <c r="B80" s="80"/>
      <c r="C80" s="81" t="s">
        <v>39</v>
      </c>
      <c r="D80" s="82"/>
      <c r="E80" s="83"/>
      <c r="F80" s="84">
        <f xml:space="preserve"> 4212701-SUM(F72:F79)</f>
        <v>1824994.6399999997</v>
      </c>
      <c r="G80" s="118"/>
      <c r="H80" s="86"/>
      <c r="I80" s="85"/>
      <c r="J80" s="85"/>
      <c r="K80" s="85"/>
      <c r="L80" s="85"/>
      <c r="M80" s="85"/>
      <c r="N80" s="85"/>
      <c r="O80" s="85"/>
      <c r="P80" s="85"/>
      <c r="Q80" s="85"/>
      <c r="R80" s="173">
        <f>F80</f>
        <v>1824994.6399999997</v>
      </c>
      <c r="S80" s="174"/>
      <c r="V80" s="149"/>
    </row>
    <row r="81" spans="1:22" ht="33.6" customHeight="1" x14ac:dyDescent="0.25">
      <c r="A81" s="41"/>
      <c r="B81" s="80"/>
      <c r="C81" s="360" t="s">
        <v>107</v>
      </c>
      <c r="D81" s="360"/>
      <c r="E81" s="169">
        <f>SUM(E83:E88)</f>
        <v>25</v>
      </c>
      <c r="F81" s="146">
        <f>SUM(F83:F89)</f>
        <v>708649</v>
      </c>
      <c r="G81" s="146">
        <f t="shared" ref="G81:M81" si="52">SUM(G83:G88)</f>
        <v>55547.35</v>
      </c>
      <c r="H81" s="146">
        <f t="shared" si="52"/>
        <v>48172.600000000006</v>
      </c>
      <c r="I81" s="146">
        <f t="shared" si="52"/>
        <v>53333.95</v>
      </c>
      <c r="J81" s="146">
        <f t="shared" si="52"/>
        <v>51613.5</v>
      </c>
      <c r="K81" s="146">
        <f t="shared" si="52"/>
        <v>53333.95</v>
      </c>
      <c r="L81" s="146">
        <f t="shared" si="52"/>
        <v>51613.5</v>
      </c>
      <c r="M81" s="146">
        <f t="shared" si="52"/>
        <v>53333.95</v>
      </c>
      <c r="N81" s="146">
        <f>SUM(N83:N89)</f>
        <v>0</v>
      </c>
      <c r="O81" s="146">
        <f>SUM(O83:O89)</f>
        <v>0</v>
      </c>
      <c r="P81" s="146">
        <f>SUM(P83:P89)</f>
        <v>0</v>
      </c>
      <c r="Q81" s="146">
        <f>SUM(Q83:Q89)</f>
        <v>0</v>
      </c>
      <c r="R81" s="147">
        <f>SUM(R83:R89)</f>
        <v>341700.19999999995</v>
      </c>
      <c r="S81" s="326">
        <f>F81-SUM(G81:R81)</f>
        <v>0</v>
      </c>
      <c r="V81" s="149"/>
    </row>
    <row r="82" spans="1:22" x14ac:dyDescent="0.25">
      <c r="A82" s="41"/>
      <c r="B82" s="80"/>
      <c r="C82" s="123"/>
      <c r="D82" s="123"/>
      <c r="E82" s="75" t="s">
        <v>29</v>
      </c>
      <c r="F82" s="146">
        <v>0</v>
      </c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7"/>
      <c r="S82" s="148"/>
      <c r="V82" s="149"/>
    </row>
    <row r="83" spans="1:22" x14ac:dyDescent="0.25">
      <c r="A83" s="41"/>
      <c r="B83" s="80">
        <v>1</v>
      </c>
      <c r="C83" s="81" t="s">
        <v>30</v>
      </c>
      <c r="D83" s="82">
        <v>71.400000000000006</v>
      </c>
      <c r="E83" s="83">
        <v>5</v>
      </c>
      <c r="F83" s="85">
        <f t="shared" ref="F83:F88" si="53">+E83*S83*D83</f>
        <v>75684</v>
      </c>
      <c r="G83" s="85">
        <f>E83*D83*31</f>
        <v>11067</v>
      </c>
      <c r="H83" s="86">
        <f>E83*D83*28</f>
        <v>9996</v>
      </c>
      <c r="I83" s="85">
        <f>E83*D83*31</f>
        <v>11067</v>
      </c>
      <c r="J83" s="85">
        <f>E83*D83*30</f>
        <v>10710</v>
      </c>
      <c r="K83" s="85">
        <f>E83*D83*31</f>
        <v>11067</v>
      </c>
      <c r="L83" s="85">
        <f>E83*D83*30</f>
        <v>10710</v>
      </c>
      <c r="M83" s="85">
        <f>E83*D83*31</f>
        <v>11067</v>
      </c>
      <c r="N83" s="85">
        <v>0</v>
      </c>
      <c r="O83" s="85">
        <v>0</v>
      </c>
      <c r="P83" s="85">
        <v>0</v>
      </c>
      <c r="Q83" s="85">
        <v>0</v>
      </c>
      <c r="R83" s="87">
        <v>0</v>
      </c>
      <c r="S83" s="148">
        <v>212</v>
      </c>
      <c r="V83" s="149"/>
    </row>
    <row r="84" spans="1:22" x14ac:dyDescent="0.25">
      <c r="A84" s="41"/>
      <c r="B84" s="332">
        <v>6</v>
      </c>
      <c r="C84" s="333" t="s">
        <v>30</v>
      </c>
      <c r="D84" s="82">
        <v>71.400000000000006</v>
      </c>
      <c r="E84" s="83">
        <v>1</v>
      </c>
      <c r="F84" s="85">
        <f t="shared" si="53"/>
        <v>2213.4</v>
      </c>
      <c r="G84" s="85">
        <f>E84*D84*31</f>
        <v>2213.4</v>
      </c>
      <c r="H84" s="86">
        <v>0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  <c r="R84" s="87">
        <v>0</v>
      </c>
      <c r="S84" s="148">
        <v>31</v>
      </c>
      <c r="V84" s="149"/>
    </row>
    <row r="85" spans="1:22" x14ac:dyDescent="0.25">
      <c r="A85" s="41"/>
      <c r="B85" s="80">
        <v>2</v>
      </c>
      <c r="C85" s="81" t="s">
        <v>33</v>
      </c>
      <c r="D85" s="82">
        <v>71.400000000000006</v>
      </c>
      <c r="E85" s="83">
        <v>1</v>
      </c>
      <c r="F85" s="84">
        <f t="shared" si="53"/>
        <v>15136.800000000001</v>
      </c>
      <c r="G85" s="85">
        <f>E85*D85*31</f>
        <v>2213.4</v>
      </c>
      <c r="H85" s="86">
        <f>E85*D85*28</f>
        <v>1999.2000000000003</v>
      </c>
      <c r="I85" s="85">
        <f>E85*D85*31</f>
        <v>2213.4</v>
      </c>
      <c r="J85" s="85">
        <f>E85*D85*30</f>
        <v>2142</v>
      </c>
      <c r="K85" s="85">
        <f>E85*D85*31</f>
        <v>2213.4</v>
      </c>
      <c r="L85" s="85">
        <f>E85*D85*30</f>
        <v>2142</v>
      </c>
      <c r="M85" s="85">
        <f>E85*D85*31</f>
        <v>2213.4</v>
      </c>
      <c r="N85" s="85">
        <v>0</v>
      </c>
      <c r="O85" s="85">
        <v>0</v>
      </c>
      <c r="P85" s="85">
        <v>0</v>
      </c>
      <c r="Q85" s="85">
        <v>0</v>
      </c>
      <c r="R85" s="87">
        <v>0</v>
      </c>
      <c r="S85" s="148">
        <v>212</v>
      </c>
      <c r="V85" s="149"/>
    </row>
    <row r="86" spans="1:22" x14ac:dyDescent="0.25">
      <c r="A86" s="41"/>
      <c r="B86" s="80">
        <v>3</v>
      </c>
      <c r="C86" s="81" t="s">
        <v>34</v>
      </c>
      <c r="D86" s="82">
        <v>78.25</v>
      </c>
      <c r="E86" s="83">
        <v>1</v>
      </c>
      <c r="F86" s="85">
        <f t="shared" si="53"/>
        <v>16589</v>
      </c>
      <c r="G86" s="85">
        <f t="shared" ref="G86:G88" si="54">E86*D86*31</f>
        <v>2425.75</v>
      </c>
      <c r="H86" s="86">
        <f t="shared" ref="H86:H88" si="55">E86*D86*28</f>
        <v>2191</v>
      </c>
      <c r="I86" s="85">
        <f t="shared" ref="I86:I88" si="56">E86*D86*31</f>
        <v>2425.75</v>
      </c>
      <c r="J86" s="85">
        <f t="shared" ref="J86:J88" si="57">E86*D86*30</f>
        <v>2347.5</v>
      </c>
      <c r="K86" s="85">
        <f t="shared" ref="K86:K88" si="58">E86*D86*31</f>
        <v>2425.75</v>
      </c>
      <c r="L86" s="85">
        <f t="shared" ref="L86:L88" si="59">E86*D86*30</f>
        <v>2347.5</v>
      </c>
      <c r="M86" s="85">
        <f t="shared" ref="M86:M88" si="60">E86*D86*31</f>
        <v>2425.75</v>
      </c>
      <c r="N86" s="85">
        <v>0</v>
      </c>
      <c r="O86" s="85">
        <v>0</v>
      </c>
      <c r="P86" s="85">
        <v>0</v>
      </c>
      <c r="Q86" s="85">
        <v>0</v>
      </c>
      <c r="R86" s="87">
        <v>0</v>
      </c>
      <c r="S86" s="148">
        <v>212</v>
      </c>
      <c r="V86" s="149"/>
    </row>
    <row r="87" spans="1:22" x14ac:dyDescent="0.25">
      <c r="A87" s="41"/>
      <c r="B87" s="80">
        <v>4</v>
      </c>
      <c r="C87" s="81" t="s">
        <v>48</v>
      </c>
      <c r="D87" s="82">
        <v>71.400000000000006</v>
      </c>
      <c r="E87" s="83">
        <v>2</v>
      </c>
      <c r="F87" s="85">
        <f t="shared" si="53"/>
        <v>30273.600000000002</v>
      </c>
      <c r="G87" s="85">
        <f t="shared" si="54"/>
        <v>4426.8</v>
      </c>
      <c r="H87" s="86">
        <f t="shared" si="55"/>
        <v>3998.4000000000005</v>
      </c>
      <c r="I87" s="85">
        <f t="shared" si="56"/>
        <v>4426.8</v>
      </c>
      <c r="J87" s="85">
        <f t="shared" si="57"/>
        <v>4284</v>
      </c>
      <c r="K87" s="85">
        <f t="shared" si="58"/>
        <v>4426.8</v>
      </c>
      <c r="L87" s="85">
        <f t="shared" si="59"/>
        <v>4284</v>
      </c>
      <c r="M87" s="85">
        <f t="shared" si="60"/>
        <v>4426.8</v>
      </c>
      <c r="N87" s="85">
        <v>0</v>
      </c>
      <c r="O87" s="85">
        <v>0</v>
      </c>
      <c r="P87" s="85">
        <v>0</v>
      </c>
      <c r="Q87" s="85">
        <v>0</v>
      </c>
      <c r="R87" s="87">
        <v>0</v>
      </c>
      <c r="S87" s="148">
        <v>212</v>
      </c>
      <c r="V87" s="149"/>
    </row>
    <row r="88" spans="1:22" x14ac:dyDescent="0.25">
      <c r="A88" s="41"/>
      <c r="B88" s="80">
        <v>5</v>
      </c>
      <c r="C88" s="81" t="s">
        <v>54</v>
      </c>
      <c r="D88" s="82">
        <v>71.400000000000006</v>
      </c>
      <c r="E88" s="83">
        <f>3+12</f>
        <v>15</v>
      </c>
      <c r="F88" s="85">
        <f t="shared" si="53"/>
        <v>227052.00000000003</v>
      </c>
      <c r="G88" s="85">
        <f t="shared" si="54"/>
        <v>33201</v>
      </c>
      <c r="H88" s="86">
        <f t="shared" si="55"/>
        <v>29988</v>
      </c>
      <c r="I88" s="85">
        <f t="shared" si="56"/>
        <v>33201</v>
      </c>
      <c r="J88" s="85">
        <f t="shared" si="57"/>
        <v>32130</v>
      </c>
      <c r="K88" s="85">
        <f t="shared" si="58"/>
        <v>33201</v>
      </c>
      <c r="L88" s="85">
        <f t="shared" si="59"/>
        <v>32130</v>
      </c>
      <c r="M88" s="85">
        <f t="shared" si="60"/>
        <v>33201</v>
      </c>
      <c r="N88" s="85">
        <v>0</v>
      </c>
      <c r="O88" s="85">
        <v>0</v>
      </c>
      <c r="P88" s="85">
        <v>0</v>
      </c>
      <c r="Q88" s="85">
        <v>0</v>
      </c>
      <c r="R88" s="87">
        <v>0</v>
      </c>
      <c r="S88" s="148">
        <v>212</v>
      </c>
      <c r="V88" s="149"/>
    </row>
    <row r="89" spans="1:22" x14ac:dyDescent="0.25">
      <c r="A89" s="41"/>
      <c r="B89" s="80"/>
      <c r="C89" s="81" t="s">
        <v>39</v>
      </c>
      <c r="D89" s="82"/>
      <c r="E89" s="83"/>
      <c r="F89" s="84">
        <f>708649-SUM(F83:F88)</f>
        <v>341700.19999999995</v>
      </c>
      <c r="G89" s="118"/>
      <c r="H89" s="85"/>
      <c r="I89" s="85"/>
      <c r="J89" s="85"/>
      <c r="K89" s="85"/>
      <c r="L89" s="85"/>
      <c r="M89" s="85"/>
      <c r="N89" s="85"/>
      <c r="O89" s="175"/>
      <c r="P89" s="176"/>
      <c r="Q89" s="85"/>
      <c r="R89" s="173">
        <f>F89</f>
        <v>341700.19999999995</v>
      </c>
      <c r="S89" s="148"/>
      <c r="V89" s="149"/>
    </row>
    <row r="90" spans="1:22" s="164" customFormat="1" ht="33.6" customHeight="1" x14ac:dyDescent="0.25">
      <c r="A90" s="159"/>
      <c r="B90" s="160"/>
      <c r="C90" s="361" t="s">
        <v>108</v>
      </c>
      <c r="D90" s="361"/>
      <c r="E90" s="169">
        <f>SUM(E92:E98)</f>
        <v>22</v>
      </c>
      <c r="F90" s="146">
        <f t="shared" ref="F90:R90" si="61">SUM(F92:F99)</f>
        <v>542283</v>
      </c>
      <c r="G90" s="146">
        <f>SUM(G92:G98)</f>
        <v>46951.360000000001</v>
      </c>
      <c r="H90" s="146">
        <f t="shared" ref="H90:M90" si="62">SUM(H92:H98)</f>
        <v>46620.28</v>
      </c>
      <c r="I90" s="146">
        <f t="shared" si="62"/>
        <v>49164.760000000009</v>
      </c>
      <c r="J90" s="146">
        <f t="shared" si="62"/>
        <v>47578.8</v>
      </c>
      <c r="K90" s="146">
        <f t="shared" si="62"/>
        <v>49164.760000000009</v>
      </c>
      <c r="L90" s="146">
        <f t="shared" si="62"/>
        <v>47578.8</v>
      </c>
      <c r="M90" s="146">
        <f t="shared" si="62"/>
        <v>49164.760000000009</v>
      </c>
      <c r="N90" s="146">
        <f t="shared" si="61"/>
        <v>0</v>
      </c>
      <c r="O90" s="146">
        <f t="shared" si="61"/>
        <v>0</v>
      </c>
      <c r="P90" s="146">
        <f t="shared" si="61"/>
        <v>0</v>
      </c>
      <c r="Q90" s="146">
        <f t="shared" si="61"/>
        <v>0</v>
      </c>
      <c r="R90" s="147">
        <f t="shared" si="61"/>
        <v>206059.47999999998</v>
      </c>
      <c r="S90" s="326">
        <f>F90-SUM(G90:R90)</f>
        <v>0</v>
      </c>
      <c r="V90" s="163"/>
    </row>
    <row r="91" spans="1:22" x14ac:dyDescent="0.25">
      <c r="A91" s="41"/>
      <c r="B91" s="80"/>
      <c r="C91" s="123"/>
      <c r="D91" s="172"/>
      <c r="E91" s="75" t="s">
        <v>29</v>
      </c>
      <c r="F91" s="320">
        <v>15525</v>
      </c>
      <c r="G91" s="85"/>
      <c r="H91" s="7"/>
      <c r="I91" s="146"/>
      <c r="J91" s="146"/>
      <c r="K91" s="146"/>
      <c r="L91" s="146"/>
      <c r="M91" s="146"/>
      <c r="N91" s="172"/>
      <c r="O91" s="146"/>
      <c r="P91" s="146"/>
      <c r="Q91" s="146"/>
      <c r="R91" s="147"/>
      <c r="S91" s="148"/>
      <c r="V91" s="149"/>
    </row>
    <row r="92" spans="1:22" x14ac:dyDescent="0.25">
      <c r="A92" s="41"/>
      <c r="B92" s="80">
        <v>1</v>
      </c>
      <c r="C92" s="81" t="s">
        <v>41</v>
      </c>
      <c r="D92" s="82">
        <v>72.540000000000006</v>
      </c>
      <c r="E92" s="83">
        <v>4</v>
      </c>
      <c r="F92" s="85">
        <f t="shared" ref="F92:F98" si="63">+E92*S92*D92</f>
        <v>61513.920000000006</v>
      </c>
      <c r="G92" s="85">
        <f>E92*D92*31</f>
        <v>8994.9600000000009</v>
      </c>
      <c r="H92" s="86">
        <f>E92*D92*28</f>
        <v>8124.4800000000005</v>
      </c>
      <c r="I92" s="85">
        <f>E92*D92*31</f>
        <v>8994.9600000000009</v>
      </c>
      <c r="J92" s="85">
        <f>E92*D92*30</f>
        <v>8704.8000000000011</v>
      </c>
      <c r="K92" s="85">
        <f>E92*D92*31</f>
        <v>8994.9600000000009</v>
      </c>
      <c r="L92" s="85">
        <f>E92*D92*30</f>
        <v>8704.8000000000011</v>
      </c>
      <c r="M92" s="85">
        <f>E92*D92*31</f>
        <v>8994.9600000000009</v>
      </c>
      <c r="N92" s="85">
        <v>0</v>
      </c>
      <c r="O92" s="85">
        <v>0</v>
      </c>
      <c r="P92" s="85">
        <v>0</v>
      </c>
      <c r="Q92" s="85">
        <v>0</v>
      </c>
      <c r="R92" s="87">
        <v>0</v>
      </c>
      <c r="S92" s="148">
        <v>212</v>
      </c>
      <c r="V92" s="149"/>
    </row>
    <row r="93" spans="1:22" x14ac:dyDescent="0.25">
      <c r="A93" s="41"/>
      <c r="B93" s="80">
        <v>2</v>
      </c>
      <c r="C93" s="81" t="s">
        <v>43</v>
      </c>
      <c r="D93" s="82">
        <v>71.400000000000006</v>
      </c>
      <c r="E93" s="83">
        <v>1</v>
      </c>
      <c r="F93" s="85">
        <f t="shared" si="63"/>
        <v>15136.800000000001</v>
      </c>
      <c r="G93" s="85">
        <f>E93*D93*31</f>
        <v>2213.4</v>
      </c>
      <c r="H93" s="86">
        <f>E93*D93*28</f>
        <v>1999.2000000000003</v>
      </c>
      <c r="I93" s="85">
        <f>E93*D93*31</f>
        <v>2213.4</v>
      </c>
      <c r="J93" s="85">
        <f>E93*D93*30</f>
        <v>2142</v>
      </c>
      <c r="K93" s="85">
        <f>E93*D93*31</f>
        <v>2213.4</v>
      </c>
      <c r="L93" s="85">
        <f>E93*D93*30</f>
        <v>2142</v>
      </c>
      <c r="M93" s="85">
        <f>E93*D93*31</f>
        <v>2213.4</v>
      </c>
      <c r="N93" s="85">
        <v>0</v>
      </c>
      <c r="O93" s="85">
        <v>0</v>
      </c>
      <c r="P93" s="85">
        <v>0</v>
      </c>
      <c r="Q93" s="85">
        <v>0</v>
      </c>
      <c r="R93" s="87">
        <v>0</v>
      </c>
      <c r="S93" s="148">
        <v>212</v>
      </c>
      <c r="V93" s="149"/>
    </row>
    <row r="94" spans="1:22" s="164" customFormat="1" x14ac:dyDescent="0.25">
      <c r="A94" s="159"/>
      <c r="B94" s="160">
        <v>3</v>
      </c>
      <c r="C94" s="161" t="s">
        <v>55</v>
      </c>
      <c r="D94" s="162">
        <v>72.540000000000006</v>
      </c>
      <c r="E94" s="83">
        <v>1</v>
      </c>
      <c r="F94" s="178">
        <f t="shared" si="63"/>
        <v>15378.480000000001</v>
      </c>
      <c r="G94" s="85">
        <f t="shared" ref="G94:G98" si="64">E94*D94*31</f>
        <v>2248.7400000000002</v>
      </c>
      <c r="H94" s="86">
        <f t="shared" ref="H94:H98" si="65">E94*D94*28</f>
        <v>2031.1200000000001</v>
      </c>
      <c r="I94" s="85">
        <f t="shared" ref="I94:I98" si="66">E94*D94*31</f>
        <v>2248.7400000000002</v>
      </c>
      <c r="J94" s="85">
        <f t="shared" ref="J94:J98" si="67">E94*D94*30</f>
        <v>2176.2000000000003</v>
      </c>
      <c r="K94" s="85">
        <f t="shared" ref="K94:K98" si="68">E94*D94*31</f>
        <v>2248.7400000000002</v>
      </c>
      <c r="L94" s="85">
        <f t="shared" ref="L94:L98" si="69">E94*D94*30</f>
        <v>2176.2000000000003</v>
      </c>
      <c r="M94" s="85">
        <f t="shared" ref="M94:M98" si="70">E94*D94*31</f>
        <v>2248.7400000000002</v>
      </c>
      <c r="N94" s="85">
        <v>0</v>
      </c>
      <c r="O94" s="85">
        <v>0</v>
      </c>
      <c r="P94" s="85">
        <v>0</v>
      </c>
      <c r="Q94" s="85">
        <v>0</v>
      </c>
      <c r="R94" s="87">
        <v>0</v>
      </c>
      <c r="S94" s="148">
        <v>212</v>
      </c>
      <c r="T94"/>
      <c r="U94"/>
      <c r="V94" s="163"/>
    </row>
    <row r="95" spans="1:22" x14ac:dyDescent="0.25">
      <c r="A95" s="41"/>
      <c r="B95" s="80">
        <v>4</v>
      </c>
      <c r="C95" s="81" t="s">
        <v>48</v>
      </c>
      <c r="D95" s="82">
        <v>71.400000000000006</v>
      </c>
      <c r="E95" s="83">
        <v>9</v>
      </c>
      <c r="F95" s="85">
        <f t="shared" si="63"/>
        <v>136231.20000000001</v>
      </c>
      <c r="G95" s="85">
        <f t="shared" si="64"/>
        <v>19920.600000000002</v>
      </c>
      <c r="H95" s="86">
        <f t="shared" si="65"/>
        <v>17992.8</v>
      </c>
      <c r="I95" s="85">
        <f t="shared" si="66"/>
        <v>19920.600000000002</v>
      </c>
      <c r="J95" s="85">
        <f t="shared" si="67"/>
        <v>19278</v>
      </c>
      <c r="K95" s="85">
        <f t="shared" si="68"/>
        <v>19920.600000000002</v>
      </c>
      <c r="L95" s="85">
        <f t="shared" si="69"/>
        <v>19278</v>
      </c>
      <c r="M95" s="85">
        <f t="shared" si="70"/>
        <v>19920.600000000002</v>
      </c>
      <c r="N95" s="85">
        <v>0</v>
      </c>
      <c r="O95" s="85">
        <v>0</v>
      </c>
      <c r="P95" s="85">
        <v>0</v>
      </c>
      <c r="Q95" s="85">
        <v>0</v>
      </c>
      <c r="R95" s="87">
        <v>0</v>
      </c>
      <c r="S95" s="148">
        <v>212</v>
      </c>
      <c r="V95" s="149"/>
    </row>
    <row r="96" spans="1:22" x14ac:dyDescent="0.25">
      <c r="A96" s="41"/>
      <c r="B96" s="80">
        <v>5</v>
      </c>
      <c r="C96" s="81" t="s">
        <v>54</v>
      </c>
      <c r="D96" s="82">
        <v>71.400000000000006</v>
      </c>
      <c r="E96" s="83">
        <v>5</v>
      </c>
      <c r="F96" s="85">
        <f t="shared" si="63"/>
        <v>75684</v>
      </c>
      <c r="G96" s="85">
        <f t="shared" si="64"/>
        <v>11067</v>
      </c>
      <c r="H96" s="86">
        <f t="shared" si="65"/>
        <v>9996</v>
      </c>
      <c r="I96" s="85">
        <f t="shared" si="66"/>
        <v>11067</v>
      </c>
      <c r="J96" s="85">
        <f t="shared" si="67"/>
        <v>10710</v>
      </c>
      <c r="K96" s="85">
        <f t="shared" si="68"/>
        <v>11067</v>
      </c>
      <c r="L96" s="85">
        <f t="shared" si="69"/>
        <v>10710</v>
      </c>
      <c r="M96" s="85">
        <f t="shared" si="70"/>
        <v>11067</v>
      </c>
      <c r="N96" s="85">
        <v>0</v>
      </c>
      <c r="O96" s="85">
        <v>0</v>
      </c>
      <c r="P96" s="85">
        <v>0</v>
      </c>
      <c r="Q96" s="85">
        <v>0</v>
      </c>
      <c r="R96" s="87">
        <v>0</v>
      </c>
      <c r="S96" s="148">
        <v>212</v>
      </c>
      <c r="V96" s="149"/>
    </row>
    <row r="97" spans="1:22" x14ac:dyDescent="0.25">
      <c r="A97" s="41"/>
      <c r="B97" s="331">
        <v>5</v>
      </c>
      <c r="C97" s="330" t="s">
        <v>54</v>
      </c>
      <c r="D97" s="82">
        <v>71.400000000000006</v>
      </c>
      <c r="E97" s="83">
        <v>1</v>
      </c>
      <c r="F97" s="85">
        <f t="shared" ref="F97" si="71">+E97*S97*D97</f>
        <v>15136.800000000001</v>
      </c>
      <c r="G97" s="85">
        <v>0</v>
      </c>
      <c r="H97" s="86">
        <f>E97*D97*28+D97*E97*31</f>
        <v>4212.6000000000004</v>
      </c>
      <c r="I97" s="85">
        <f t="shared" ref="I97" si="72">E97*D97*31</f>
        <v>2213.4</v>
      </c>
      <c r="J97" s="85">
        <f t="shared" ref="J97" si="73">E97*D97*30</f>
        <v>2142</v>
      </c>
      <c r="K97" s="85">
        <f t="shared" ref="K97" si="74">E97*D97*31</f>
        <v>2213.4</v>
      </c>
      <c r="L97" s="85">
        <f t="shared" ref="L97" si="75">E97*D97*30</f>
        <v>2142</v>
      </c>
      <c r="M97" s="85">
        <f t="shared" ref="M97" si="76">E97*D97*31</f>
        <v>2213.4</v>
      </c>
      <c r="N97" s="85">
        <v>0</v>
      </c>
      <c r="O97" s="85">
        <v>0</v>
      </c>
      <c r="P97" s="85">
        <v>0</v>
      </c>
      <c r="Q97" s="85">
        <v>0</v>
      </c>
      <c r="R97" s="87">
        <v>0</v>
      </c>
      <c r="S97" s="148">
        <f>212</f>
        <v>212</v>
      </c>
      <c r="V97" s="149"/>
    </row>
    <row r="98" spans="1:22" x14ac:dyDescent="0.25">
      <c r="A98" s="41"/>
      <c r="B98" s="80">
        <v>6</v>
      </c>
      <c r="C98" s="81" t="s">
        <v>32</v>
      </c>
      <c r="D98" s="82">
        <v>80.86</v>
      </c>
      <c r="E98" s="83">
        <v>1</v>
      </c>
      <c r="F98" s="85">
        <f t="shared" si="63"/>
        <v>17142.32</v>
      </c>
      <c r="G98" s="85">
        <f t="shared" si="64"/>
        <v>2506.66</v>
      </c>
      <c r="H98" s="86">
        <f t="shared" si="65"/>
        <v>2264.08</v>
      </c>
      <c r="I98" s="85">
        <f t="shared" si="66"/>
        <v>2506.66</v>
      </c>
      <c r="J98" s="85">
        <f t="shared" si="67"/>
        <v>2425.8000000000002</v>
      </c>
      <c r="K98" s="85">
        <f t="shared" si="68"/>
        <v>2506.66</v>
      </c>
      <c r="L98" s="85">
        <f t="shared" si="69"/>
        <v>2425.8000000000002</v>
      </c>
      <c r="M98" s="85">
        <f t="shared" si="70"/>
        <v>2506.66</v>
      </c>
      <c r="N98" s="85">
        <v>0</v>
      </c>
      <c r="O98" s="85">
        <v>0</v>
      </c>
      <c r="P98" s="85">
        <v>0</v>
      </c>
      <c r="Q98" s="85">
        <v>0</v>
      </c>
      <c r="R98" s="87">
        <v>0</v>
      </c>
      <c r="S98" s="148">
        <v>212</v>
      </c>
      <c r="V98" s="149"/>
    </row>
    <row r="99" spans="1:22" x14ac:dyDescent="0.25">
      <c r="A99" s="41"/>
      <c r="B99" s="80"/>
      <c r="C99" s="81" t="s">
        <v>39</v>
      </c>
      <c r="D99" s="82"/>
      <c r="E99" s="83"/>
      <c r="F99" s="157">
        <f xml:space="preserve"> 526758-SUM(F92:F98)+15525</f>
        <v>206059.47999999998</v>
      </c>
      <c r="G99" s="118"/>
      <c r="H99" s="86"/>
      <c r="I99" s="85"/>
      <c r="J99" s="85"/>
      <c r="K99" s="85"/>
      <c r="L99" s="179"/>
      <c r="M99" s="9"/>
      <c r="N99" s="85"/>
      <c r="O99" s="85"/>
      <c r="P99" s="180"/>
      <c r="Q99" s="7"/>
      <c r="R99" s="158">
        <f>F99</f>
        <v>206059.47999999998</v>
      </c>
      <c r="S99" s="148"/>
      <c r="V99" s="149"/>
    </row>
    <row r="100" spans="1:22" s="164" customFormat="1" ht="33.6" customHeight="1" x14ac:dyDescent="0.25">
      <c r="A100" s="159"/>
      <c r="B100" s="160"/>
      <c r="C100" s="361" t="s">
        <v>109</v>
      </c>
      <c r="D100" s="361"/>
      <c r="E100" s="169">
        <f>SUM(E102:E106)</f>
        <v>18</v>
      </c>
      <c r="F100" s="146">
        <f>SUM(F102:F107)</f>
        <v>469098</v>
      </c>
      <c r="G100" s="146">
        <f t="shared" ref="G100:Q100" si="77">SUM(G102:G106)</f>
        <v>35414.400000000001</v>
      </c>
      <c r="H100" s="146">
        <f t="shared" si="77"/>
        <v>38127.600000000006</v>
      </c>
      <c r="I100" s="146">
        <f t="shared" si="77"/>
        <v>39841.199999999997</v>
      </c>
      <c r="J100" s="146">
        <f t="shared" si="77"/>
        <v>34272</v>
      </c>
      <c r="K100" s="146">
        <f t="shared" si="77"/>
        <v>35414.400000000001</v>
      </c>
      <c r="L100" s="146">
        <f t="shared" si="77"/>
        <v>34272</v>
      </c>
      <c r="M100" s="146">
        <f t="shared" si="77"/>
        <v>35414.400000000001</v>
      </c>
      <c r="N100" s="146">
        <f t="shared" si="77"/>
        <v>0</v>
      </c>
      <c r="O100" s="146">
        <f t="shared" si="77"/>
        <v>0</v>
      </c>
      <c r="P100" s="146">
        <f t="shared" si="77"/>
        <v>0</v>
      </c>
      <c r="Q100" s="146">
        <f t="shared" si="77"/>
        <v>0</v>
      </c>
      <c r="R100" s="147">
        <f>SUM(R102:R107)</f>
        <v>216341.99999999997</v>
      </c>
      <c r="S100" s="326">
        <f>F100-SUM(G100:R100)</f>
        <v>0</v>
      </c>
      <c r="V100" s="163"/>
    </row>
    <row r="101" spans="1:22" x14ac:dyDescent="0.25">
      <c r="A101" s="41"/>
      <c r="B101" s="80"/>
      <c r="C101" s="123"/>
      <c r="D101" s="123"/>
      <c r="E101" s="75" t="s">
        <v>29</v>
      </c>
      <c r="F101" s="319">
        <v>130305</v>
      </c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7"/>
      <c r="S101" s="148"/>
      <c r="V101" s="149"/>
    </row>
    <row r="102" spans="1:22" x14ac:dyDescent="0.25">
      <c r="A102" s="41"/>
      <c r="B102" s="80">
        <v>1</v>
      </c>
      <c r="C102" s="81" t="s">
        <v>30</v>
      </c>
      <c r="D102" s="82">
        <v>71.400000000000006</v>
      </c>
      <c r="E102" s="165">
        <v>2</v>
      </c>
      <c r="F102" s="85">
        <f>+E102*S102*D102</f>
        <v>30273.600000000002</v>
      </c>
      <c r="G102" s="85">
        <f>E102*D102*31</f>
        <v>4426.8</v>
      </c>
      <c r="H102" s="86">
        <f>E102*D102*28</f>
        <v>3998.4000000000005</v>
      </c>
      <c r="I102" s="85">
        <f>E102*D102*31</f>
        <v>4426.8</v>
      </c>
      <c r="J102" s="85">
        <f>E102*D102*30</f>
        <v>4284</v>
      </c>
      <c r="K102" s="85">
        <f>E102*D102*31</f>
        <v>4426.8</v>
      </c>
      <c r="L102" s="85">
        <f>E102*D102*30</f>
        <v>4284</v>
      </c>
      <c r="M102" s="85">
        <f>E102*D102*31</f>
        <v>4426.8</v>
      </c>
      <c r="N102" s="85">
        <v>0</v>
      </c>
      <c r="O102" s="85">
        <v>0</v>
      </c>
      <c r="P102" s="85">
        <v>0</v>
      </c>
      <c r="Q102" s="85">
        <v>0</v>
      </c>
      <c r="R102" s="87">
        <v>0</v>
      </c>
      <c r="S102" s="148">
        <v>212</v>
      </c>
      <c r="V102" s="149"/>
    </row>
    <row r="103" spans="1:22" x14ac:dyDescent="0.25">
      <c r="A103" s="41"/>
      <c r="B103" s="80">
        <v>2</v>
      </c>
      <c r="C103" s="81" t="s">
        <v>48</v>
      </c>
      <c r="D103" s="82">
        <v>71.400000000000006</v>
      </c>
      <c r="E103" s="83">
        <v>1</v>
      </c>
      <c r="F103" s="84">
        <f>+E103*S103*D103</f>
        <v>15136.800000000001</v>
      </c>
      <c r="G103" s="85">
        <f>E103*D103*31</f>
        <v>2213.4</v>
      </c>
      <c r="H103" s="86">
        <f>E103*D103*28</f>
        <v>1999.2000000000003</v>
      </c>
      <c r="I103" s="85">
        <f>E103*D103*31</f>
        <v>2213.4</v>
      </c>
      <c r="J103" s="85">
        <f>E103*D103*30</f>
        <v>2142</v>
      </c>
      <c r="K103" s="85">
        <f>E103*D103*31</f>
        <v>2213.4</v>
      </c>
      <c r="L103" s="85">
        <f>E103*D103*30</f>
        <v>2142</v>
      </c>
      <c r="M103" s="85">
        <f>E103*D103*31</f>
        <v>2213.4</v>
      </c>
      <c r="N103" s="85">
        <v>0</v>
      </c>
      <c r="O103" s="85">
        <v>0</v>
      </c>
      <c r="P103" s="85">
        <v>0</v>
      </c>
      <c r="Q103" s="85">
        <v>0</v>
      </c>
      <c r="R103" s="87">
        <v>0</v>
      </c>
      <c r="S103" s="148">
        <v>212</v>
      </c>
      <c r="V103" s="149"/>
    </row>
    <row r="104" spans="1:22" x14ac:dyDescent="0.25">
      <c r="A104" s="41"/>
      <c r="B104" s="331">
        <v>5</v>
      </c>
      <c r="C104" s="329" t="s">
        <v>33</v>
      </c>
      <c r="D104" s="162">
        <v>71.400000000000006</v>
      </c>
      <c r="E104" s="83">
        <v>1</v>
      </c>
      <c r="F104" s="84">
        <f>+E104*S104*D104</f>
        <v>5283.6</v>
      </c>
      <c r="G104" s="85">
        <v>0</v>
      </c>
      <c r="H104" s="86">
        <f t="shared" ref="H104:H105" si="78">E104*D104*28+D104*E104*15</f>
        <v>3070.2000000000003</v>
      </c>
      <c r="I104" s="85">
        <f>E104*D104*31</f>
        <v>2213.4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  <c r="R104" s="85">
        <v>0</v>
      </c>
      <c r="S104" s="148">
        <f>15+28+31</f>
        <v>74</v>
      </c>
      <c r="V104" s="149"/>
    </row>
    <row r="105" spans="1:22" x14ac:dyDescent="0.25">
      <c r="A105" s="41"/>
      <c r="B105" s="331">
        <v>4</v>
      </c>
      <c r="C105" s="330" t="s">
        <v>54</v>
      </c>
      <c r="D105" s="82">
        <v>71.400000000000006</v>
      </c>
      <c r="E105" s="83">
        <v>1</v>
      </c>
      <c r="F105" s="84">
        <f>+E105*S105*D105</f>
        <v>5283.6</v>
      </c>
      <c r="G105" s="85">
        <v>0</v>
      </c>
      <c r="H105" s="86">
        <f t="shared" si="78"/>
        <v>3070.2000000000003</v>
      </c>
      <c r="I105" s="85">
        <f>E105*D105*31</f>
        <v>2213.4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  <c r="Q105" s="85">
        <v>0</v>
      </c>
      <c r="R105" s="85">
        <v>0</v>
      </c>
      <c r="S105" s="148">
        <f>15+28+31</f>
        <v>74</v>
      </c>
      <c r="V105" s="149"/>
    </row>
    <row r="106" spans="1:22" x14ac:dyDescent="0.25">
      <c r="A106" s="41"/>
      <c r="B106" s="80">
        <v>3</v>
      </c>
      <c r="C106" s="81" t="s">
        <v>54</v>
      </c>
      <c r="D106" s="82">
        <v>71.400000000000006</v>
      </c>
      <c r="E106" s="83">
        <v>13</v>
      </c>
      <c r="F106" s="85">
        <f>+E106*S106*D106</f>
        <v>196778.40000000002</v>
      </c>
      <c r="G106" s="85">
        <f>E106*D106*31</f>
        <v>28774.2</v>
      </c>
      <c r="H106" s="86">
        <f>E106*D106*28</f>
        <v>25989.600000000002</v>
      </c>
      <c r="I106" s="85">
        <f>E106*D106*31</f>
        <v>28774.2</v>
      </c>
      <c r="J106" s="85">
        <f>E106*D106*30</f>
        <v>27846</v>
      </c>
      <c r="K106" s="85">
        <f>E106*D106*31</f>
        <v>28774.2</v>
      </c>
      <c r="L106" s="85">
        <f>E106*D106*30</f>
        <v>27846</v>
      </c>
      <c r="M106" s="85">
        <f>E106*D106*31</f>
        <v>28774.2</v>
      </c>
      <c r="N106" s="85">
        <v>0</v>
      </c>
      <c r="O106" s="85">
        <v>0</v>
      </c>
      <c r="P106" s="85">
        <v>0</v>
      </c>
      <c r="Q106" s="85">
        <v>0</v>
      </c>
      <c r="R106" s="87">
        <v>0</v>
      </c>
      <c r="S106" s="148">
        <v>212</v>
      </c>
      <c r="V106" s="149"/>
    </row>
    <row r="107" spans="1:22" x14ac:dyDescent="0.25">
      <c r="A107" s="41"/>
      <c r="B107" s="80"/>
      <c r="C107" s="81" t="s">
        <v>39</v>
      </c>
      <c r="D107" s="82"/>
      <c r="E107" s="83"/>
      <c r="F107" s="85">
        <f xml:space="preserve"> 338793-SUM(F102:F106)+130305</f>
        <v>216341.99999999997</v>
      </c>
      <c r="G107" s="118"/>
      <c r="H107" s="86"/>
      <c r="I107" s="85"/>
      <c r="J107" s="85"/>
      <c r="K107" s="85"/>
      <c r="L107" s="85"/>
      <c r="M107" s="85"/>
      <c r="N107" s="85"/>
      <c r="O107" s="85"/>
      <c r="P107" s="85"/>
      <c r="Q107" s="85"/>
      <c r="R107" s="87">
        <f>F107</f>
        <v>216341.99999999997</v>
      </c>
      <c r="S107" s="148"/>
      <c r="V107" s="149"/>
    </row>
    <row r="108" spans="1:22" s="164" customFormat="1" ht="33.6" customHeight="1" x14ac:dyDescent="0.25">
      <c r="A108" s="159"/>
      <c r="B108" s="160"/>
      <c r="C108" s="361" t="s">
        <v>110</v>
      </c>
      <c r="D108" s="361"/>
      <c r="E108" s="169">
        <f>SUM(E110:E113)</f>
        <v>17</v>
      </c>
      <c r="F108" s="146">
        <f t="shared" ref="F108:R108" si="79">SUM(F110:F114)</f>
        <v>445395</v>
      </c>
      <c r="G108" s="146">
        <f>SUM(G110:G113)</f>
        <v>37828.06</v>
      </c>
      <c r="H108" s="146">
        <f t="shared" ref="H108:Q108" si="80">SUM(H110:H113)</f>
        <v>34167.279999999999</v>
      </c>
      <c r="I108" s="146">
        <f t="shared" si="80"/>
        <v>37828.06</v>
      </c>
      <c r="J108" s="146">
        <f t="shared" si="80"/>
        <v>36607.800000000003</v>
      </c>
      <c r="K108" s="146">
        <f t="shared" si="80"/>
        <v>37828.06</v>
      </c>
      <c r="L108" s="146">
        <f t="shared" si="80"/>
        <v>36607.800000000003</v>
      </c>
      <c r="M108" s="146">
        <f t="shared" si="80"/>
        <v>37828.06</v>
      </c>
      <c r="N108" s="146">
        <f t="shared" si="80"/>
        <v>0</v>
      </c>
      <c r="O108" s="146">
        <f t="shared" si="80"/>
        <v>0</v>
      </c>
      <c r="P108" s="146">
        <f t="shared" si="80"/>
        <v>0</v>
      </c>
      <c r="Q108" s="146">
        <f t="shared" si="80"/>
        <v>0</v>
      </c>
      <c r="R108" s="147">
        <f t="shared" si="79"/>
        <v>186699.87999999998</v>
      </c>
      <c r="S108" s="326">
        <f>F108-SUM(G108:R108)</f>
        <v>0</v>
      </c>
      <c r="V108" s="163"/>
    </row>
    <row r="109" spans="1:22" x14ac:dyDescent="0.25">
      <c r="A109" s="41"/>
      <c r="B109" s="80"/>
      <c r="C109" s="123"/>
      <c r="D109" s="123"/>
      <c r="E109" s="75" t="s">
        <v>29</v>
      </c>
      <c r="F109" s="321">
        <v>52122</v>
      </c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7"/>
      <c r="S109" s="148"/>
      <c r="V109" s="149"/>
    </row>
    <row r="110" spans="1:22" x14ac:dyDescent="0.25">
      <c r="A110" s="41"/>
      <c r="B110" s="80">
        <v>1</v>
      </c>
      <c r="C110" s="81" t="s">
        <v>53</v>
      </c>
      <c r="D110" s="82">
        <v>74.63</v>
      </c>
      <c r="E110" s="83">
        <v>2</v>
      </c>
      <c r="F110" s="85">
        <f t="shared" ref="F110:F113" si="81">+E110*S110*D110</f>
        <v>31643.119999999999</v>
      </c>
      <c r="G110" s="85">
        <f>E110*D110*31</f>
        <v>4627.0599999999995</v>
      </c>
      <c r="H110" s="86">
        <f>E110*D110*28</f>
        <v>4179.28</v>
      </c>
      <c r="I110" s="85">
        <f>E110*D110*31</f>
        <v>4627.0599999999995</v>
      </c>
      <c r="J110" s="85">
        <f>E110*D110*30</f>
        <v>4477.7999999999993</v>
      </c>
      <c r="K110" s="85">
        <f>E110*D110*31</f>
        <v>4627.0599999999995</v>
      </c>
      <c r="L110" s="85">
        <f>E110*D110*30</f>
        <v>4477.7999999999993</v>
      </c>
      <c r="M110" s="85">
        <f>E110*D110*31</f>
        <v>4627.0599999999995</v>
      </c>
      <c r="N110" s="85">
        <v>0</v>
      </c>
      <c r="O110" s="85">
        <v>0</v>
      </c>
      <c r="P110" s="85">
        <v>0</v>
      </c>
      <c r="Q110" s="85">
        <v>0</v>
      </c>
      <c r="R110" s="87">
        <v>0</v>
      </c>
      <c r="S110" s="148">
        <v>212</v>
      </c>
      <c r="V110" s="149"/>
    </row>
    <row r="111" spans="1:22" x14ac:dyDescent="0.25">
      <c r="A111" s="41"/>
      <c r="B111" s="80">
        <v>2</v>
      </c>
      <c r="C111" s="81" t="s">
        <v>30</v>
      </c>
      <c r="D111" s="82">
        <v>71.400000000000006</v>
      </c>
      <c r="E111" s="83">
        <v>1</v>
      </c>
      <c r="F111" s="84">
        <f t="shared" si="81"/>
        <v>15136.800000000001</v>
      </c>
      <c r="G111" s="85">
        <f>E111*D111*31</f>
        <v>2213.4</v>
      </c>
      <c r="H111" s="86">
        <f>E111*D111*28</f>
        <v>1999.2000000000003</v>
      </c>
      <c r="I111" s="85">
        <f>E111*D111*31</f>
        <v>2213.4</v>
      </c>
      <c r="J111" s="85">
        <f>E111*D111*30</f>
        <v>2142</v>
      </c>
      <c r="K111" s="85">
        <f>E111*D111*31</f>
        <v>2213.4</v>
      </c>
      <c r="L111" s="85">
        <f>E111*D111*30</f>
        <v>2142</v>
      </c>
      <c r="M111" s="85">
        <f>E111*D111*31</f>
        <v>2213.4</v>
      </c>
      <c r="N111" s="85">
        <v>0</v>
      </c>
      <c r="O111" s="85">
        <v>0</v>
      </c>
      <c r="P111" s="85">
        <v>0</v>
      </c>
      <c r="Q111" s="85">
        <v>0</v>
      </c>
      <c r="R111" s="87">
        <v>0</v>
      </c>
      <c r="S111" s="148">
        <v>212</v>
      </c>
      <c r="V111" s="149"/>
    </row>
    <row r="112" spans="1:22" x14ac:dyDescent="0.25">
      <c r="A112" s="41"/>
      <c r="B112" s="80">
        <v>3</v>
      </c>
      <c r="C112" s="81" t="s">
        <v>48</v>
      </c>
      <c r="D112" s="82">
        <v>71.400000000000006</v>
      </c>
      <c r="E112" s="83">
        <v>1</v>
      </c>
      <c r="F112" s="85">
        <f t="shared" si="81"/>
        <v>15136.800000000001</v>
      </c>
      <c r="G112" s="85">
        <f>E112*D112*31</f>
        <v>2213.4</v>
      </c>
      <c r="H112" s="86">
        <f>E112*D112*28</f>
        <v>1999.2000000000003</v>
      </c>
      <c r="I112" s="85">
        <f>E112*D112*31</f>
        <v>2213.4</v>
      </c>
      <c r="J112" s="85">
        <f>E112*D112*30</f>
        <v>2142</v>
      </c>
      <c r="K112" s="85">
        <f>E112*D112*31</f>
        <v>2213.4</v>
      </c>
      <c r="L112" s="85">
        <f>E112*D112*30</f>
        <v>2142</v>
      </c>
      <c r="M112" s="85">
        <f>E112*D112*31</f>
        <v>2213.4</v>
      </c>
      <c r="N112" s="85">
        <v>0</v>
      </c>
      <c r="O112" s="85">
        <v>0</v>
      </c>
      <c r="P112" s="85">
        <v>0</v>
      </c>
      <c r="Q112" s="85">
        <v>0</v>
      </c>
      <c r="R112" s="87">
        <v>0</v>
      </c>
      <c r="S112" s="148">
        <v>212</v>
      </c>
      <c r="V112" s="149"/>
    </row>
    <row r="113" spans="1:22" x14ac:dyDescent="0.25">
      <c r="A113" s="41"/>
      <c r="B113" s="80">
        <v>4</v>
      </c>
      <c r="C113" s="81" t="s">
        <v>54</v>
      </c>
      <c r="D113" s="82">
        <v>71.400000000000006</v>
      </c>
      <c r="E113" s="83">
        <v>13</v>
      </c>
      <c r="F113" s="85">
        <f t="shared" si="81"/>
        <v>196778.40000000002</v>
      </c>
      <c r="G113" s="85">
        <f>E113*D113*31</f>
        <v>28774.2</v>
      </c>
      <c r="H113" s="86">
        <f>E113*D113*28</f>
        <v>25989.600000000002</v>
      </c>
      <c r="I113" s="85">
        <f>E113*D113*31</f>
        <v>28774.2</v>
      </c>
      <c r="J113" s="85">
        <f>E113*D113*30</f>
        <v>27846</v>
      </c>
      <c r="K113" s="85">
        <f>E113*D113*31</f>
        <v>28774.2</v>
      </c>
      <c r="L113" s="85">
        <f>E113*D113*30</f>
        <v>27846</v>
      </c>
      <c r="M113" s="85">
        <f>E113*D113*31</f>
        <v>28774.2</v>
      </c>
      <c r="N113" s="85">
        <v>0</v>
      </c>
      <c r="O113" s="85">
        <v>0</v>
      </c>
      <c r="P113" s="85">
        <v>0</v>
      </c>
      <c r="Q113" s="85">
        <v>0</v>
      </c>
      <c r="R113" s="87">
        <v>0</v>
      </c>
      <c r="S113" s="148">
        <v>212</v>
      </c>
      <c r="V113" s="149"/>
    </row>
    <row r="114" spans="1:22" x14ac:dyDescent="0.25">
      <c r="A114" s="41"/>
      <c r="B114" s="80"/>
      <c r="C114" s="81" t="s">
        <v>39</v>
      </c>
      <c r="D114" s="82"/>
      <c r="E114" s="83"/>
      <c r="F114" s="157">
        <f>393273-SUM(F110:F113)+52122</f>
        <v>186699.87999999998</v>
      </c>
      <c r="G114" s="118"/>
      <c r="H114" s="86"/>
      <c r="I114" s="85"/>
      <c r="J114" s="85"/>
      <c r="K114" s="85"/>
      <c r="L114" s="85"/>
      <c r="M114" s="85"/>
      <c r="N114" s="85"/>
      <c r="O114" s="85"/>
      <c r="P114" s="85"/>
      <c r="Q114" s="85"/>
      <c r="R114" s="158">
        <f>F114</f>
        <v>186699.87999999998</v>
      </c>
      <c r="S114" s="148"/>
      <c r="V114" s="149"/>
    </row>
    <row r="115" spans="1:22" s="164" customFormat="1" ht="33.6" customHeight="1" x14ac:dyDescent="0.25">
      <c r="A115" s="159"/>
      <c r="B115" s="160"/>
      <c r="C115" s="361" t="s">
        <v>111</v>
      </c>
      <c r="D115" s="361"/>
      <c r="E115" s="169">
        <f>SUM(E117:E119)</f>
        <v>10</v>
      </c>
      <c r="F115" s="181">
        <f>SUM(F117:F120)</f>
        <v>234549</v>
      </c>
      <c r="G115" s="181">
        <f>SUM(G117:G119)</f>
        <v>19920.600000000002</v>
      </c>
      <c r="H115" s="181">
        <f t="shared" ref="H115:Q115" si="82">SUM(H117:H119)</f>
        <v>21063.000000000004</v>
      </c>
      <c r="I115" s="181">
        <f t="shared" si="82"/>
        <v>22134</v>
      </c>
      <c r="J115" s="181">
        <f t="shared" si="82"/>
        <v>19278</v>
      </c>
      <c r="K115" s="181">
        <f t="shared" si="82"/>
        <v>19920.600000000002</v>
      </c>
      <c r="L115" s="181">
        <f t="shared" si="82"/>
        <v>19278</v>
      </c>
      <c r="M115" s="181">
        <f t="shared" si="82"/>
        <v>19920.600000000002</v>
      </c>
      <c r="N115" s="181">
        <f t="shared" si="82"/>
        <v>0</v>
      </c>
      <c r="O115" s="181">
        <f t="shared" si="82"/>
        <v>0</v>
      </c>
      <c r="P115" s="181">
        <f t="shared" si="82"/>
        <v>0</v>
      </c>
      <c r="Q115" s="181">
        <f t="shared" si="82"/>
        <v>0</v>
      </c>
      <c r="R115" s="182">
        <f t="shared" ref="R115" si="83">SUM(R117:R120)</f>
        <v>93034.199999999983</v>
      </c>
      <c r="S115" s="326">
        <f>F115-SUM(G115:R115)</f>
        <v>0</v>
      </c>
      <c r="V115" s="163"/>
    </row>
    <row r="116" spans="1:22" x14ac:dyDescent="0.25">
      <c r="A116" s="41"/>
      <c r="B116" s="80"/>
      <c r="C116" s="123"/>
      <c r="D116" s="123"/>
      <c r="E116" s="75" t="s">
        <v>29</v>
      </c>
      <c r="F116" s="146">
        <v>0</v>
      </c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7"/>
      <c r="S116" s="148"/>
      <c r="V116" s="149"/>
    </row>
    <row r="117" spans="1:22" x14ac:dyDescent="0.25">
      <c r="A117" s="41"/>
      <c r="B117" s="80">
        <v>1</v>
      </c>
      <c r="C117" s="81" t="s">
        <v>30</v>
      </c>
      <c r="D117" s="82">
        <v>71.400000000000006</v>
      </c>
      <c r="E117" s="83">
        <v>1</v>
      </c>
      <c r="F117" s="85">
        <f>+E117*S117*D117</f>
        <v>15136.800000000001</v>
      </c>
      <c r="G117" s="85">
        <f>E117*D117*31</f>
        <v>2213.4</v>
      </c>
      <c r="H117" s="86">
        <f>E117*D117*28</f>
        <v>1999.2000000000003</v>
      </c>
      <c r="I117" s="85">
        <f>E117*D117*31</f>
        <v>2213.4</v>
      </c>
      <c r="J117" s="85">
        <f>E117*D117*30</f>
        <v>2142</v>
      </c>
      <c r="K117" s="85">
        <f>E117*D117*31</f>
        <v>2213.4</v>
      </c>
      <c r="L117" s="85">
        <f>E117*D117*30</f>
        <v>2142</v>
      </c>
      <c r="M117" s="85">
        <f>E117*D117*31</f>
        <v>2213.4</v>
      </c>
      <c r="N117" s="85">
        <v>0</v>
      </c>
      <c r="O117" s="85">
        <v>0</v>
      </c>
      <c r="P117" s="85">
        <v>0</v>
      </c>
      <c r="Q117" s="85">
        <v>0</v>
      </c>
      <c r="R117" s="87">
        <v>0</v>
      </c>
      <c r="S117" s="183">
        <v>212</v>
      </c>
      <c r="V117" s="149"/>
    </row>
    <row r="118" spans="1:22" x14ac:dyDescent="0.25">
      <c r="A118" s="41"/>
      <c r="B118" s="331">
        <v>3</v>
      </c>
      <c r="C118" s="330" t="s">
        <v>54</v>
      </c>
      <c r="D118" s="82">
        <v>71.400000000000006</v>
      </c>
      <c r="E118" s="83">
        <v>1</v>
      </c>
      <c r="F118" s="85">
        <f>+E118*S118*D118</f>
        <v>5283.6</v>
      </c>
      <c r="G118" s="85">
        <v>0</v>
      </c>
      <c r="H118" s="86">
        <f>E118*D118*28+D118*E118*15</f>
        <v>3070.2000000000003</v>
      </c>
      <c r="I118" s="85">
        <f>E118*D118*31</f>
        <v>2213.4</v>
      </c>
      <c r="J118" s="85">
        <v>0</v>
      </c>
      <c r="K118" s="85">
        <v>0</v>
      </c>
      <c r="L118" s="85">
        <v>0</v>
      </c>
      <c r="M118" s="85">
        <v>0</v>
      </c>
      <c r="N118" s="85">
        <v>0</v>
      </c>
      <c r="O118" s="85">
        <v>0</v>
      </c>
      <c r="P118" s="85">
        <v>0</v>
      </c>
      <c r="Q118" s="85">
        <v>0</v>
      </c>
      <c r="R118" s="87">
        <v>0</v>
      </c>
      <c r="S118" s="148">
        <f>15+28+31</f>
        <v>74</v>
      </c>
      <c r="V118" s="149"/>
    </row>
    <row r="119" spans="1:22" x14ac:dyDescent="0.25">
      <c r="A119" s="41"/>
      <c r="B119" s="80">
        <v>2</v>
      </c>
      <c r="C119" s="81" t="s">
        <v>54</v>
      </c>
      <c r="D119" s="82">
        <v>71.400000000000006</v>
      </c>
      <c r="E119" s="83">
        <v>8</v>
      </c>
      <c r="F119" s="85">
        <f>+E119*S119*D119</f>
        <v>121094.40000000001</v>
      </c>
      <c r="G119" s="85">
        <f>E119*D119*31</f>
        <v>17707.2</v>
      </c>
      <c r="H119" s="86">
        <f>E119*D119*28</f>
        <v>15993.600000000002</v>
      </c>
      <c r="I119" s="85">
        <f>E119*D119*31</f>
        <v>17707.2</v>
      </c>
      <c r="J119" s="85">
        <f>E119*D119*30</f>
        <v>17136</v>
      </c>
      <c r="K119" s="85">
        <f>E119*D119*31</f>
        <v>17707.2</v>
      </c>
      <c r="L119" s="85">
        <f>E119*D119*30</f>
        <v>17136</v>
      </c>
      <c r="M119" s="85">
        <f>E119*D119*31</f>
        <v>17707.2</v>
      </c>
      <c r="N119" s="85">
        <v>0</v>
      </c>
      <c r="O119" s="85">
        <v>0</v>
      </c>
      <c r="P119" s="85">
        <v>0</v>
      </c>
      <c r="Q119" s="85">
        <v>0</v>
      </c>
      <c r="R119" s="87">
        <v>0</v>
      </c>
      <c r="S119" s="148">
        <v>212</v>
      </c>
      <c r="V119" s="149"/>
    </row>
    <row r="120" spans="1:22" x14ac:dyDescent="0.25">
      <c r="A120" s="41"/>
      <c r="B120" s="80"/>
      <c r="C120" s="81" t="s">
        <v>39</v>
      </c>
      <c r="D120" s="82"/>
      <c r="E120" s="83"/>
      <c r="F120" s="84">
        <f>234549-SUM(F117:F119)</f>
        <v>93034.199999999983</v>
      </c>
      <c r="G120" s="118"/>
      <c r="H120" s="86"/>
      <c r="I120" s="85"/>
      <c r="J120" s="85"/>
      <c r="K120" s="85"/>
      <c r="L120" s="85"/>
      <c r="M120" s="85"/>
      <c r="N120" s="85"/>
      <c r="O120" s="85"/>
      <c r="P120" s="85"/>
      <c r="Q120" s="85"/>
      <c r="R120" s="173">
        <f>F120</f>
        <v>93034.199999999983</v>
      </c>
      <c r="S120" s="148"/>
      <c r="V120" s="149"/>
    </row>
    <row r="121" spans="1:22" s="164" customFormat="1" ht="37.9" customHeight="1" x14ac:dyDescent="0.25">
      <c r="A121" s="159"/>
      <c r="B121" s="160"/>
      <c r="C121" s="361" t="s">
        <v>112</v>
      </c>
      <c r="D121" s="361"/>
      <c r="E121" s="169">
        <f>SUM(E123:E125,)</f>
        <v>25</v>
      </c>
      <c r="F121" s="184">
        <f t="shared" ref="F121:R121" si="84">SUM(F123:F126)</f>
        <v>677586</v>
      </c>
      <c r="G121" s="177">
        <f>SUM(G123:G125)</f>
        <v>55628.260000000009</v>
      </c>
      <c r="H121" s="177">
        <f t="shared" ref="H121:Q121" si="85">SUM(H123:H125)</f>
        <v>50244.88</v>
      </c>
      <c r="I121" s="177">
        <f t="shared" si="85"/>
        <v>55628.260000000009</v>
      </c>
      <c r="J121" s="177">
        <f t="shared" si="85"/>
        <v>53833.8</v>
      </c>
      <c r="K121" s="177">
        <f t="shared" si="85"/>
        <v>55628.260000000009</v>
      </c>
      <c r="L121" s="177">
        <f t="shared" si="85"/>
        <v>53833.8</v>
      </c>
      <c r="M121" s="177">
        <f t="shared" si="85"/>
        <v>55628.260000000009</v>
      </c>
      <c r="N121" s="177">
        <f t="shared" si="85"/>
        <v>0</v>
      </c>
      <c r="O121" s="177">
        <f t="shared" si="85"/>
        <v>0</v>
      </c>
      <c r="P121" s="177">
        <f t="shared" si="85"/>
        <v>0</v>
      </c>
      <c r="Q121" s="177">
        <f t="shared" si="85"/>
        <v>0</v>
      </c>
      <c r="R121" s="185">
        <f t="shared" si="84"/>
        <v>297160.48</v>
      </c>
      <c r="S121" s="326">
        <f>F121-SUM(G121:R121)</f>
        <v>0</v>
      </c>
      <c r="V121" s="163"/>
    </row>
    <row r="122" spans="1:22" ht="14.25" customHeight="1" x14ac:dyDescent="0.25">
      <c r="A122" s="41"/>
      <c r="B122" s="80"/>
      <c r="C122" s="123"/>
      <c r="D122" s="123"/>
      <c r="E122" s="75" t="s">
        <v>29</v>
      </c>
      <c r="F122" s="76">
        <v>0</v>
      </c>
      <c r="G122" s="177"/>
      <c r="H122" s="177"/>
      <c r="I122" s="186"/>
      <c r="J122" s="177"/>
      <c r="K122" s="177"/>
      <c r="L122" s="177"/>
      <c r="M122" s="177"/>
      <c r="N122" s="177"/>
      <c r="O122" s="177"/>
      <c r="P122" s="177"/>
      <c r="Q122" s="177"/>
      <c r="R122" s="185"/>
      <c r="S122" s="148"/>
      <c r="V122" s="149"/>
    </row>
    <row r="123" spans="1:22" x14ac:dyDescent="0.25">
      <c r="A123" s="41"/>
      <c r="B123" s="80">
        <v>1</v>
      </c>
      <c r="C123" s="81" t="s">
        <v>30</v>
      </c>
      <c r="D123" s="82">
        <v>71.400000000000006</v>
      </c>
      <c r="E123" s="83">
        <v>1</v>
      </c>
      <c r="F123" s="85">
        <f>+E123*S123*D123</f>
        <v>15136.800000000001</v>
      </c>
      <c r="G123" s="85">
        <f>E123*D123*31</f>
        <v>2213.4</v>
      </c>
      <c r="H123" s="86">
        <f>E123*D123*28</f>
        <v>1999.2000000000003</v>
      </c>
      <c r="I123" s="187">
        <f>E123*D123*31</f>
        <v>2213.4</v>
      </c>
      <c r="J123" s="85">
        <f>E123*D123*30</f>
        <v>2142</v>
      </c>
      <c r="K123" s="85">
        <f>E123*D123*31</f>
        <v>2213.4</v>
      </c>
      <c r="L123" s="85">
        <f>E123*D123*30</f>
        <v>2142</v>
      </c>
      <c r="M123" s="85">
        <f>E123*D123*31</f>
        <v>2213.4</v>
      </c>
      <c r="N123" s="85">
        <v>0</v>
      </c>
      <c r="O123" s="85">
        <v>0</v>
      </c>
      <c r="P123" s="85">
        <v>0</v>
      </c>
      <c r="Q123" s="85">
        <v>0</v>
      </c>
      <c r="R123" s="87">
        <v>0</v>
      </c>
      <c r="S123" s="183">
        <v>212</v>
      </c>
      <c r="V123" s="149"/>
    </row>
    <row r="124" spans="1:22" x14ac:dyDescent="0.25">
      <c r="A124" s="41"/>
      <c r="B124" s="80">
        <v>2</v>
      </c>
      <c r="C124" s="81" t="s">
        <v>54</v>
      </c>
      <c r="D124" s="82">
        <v>71.400000000000006</v>
      </c>
      <c r="E124" s="83">
        <v>23</v>
      </c>
      <c r="F124" s="84">
        <f>+E124*S124*D124</f>
        <v>348146.4</v>
      </c>
      <c r="G124" s="85">
        <f>E124*D124*31</f>
        <v>50908.200000000004</v>
      </c>
      <c r="H124" s="86">
        <f>E124*D124*28</f>
        <v>45981.599999999999</v>
      </c>
      <c r="I124" s="187">
        <f>E124*D124*31</f>
        <v>50908.200000000004</v>
      </c>
      <c r="J124" s="85">
        <f>E124*D124*30</f>
        <v>49266</v>
      </c>
      <c r="K124" s="85">
        <f>E124*D124*31</f>
        <v>50908.200000000004</v>
      </c>
      <c r="L124" s="85">
        <f>E124*D124*30</f>
        <v>49266</v>
      </c>
      <c r="M124" s="85">
        <f>E124*D124*31</f>
        <v>50908.200000000004</v>
      </c>
      <c r="N124" s="85">
        <v>0</v>
      </c>
      <c r="O124" s="85">
        <v>0</v>
      </c>
      <c r="P124" s="85">
        <v>0</v>
      </c>
      <c r="Q124" s="85">
        <v>0</v>
      </c>
      <c r="R124" s="87">
        <v>0</v>
      </c>
      <c r="S124" s="183">
        <v>212</v>
      </c>
      <c r="V124" s="149"/>
    </row>
    <row r="125" spans="1:22" x14ac:dyDescent="0.25">
      <c r="A125" s="41"/>
      <c r="B125" s="80">
        <v>3</v>
      </c>
      <c r="C125" s="81" t="s">
        <v>32</v>
      </c>
      <c r="D125" s="82">
        <v>80.86</v>
      </c>
      <c r="E125" s="83">
        <v>1</v>
      </c>
      <c r="F125" s="84">
        <f>+E125*S125*D125</f>
        <v>17142.32</v>
      </c>
      <c r="G125" s="85">
        <f>E125*D125*31</f>
        <v>2506.66</v>
      </c>
      <c r="H125" s="86">
        <f>E125*D125*28</f>
        <v>2264.08</v>
      </c>
      <c r="I125" s="187">
        <f>E125*D125*31</f>
        <v>2506.66</v>
      </c>
      <c r="J125" s="85">
        <f>E125*D125*30</f>
        <v>2425.8000000000002</v>
      </c>
      <c r="K125" s="85">
        <f>E125*D125*31</f>
        <v>2506.66</v>
      </c>
      <c r="L125" s="85">
        <f>E125*D125*30</f>
        <v>2425.8000000000002</v>
      </c>
      <c r="M125" s="85">
        <f>E125*D125*31</f>
        <v>2506.66</v>
      </c>
      <c r="N125" s="85">
        <v>0</v>
      </c>
      <c r="O125" s="85">
        <v>0</v>
      </c>
      <c r="P125" s="85">
        <v>0</v>
      </c>
      <c r="Q125" s="85">
        <v>0</v>
      </c>
      <c r="R125" s="87">
        <v>0</v>
      </c>
      <c r="S125" s="148">
        <v>212</v>
      </c>
      <c r="V125" s="149"/>
    </row>
    <row r="126" spans="1:22" x14ac:dyDescent="0.25">
      <c r="A126" s="41"/>
      <c r="B126" s="80"/>
      <c r="C126" s="81" t="s">
        <v>39</v>
      </c>
      <c r="D126" s="82"/>
      <c r="E126" s="83"/>
      <c r="F126" s="157">
        <f xml:space="preserve"> 677586-SUM(F123:F125)</f>
        <v>297160.48</v>
      </c>
      <c r="G126" s="188"/>
      <c r="H126" s="189"/>
      <c r="I126" s="157"/>
      <c r="J126" s="157"/>
      <c r="K126" s="157"/>
      <c r="L126" s="157"/>
      <c r="M126" s="157"/>
      <c r="N126" s="157"/>
      <c r="O126" s="157"/>
      <c r="P126" s="157"/>
      <c r="Q126" s="157"/>
      <c r="R126" s="158">
        <f>F126</f>
        <v>297160.48</v>
      </c>
      <c r="S126" s="148"/>
      <c r="V126" s="149"/>
    </row>
    <row r="127" spans="1:22" x14ac:dyDescent="0.25">
      <c r="A127" s="41"/>
      <c r="B127" s="80"/>
      <c r="C127" s="81"/>
      <c r="D127" s="82"/>
      <c r="E127" s="83"/>
      <c r="F127" s="88"/>
      <c r="G127" s="85"/>
      <c r="H127" s="86"/>
      <c r="I127" s="85"/>
      <c r="J127" s="85"/>
      <c r="K127" s="85"/>
      <c r="L127" s="85"/>
      <c r="M127" s="85"/>
      <c r="N127" s="85"/>
      <c r="O127" s="85"/>
      <c r="P127" s="85"/>
      <c r="Q127" s="85"/>
      <c r="R127" s="87"/>
      <c r="S127" s="148"/>
      <c r="V127" s="149"/>
    </row>
    <row r="128" spans="1:22" s="164" customFormat="1" ht="33.6" customHeight="1" x14ac:dyDescent="0.25">
      <c r="A128" s="159"/>
      <c r="B128" s="160"/>
      <c r="C128" s="361" t="s">
        <v>113</v>
      </c>
      <c r="D128" s="361"/>
      <c r="E128" s="169">
        <f>SUM(E130:E131)</f>
        <v>7</v>
      </c>
      <c r="F128" s="181">
        <f>SUM(F130:F132)</f>
        <v>182427</v>
      </c>
      <c r="G128" s="181">
        <f>SUM(G130:G131)</f>
        <v>15493.800000000001</v>
      </c>
      <c r="H128" s="181">
        <f t="shared" ref="H128:Q128" si="86">SUM(H130:H131)</f>
        <v>13994.400000000001</v>
      </c>
      <c r="I128" s="181">
        <f>SUM(I130:I131)</f>
        <v>15493.800000000001</v>
      </c>
      <c r="J128" s="181">
        <f>SUM(J130:J131)</f>
        <v>14994.000000000002</v>
      </c>
      <c r="K128" s="181">
        <f>SUM(K130:K131)</f>
        <v>15493.800000000001</v>
      </c>
      <c r="L128" s="181">
        <f t="shared" si="86"/>
        <v>14994.000000000002</v>
      </c>
      <c r="M128" s="181">
        <f t="shared" si="86"/>
        <v>15493.800000000001</v>
      </c>
      <c r="N128" s="181">
        <f t="shared" si="86"/>
        <v>0</v>
      </c>
      <c r="O128" s="181">
        <f t="shared" si="86"/>
        <v>0</v>
      </c>
      <c r="P128" s="181">
        <f t="shared" si="86"/>
        <v>0</v>
      </c>
      <c r="Q128" s="181">
        <f t="shared" si="86"/>
        <v>0</v>
      </c>
      <c r="R128" s="182">
        <f>SUM(R130:R132)</f>
        <v>76469.399999999994</v>
      </c>
      <c r="S128" s="326">
        <f>F128-SUM(G128:R128)</f>
        <v>0</v>
      </c>
      <c r="V128" s="163"/>
    </row>
    <row r="129" spans="1:22" ht="13.5" customHeight="1" x14ac:dyDescent="0.25">
      <c r="A129" s="41"/>
      <c r="B129" s="80"/>
      <c r="C129" s="123"/>
      <c r="D129" s="123"/>
      <c r="E129" s="75" t="s">
        <v>29</v>
      </c>
      <c r="F129" s="76">
        <v>0</v>
      </c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2"/>
      <c r="S129" s="190"/>
      <c r="V129" s="149"/>
    </row>
    <row r="130" spans="1:22" x14ac:dyDescent="0.25">
      <c r="A130" s="41"/>
      <c r="B130" s="80">
        <v>1</v>
      </c>
      <c r="C130" s="81" t="s">
        <v>48</v>
      </c>
      <c r="D130" s="82">
        <v>71.400000000000006</v>
      </c>
      <c r="E130" s="83">
        <v>1</v>
      </c>
      <c r="F130" s="85">
        <f>+E130*S130*D130</f>
        <v>15136.800000000001</v>
      </c>
      <c r="G130" s="85">
        <f>E130*D130*31</f>
        <v>2213.4</v>
      </c>
      <c r="H130" s="86">
        <f>E130*D130*28</f>
        <v>1999.2000000000003</v>
      </c>
      <c r="I130" s="85">
        <f>E130*D130*31</f>
        <v>2213.4</v>
      </c>
      <c r="J130" s="85">
        <f>E130*D130*30</f>
        <v>2142</v>
      </c>
      <c r="K130" s="85">
        <f>E130*D130*31</f>
        <v>2213.4</v>
      </c>
      <c r="L130" s="85">
        <f>E130*D130*30</f>
        <v>2142</v>
      </c>
      <c r="M130" s="85">
        <f>E130*D130*31</f>
        <v>2213.4</v>
      </c>
      <c r="N130" s="85">
        <v>0</v>
      </c>
      <c r="O130" s="85">
        <v>0</v>
      </c>
      <c r="P130" s="85">
        <v>0</v>
      </c>
      <c r="Q130" s="85">
        <v>0</v>
      </c>
      <c r="R130" s="87">
        <v>0</v>
      </c>
      <c r="S130" s="183">
        <v>212</v>
      </c>
      <c r="V130" s="149"/>
    </row>
    <row r="131" spans="1:22" x14ac:dyDescent="0.25">
      <c r="A131" s="41"/>
      <c r="B131" s="80">
        <v>2</v>
      </c>
      <c r="C131" s="81" t="s">
        <v>54</v>
      </c>
      <c r="D131" s="82">
        <v>71.400000000000006</v>
      </c>
      <c r="E131" s="83">
        <v>6</v>
      </c>
      <c r="F131" s="85">
        <f>+E131*S131*D131</f>
        <v>90820.800000000003</v>
      </c>
      <c r="G131" s="85">
        <f>E131*D131*31</f>
        <v>13280.400000000001</v>
      </c>
      <c r="H131" s="86">
        <f>E131*D131*28</f>
        <v>11995.2</v>
      </c>
      <c r="I131" s="85">
        <f>E131*D131*31</f>
        <v>13280.400000000001</v>
      </c>
      <c r="J131" s="85">
        <f>E131*D131*30</f>
        <v>12852.000000000002</v>
      </c>
      <c r="K131" s="85">
        <f>E131*D131*31</f>
        <v>13280.400000000001</v>
      </c>
      <c r="L131" s="85">
        <f>E131*D131*30</f>
        <v>12852.000000000002</v>
      </c>
      <c r="M131" s="85">
        <f>E131*D131*31</f>
        <v>13280.400000000001</v>
      </c>
      <c r="N131" s="85">
        <v>0</v>
      </c>
      <c r="O131" s="85">
        <v>0</v>
      </c>
      <c r="P131" s="85">
        <v>0</v>
      </c>
      <c r="Q131" s="85">
        <v>0</v>
      </c>
      <c r="R131" s="87">
        <v>0</v>
      </c>
      <c r="S131" s="148">
        <v>212</v>
      </c>
      <c r="V131" s="149"/>
    </row>
    <row r="132" spans="1:22" ht="15.75" thickBot="1" x14ac:dyDescent="0.3">
      <c r="A132" s="41"/>
      <c r="B132" s="80"/>
      <c r="C132" s="81" t="s">
        <v>39</v>
      </c>
      <c r="D132" s="82"/>
      <c r="E132" s="116"/>
      <c r="F132" s="84">
        <f>182427-SUM(F130:F131)</f>
        <v>76469.399999999994</v>
      </c>
      <c r="G132" s="118"/>
      <c r="H132" s="86"/>
      <c r="I132" s="85"/>
      <c r="J132" s="85"/>
      <c r="K132" s="85"/>
      <c r="L132" s="85"/>
      <c r="M132" s="85"/>
      <c r="N132" s="85"/>
      <c r="O132" s="85"/>
      <c r="P132" s="85"/>
      <c r="Q132" s="85"/>
      <c r="R132" s="191">
        <f>F132</f>
        <v>76469.399999999994</v>
      </c>
      <c r="S132" s="148"/>
      <c r="V132" s="149"/>
    </row>
    <row r="133" spans="1:22" ht="35.25" customHeight="1" x14ac:dyDescent="0.25">
      <c r="A133" s="41"/>
      <c r="B133" s="192"/>
      <c r="C133" s="193" t="s">
        <v>56</v>
      </c>
      <c r="D133" s="194"/>
      <c r="E133" s="194"/>
      <c r="F133" s="194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7"/>
      <c r="S133" s="25"/>
    </row>
    <row r="134" spans="1:22" ht="27" customHeight="1" thickBot="1" x14ac:dyDescent="0.3">
      <c r="A134" s="41"/>
      <c r="B134" s="134"/>
      <c r="C134" s="341" t="s">
        <v>114</v>
      </c>
      <c r="D134" s="341"/>
      <c r="E134" s="135">
        <f t="shared" ref="E134:R134" si="87">E135+E163+E176+E180+E184+E188+E197</f>
        <v>110</v>
      </c>
      <c r="F134" s="198">
        <f t="shared" si="87"/>
        <v>2312263</v>
      </c>
      <c r="G134" s="198">
        <f t="shared" si="87"/>
        <v>222329.83000000002</v>
      </c>
      <c r="H134" s="198">
        <f t="shared" si="87"/>
        <v>223853.86000000002</v>
      </c>
      <c r="I134" s="198">
        <f t="shared" si="87"/>
        <v>233432.16999999995</v>
      </c>
      <c r="J134" s="198">
        <f t="shared" si="87"/>
        <v>163363.50000000003</v>
      </c>
      <c r="K134" s="198">
        <f t="shared" si="87"/>
        <v>168808.94999999998</v>
      </c>
      <c r="L134" s="198">
        <f t="shared" si="87"/>
        <v>163363.50000000003</v>
      </c>
      <c r="M134" s="198">
        <f t="shared" si="87"/>
        <v>168808.94999999998</v>
      </c>
      <c r="N134" s="198">
        <f t="shared" si="87"/>
        <v>0</v>
      </c>
      <c r="O134" s="198">
        <f t="shared" si="87"/>
        <v>0</v>
      </c>
      <c r="P134" s="198">
        <f t="shared" si="87"/>
        <v>0</v>
      </c>
      <c r="Q134" s="198">
        <f t="shared" si="87"/>
        <v>0</v>
      </c>
      <c r="R134" s="199">
        <f t="shared" si="87"/>
        <v>968302.23999999987</v>
      </c>
      <c r="S134" s="326">
        <f>F134-SUM(G134:R134)</f>
        <v>0</v>
      </c>
    </row>
    <row r="135" spans="1:22" ht="25.9" customHeight="1" x14ac:dyDescent="0.25">
      <c r="A135" s="41"/>
      <c r="B135" s="139"/>
      <c r="C135" s="362" t="s">
        <v>115</v>
      </c>
      <c r="D135" s="362"/>
      <c r="E135" s="200">
        <f>SUM(E137:E160)</f>
        <v>70</v>
      </c>
      <c r="F135" s="201">
        <f>SUM(F137:F161)</f>
        <v>1758990</v>
      </c>
      <c r="G135" s="202">
        <f t="shared" ref="G135:Q135" si="88">SUM(G137:G160)</f>
        <v>146639.61000000002</v>
      </c>
      <c r="H135" s="201">
        <f t="shared" si="88"/>
        <v>137067.29999999999</v>
      </c>
      <c r="I135" s="201">
        <f t="shared" si="88"/>
        <v>146674.94999999998</v>
      </c>
      <c r="J135" s="201">
        <f t="shared" si="88"/>
        <v>139767.30000000002</v>
      </c>
      <c r="K135" s="201">
        <f t="shared" si="88"/>
        <v>144426.21</v>
      </c>
      <c r="L135" s="201">
        <f t="shared" si="88"/>
        <v>139767.30000000002</v>
      </c>
      <c r="M135" s="201">
        <f t="shared" si="88"/>
        <v>144426.21</v>
      </c>
      <c r="N135" s="201">
        <f t="shared" si="88"/>
        <v>0</v>
      </c>
      <c r="O135" s="201">
        <f t="shared" si="88"/>
        <v>0</v>
      </c>
      <c r="P135" s="201">
        <f t="shared" si="88"/>
        <v>0</v>
      </c>
      <c r="Q135" s="201">
        <f t="shared" si="88"/>
        <v>0</v>
      </c>
      <c r="R135" s="203">
        <f>SUM(R137:R161)</f>
        <v>760221.12000000011</v>
      </c>
      <c r="S135" s="326">
        <f>F135-SUM(G135:R135)</f>
        <v>0</v>
      </c>
    </row>
    <row r="136" spans="1:22" x14ac:dyDescent="0.25">
      <c r="A136" s="41"/>
      <c r="B136" s="80"/>
      <c r="C136" s="123"/>
      <c r="D136" s="123"/>
      <c r="E136" s="75" t="s">
        <v>29</v>
      </c>
      <c r="F136" s="319">
        <v>-13640</v>
      </c>
      <c r="G136" s="146"/>
      <c r="H136" s="146"/>
      <c r="I136" s="146"/>
      <c r="J136" s="146"/>
      <c r="K136" s="146"/>
      <c r="L136" s="146"/>
      <c r="M136" s="204"/>
      <c r="N136" s="146"/>
      <c r="O136" s="146"/>
      <c r="P136" s="205"/>
      <c r="Q136" s="206"/>
      <c r="R136" s="147"/>
      <c r="V136" s="149"/>
    </row>
    <row r="137" spans="1:22" x14ac:dyDescent="0.25">
      <c r="A137" s="41"/>
      <c r="B137" s="150">
        <v>1</v>
      </c>
      <c r="C137" s="151" t="s">
        <v>41</v>
      </c>
      <c r="D137" s="207">
        <v>72.540000000000006</v>
      </c>
      <c r="E137" s="208">
        <v>4</v>
      </c>
      <c r="F137" s="187">
        <f t="shared" ref="F137:F149" si="89">+E137*S137*D137</f>
        <v>61513.920000000006</v>
      </c>
      <c r="G137" s="187">
        <f t="shared" ref="G137:G160" si="90">E137*D137*31</f>
        <v>8994.9600000000009</v>
      </c>
      <c r="H137" s="209">
        <f>E137*D137*28</f>
        <v>8124.4800000000005</v>
      </c>
      <c r="I137" s="187">
        <f>E137*D137*31</f>
        <v>8994.9600000000009</v>
      </c>
      <c r="J137" s="187">
        <f>E137*D137*30</f>
        <v>8704.8000000000011</v>
      </c>
      <c r="K137" s="187">
        <f>E137*D137*31</f>
        <v>8994.9600000000009</v>
      </c>
      <c r="L137" s="187">
        <f>E137*D137*30</f>
        <v>8704.8000000000011</v>
      </c>
      <c r="M137" s="85">
        <f t="shared" ref="M137:M160" si="91">E137*D137*31</f>
        <v>8994.9600000000009</v>
      </c>
      <c r="N137" s="85">
        <v>0</v>
      </c>
      <c r="O137" s="85">
        <v>0</v>
      </c>
      <c r="P137" s="85">
        <v>0</v>
      </c>
      <c r="Q137" s="85">
        <v>0</v>
      </c>
      <c r="R137" s="87">
        <v>0</v>
      </c>
      <c r="S137" s="210">
        <v>212</v>
      </c>
    </row>
    <row r="138" spans="1:22" x14ac:dyDescent="0.25">
      <c r="A138" s="41"/>
      <c r="B138" s="80">
        <v>2</v>
      </c>
      <c r="C138" s="81" t="s">
        <v>52</v>
      </c>
      <c r="D138" s="82">
        <v>73.59</v>
      </c>
      <c r="E138" s="83">
        <v>1</v>
      </c>
      <c r="F138" s="85">
        <f t="shared" si="89"/>
        <v>15601.08</v>
      </c>
      <c r="G138" s="187">
        <f t="shared" si="90"/>
        <v>2281.29</v>
      </c>
      <c r="H138" s="209">
        <f t="shared" ref="H138:H160" si="92">E138*D138*28</f>
        <v>2060.52</v>
      </c>
      <c r="I138" s="187">
        <f t="shared" ref="I138:I160" si="93">E138*D138*31</f>
        <v>2281.29</v>
      </c>
      <c r="J138" s="187">
        <f t="shared" ref="J138:J160" si="94">E138*D138*30</f>
        <v>2207.7000000000003</v>
      </c>
      <c r="K138" s="187">
        <f t="shared" ref="K138:K160" si="95">E138*D138*31</f>
        <v>2281.29</v>
      </c>
      <c r="L138" s="187">
        <f t="shared" ref="L138:L160" si="96">E138*D138*30</f>
        <v>2207.7000000000003</v>
      </c>
      <c r="M138" s="85">
        <f t="shared" si="91"/>
        <v>2281.29</v>
      </c>
      <c r="N138" s="85">
        <v>0</v>
      </c>
      <c r="O138" s="85">
        <v>0</v>
      </c>
      <c r="P138" s="85">
        <v>0</v>
      </c>
      <c r="Q138" s="85">
        <v>0</v>
      </c>
      <c r="R138" s="87">
        <v>0</v>
      </c>
      <c r="S138" s="210">
        <v>212</v>
      </c>
    </row>
    <row r="139" spans="1:22" x14ac:dyDescent="0.25">
      <c r="A139" s="41"/>
      <c r="B139" s="80">
        <v>3</v>
      </c>
      <c r="C139" s="81" t="s">
        <v>57</v>
      </c>
      <c r="D139" s="82">
        <v>77.59</v>
      </c>
      <c r="E139" s="83">
        <v>1</v>
      </c>
      <c r="F139" s="85">
        <f t="shared" si="89"/>
        <v>16449.080000000002</v>
      </c>
      <c r="G139" s="187">
        <f t="shared" si="90"/>
        <v>2405.29</v>
      </c>
      <c r="H139" s="209">
        <f t="shared" si="92"/>
        <v>2172.52</v>
      </c>
      <c r="I139" s="187">
        <f t="shared" si="93"/>
        <v>2405.29</v>
      </c>
      <c r="J139" s="187">
        <f t="shared" si="94"/>
        <v>2327.7000000000003</v>
      </c>
      <c r="K139" s="187">
        <f t="shared" si="95"/>
        <v>2405.29</v>
      </c>
      <c r="L139" s="187">
        <f t="shared" si="96"/>
        <v>2327.7000000000003</v>
      </c>
      <c r="M139" s="85">
        <f t="shared" si="91"/>
        <v>2405.29</v>
      </c>
      <c r="N139" s="85">
        <v>0</v>
      </c>
      <c r="O139" s="85">
        <v>0</v>
      </c>
      <c r="P139" s="85">
        <v>0</v>
      </c>
      <c r="Q139" s="85">
        <v>0</v>
      </c>
      <c r="R139" s="87">
        <v>0</v>
      </c>
      <c r="S139" s="210">
        <v>212</v>
      </c>
    </row>
    <row r="140" spans="1:22" x14ac:dyDescent="0.25">
      <c r="A140" s="41"/>
      <c r="B140" s="150">
        <v>4</v>
      </c>
      <c r="C140" s="90" t="s">
        <v>58</v>
      </c>
      <c r="D140" s="91">
        <v>71.400000000000006</v>
      </c>
      <c r="E140" s="92">
        <v>11</v>
      </c>
      <c r="F140" s="95">
        <f t="shared" si="89"/>
        <v>166504.80000000002</v>
      </c>
      <c r="G140" s="85">
        <f t="shared" si="90"/>
        <v>24347.4</v>
      </c>
      <c r="H140" s="86">
        <f t="shared" si="92"/>
        <v>21991.200000000004</v>
      </c>
      <c r="I140" s="85">
        <f t="shared" si="93"/>
        <v>24347.4</v>
      </c>
      <c r="J140" s="85">
        <f t="shared" si="94"/>
        <v>23562.000000000004</v>
      </c>
      <c r="K140" s="85">
        <f t="shared" si="95"/>
        <v>24347.4</v>
      </c>
      <c r="L140" s="85">
        <f t="shared" si="96"/>
        <v>23562.000000000004</v>
      </c>
      <c r="M140" s="95">
        <f t="shared" si="91"/>
        <v>24347.4</v>
      </c>
      <c r="N140" s="95">
        <v>0</v>
      </c>
      <c r="O140" s="95">
        <v>0</v>
      </c>
      <c r="P140" s="95">
        <v>0</v>
      </c>
      <c r="Q140" s="95">
        <v>0</v>
      </c>
      <c r="R140" s="97">
        <v>0</v>
      </c>
      <c r="S140" s="210">
        <v>212</v>
      </c>
    </row>
    <row r="141" spans="1:22" x14ac:dyDescent="0.25">
      <c r="A141" s="41"/>
      <c r="B141" s="150">
        <v>4</v>
      </c>
      <c r="C141" s="90" t="s">
        <v>58</v>
      </c>
      <c r="D141" s="91">
        <v>71.400000000000006</v>
      </c>
      <c r="E141" s="92">
        <v>1</v>
      </c>
      <c r="F141" s="95">
        <f t="shared" ref="F141" si="97">+E141*S141*D141</f>
        <v>1499.4</v>
      </c>
      <c r="G141" s="85">
        <v>0</v>
      </c>
      <c r="H141" s="86">
        <f>E141*D141*21</f>
        <v>1499.4</v>
      </c>
      <c r="I141" s="85">
        <v>0</v>
      </c>
      <c r="J141" s="85">
        <v>0</v>
      </c>
      <c r="K141" s="85">
        <v>0</v>
      </c>
      <c r="L141" s="85">
        <v>0</v>
      </c>
      <c r="M141" s="95">
        <v>0</v>
      </c>
      <c r="N141" s="95">
        <v>0</v>
      </c>
      <c r="O141" s="95">
        <v>0</v>
      </c>
      <c r="P141" s="95">
        <v>0</v>
      </c>
      <c r="Q141" s="95">
        <v>0</v>
      </c>
      <c r="R141" s="97">
        <v>0</v>
      </c>
      <c r="S141" s="210">
        <v>21</v>
      </c>
    </row>
    <row r="142" spans="1:22" x14ac:dyDescent="0.25">
      <c r="A142" s="41"/>
      <c r="B142" s="150">
        <v>4</v>
      </c>
      <c r="C142" s="90" t="s">
        <v>58</v>
      </c>
      <c r="D142" s="91">
        <v>71.400000000000006</v>
      </c>
      <c r="E142" s="92">
        <v>1</v>
      </c>
      <c r="F142" s="95">
        <f t="shared" ref="F142:F145" si="98">+E142*S142*D142</f>
        <v>0</v>
      </c>
      <c r="G142" s="85">
        <v>0</v>
      </c>
      <c r="H142" s="86">
        <v>0</v>
      </c>
      <c r="I142" s="85">
        <v>0</v>
      </c>
      <c r="J142" s="85">
        <v>0</v>
      </c>
      <c r="K142" s="85">
        <v>0</v>
      </c>
      <c r="L142" s="85">
        <v>0</v>
      </c>
      <c r="M142" s="95">
        <v>0</v>
      </c>
      <c r="N142" s="95">
        <v>0</v>
      </c>
      <c r="O142" s="95">
        <v>0</v>
      </c>
      <c r="P142" s="95">
        <v>0</v>
      </c>
      <c r="Q142" s="95">
        <v>0</v>
      </c>
      <c r="R142" s="97">
        <v>0</v>
      </c>
      <c r="S142" s="210">
        <v>0</v>
      </c>
    </row>
    <row r="143" spans="1:22" s="164" customFormat="1" x14ac:dyDescent="0.25">
      <c r="A143" s="159"/>
      <c r="B143" s="223">
        <v>4</v>
      </c>
      <c r="C143" s="392" t="s">
        <v>58</v>
      </c>
      <c r="D143" s="393">
        <v>71.400000000000006</v>
      </c>
      <c r="E143" s="92">
        <v>1</v>
      </c>
      <c r="F143" s="240">
        <f t="shared" si="98"/>
        <v>4212.6000000000004</v>
      </c>
      <c r="G143" s="157">
        <f t="shared" ref="G143" si="99">E143*D143*31</f>
        <v>2213.4</v>
      </c>
      <c r="H143" s="189">
        <f t="shared" ref="H143" si="100">E143*D143*28</f>
        <v>1999.2000000000003</v>
      </c>
      <c r="I143" s="157">
        <v>0</v>
      </c>
      <c r="J143" s="157">
        <v>0</v>
      </c>
      <c r="K143" s="157">
        <v>0</v>
      </c>
      <c r="L143" s="157">
        <v>0</v>
      </c>
      <c r="M143" s="240">
        <v>0</v>
      </c>
      <c r="N143" s="240">
        <v>0</v>
      </c>
      <c r="O143" s="240">
        <v>0</v>
      </c>
      <c r="P143" s="240">
        <v>0</v>
      </c>
      <c r="Q143" s="240">
        <v>0</v>
      </c>
      <c r="R143" s="242">
        <v>0</v>
      </c>
      <c r="S143" s="210">
        <f>31+28</f>
        <v>59</v>
      </c>
    </row>
    <row r="144" spans="1:22" s="164" customFormat="1" x14ac:dyDescent="0.25">
      <c r="A144" s="159"/>
      <c r="B144" s="223">
        <v>4</v>
      </c>
      <c r="C144" s="392" t="s">
        <v>58</v>
      </c>
      <c r="D144" s="393">
        <v>71.400000000000006</v>
      </c>
      <c r="E144" s="92">
        <v>1</v>
      </c>
      <c r="F144" s="240">
        <f t="shared" si="98"/>
        <v>4212.6000000000004</v>
      </c>
      <c r="G144" s="157">
        <f t="shared" ref="G144" si="101">E144*D144*31</f>
        <v>2213.4</v>
      </c>
      <c r="H144" s="189">
        <f t="shared" ref="H144" si="102">E144*D144*28</f>
        <v>1999.2000000000003</v>
      </c>
      <c r="I144" s="157">
        <v>0</v>
      </c>
      <c r="J144" s="157">
        <v>0</v>
      </c>
      <c r="K144" s="157">
        <v>0</v>
      </c>
      <c r="L144" s="157">
        <v>0</v>
      </c>
      <c r="M144" s="240">
        <v>0</v>
      </c>
      <c r="N144" s="240">
        <v>0</v>
      </c>
      <c r="O144" s="240">
        <v>0</v>
      </c>
      <c r="P144" s="240">
        <v>0</v>
      </c>
      <c r="Q144" s="240">
        <v>0</v>
      </c>
      <c r="R144" s="242">
        <v>0</v>
      </c>
      <c r="S144" s="210">
        <f>31+28</f>
        <v>59</v>
      </c>
    </row>
    <row r="145" spans="1:21" s="164" customFormat="1" x14ac:dyDescent="0.25">
      <c r="A145" s="159"/>
      <c r="B145" s="223">
        <v>4</v>
      </c>
      <c r="C145" s="392" t="s">
        <v>58</v>
      </c>
      <c r="D145" s="393">
        <v>71.400000000000006</v>
      </c>
      <c r="E145" s="92">
        <v>1</v>
      </c>
      <c r="F145" s="240">
        <f t="shared" si="98"/>
        <v>10924.2</v>
      </c>
      <c r="G145" s="157">
        <v>0</v>
      </c>
      <c r="H145" s="189">
        <v>0</v>
      </c>
      <c r="I145" s="157">
        <f t="shared" ref="I145" si="103">E145*D145*31</f>
        <v>2213.4</v>
      </c>
      <c r="J145" s="157">
        <f t="shared" ref="J145" si="104">E145*D145*30</f>
        <v>2142</v>
      </c>
      <c r="K145" s="157">
        <f t="shared" ref="K145" si="105">E145*D145*31</f>
        <v>2213.4</v>
      </c>
      <c r="L145" s="157">
        <f t="shared" ref="L145" si="106">E145*D145*30</f>
        <v>2142</v>
      </c>
      <c r="M145" s="240">
        <f t="shared" ref="M145" si="107">E145*D145*31</f>
        <v>2213.4</v>
      </c>
      <c r="N145" s="240">
        <v>0</v>
      </c>
      <c r="O145" s="240">
        <v>0</v>
      </c>
      <c r="P145" s="240">
        <v>0</v>
      </c>
      <c r="Q145" s="240">
        <v>0</v>
      </c>
      <c r="R145" s="242">
        <v>0</v>
      </c>
      <c r="S145" s="210">
        <f>31+30+31+30+31</f>
        <v>153</v>
      </c>
    </row>
    <row r="146" spans="1:21" s="164" customFormat="1" x14ac:dyDescent="0.25">
      <c r="A146" s="159"/>
      <c r="B146" s="160">
        <v>5</v>
      </c>
      <c r="C146" s="340" t="s">
        <v>43</v>
      </c>
      <c r="D146" s="162">
        <v>71.400000000000006</v>
      </c>
      <c r="E146" s="83">
        <v>1</v>
      </c>
      <c r="F146" s="157">
        <f t="shared" si="89"/>
        <v>15136.800000000001</v>
      </c>
      <c r="G146" s="157">
        <f t="shared" si="90"/>
        <v>2213.4</v>
      </c>
      <c r="H146" s="157">
        <f t="shared" si="92"/>
        <v>1999.2000000000003</v>
      </c>
      <c r="I146" s="157">
        <f t="shared" si="93"/>
        <v>2213.4</v>
      </c>
      <c r="J146" s="157">
        <f t="shared" si="94"/>
        <v>2142</v>
      </c>
      <c r="K146" s="157">
        <f t="shared" si="95"/>
        <v>2213.4</v>
      </c>
      <c r="L146" s="157">
        <f t="shared" si="96"/>
        <v>2142</v>
      </c>
      <c r="M146" s="157">
        <f t="shared" si="91"/>
        <v>2213.4</v>
      </c>
      <c r="N146" s="157">
        <v>0</v>
      </c>
      <c r="O146" s="157">
        <v>0</v>
      </c>
      <c r="P146" s="157">
        <v>0</v>
      </c>
      <c r="Q146" s="157">
        <v>0</v>
      </c>
      <c r="R146" s="158">
        <v>0</v>
      </c>
      <c r="S146" s="210">
        <v>212</v>
      </c>
    </row>
    <row r="147" spans="1:21" s="164" customFormat="1" x14ac:dyDescent="0.25">
      <c r="A147" s="159"/>
      <c r="B147" s="160">
        <v>6</v>
      </c>
      <c r="C147" s="340" t="s">
        <v>55</v>
      </c>
      <c r="D147" s="162">
        <v>72.540000000000006</v>
      </c>
      <c r="E147" s="83">
        <v>4</v>
      </c>
      <c r="F147" s="157">
        <f t="shared" si="89"/>
        <v>61513.920000000006</v>
      </c>
      <c r="G147" s="155">
        <f t="shared" si="90"/>
        <v>8994.9600000000009</v>
      </c>
      <c r="H147" s="156">
        <f t="shared" si="92"/>
        <v>8124.4800000000005</v>
      </c>
      <c r="I147" s="155">
        <f t="shared" si="93"/>
        <v>8994.9600000000009</v>
      </c>
      <c r="J147" s="155">
        <f t="shared" si="94"/>
        <v>8704.8000000000011</v>
      </c>
      <c r="K147" s="155">
        <f t="shared" si="95"/>
        <v>8994.9600000000009</v>
      </c>
      <c r="L147" s="155">
        <f t="shared" si="96"/>
        <v>8704.8000000000011</v>
      </c>
      <c r="M147" s="157">
        <f t="shared" si="91"/>
        <v>8994.9600000000009</v>
      </c>
      <c r="N147" s="157">
        <v>0</v>
      </c>
      <c r="O147" s="157">
        <v>0</v>
      </c>
      <c r="P147" s="157">
        <v>0</v>
      </c>
      <c r="Q147" s="157">
        <v>0</v>
      </c>
      <c r="R147" s="158">
        <v>0</v>
      </c>
      <c r="S147" s="210">
        <v>212</v>
      </c>
    </row>
    <row r="148" spans="1:21" s="164" customFormat="1" x14ac:dyDescent="0.25">
      <c r="A148" s="159"/>
      <c r="B148" s="223">
        <v>7</v>
      </c>
      <c r="C148" s="340" t="s">
        <v>59</v>
      </c>
      <c r="D148" s="162">
        <v>73.59</v>
      </c>
      <c r="E148" s="83">
        <v>1</v>
      </c>
      <c r="F148" s="157">
        <f t="shared" si="89"/>
        <v>15601.08</v>
      </c>
      <c r="G148" s="155">
        <f t="shared" si="90"/>
        <v>2281.29</v>
      </c>
      <c r="H148" s="156">
        <f t="shared" si="92"/>
        <v>2060.52</v>
      </c>
      <c r="I148" s="155">
        <f t="shared" si="93"/>
        <v>2281.29</v>
      </c>
      <c r="J148" s="155">
        <f t="shared" si="94"/>
        <v>2207.7000000000003</v>
      </c>
      <c r="K148" s="155">
        <f t="shared" si="95"/>
        <v>2281.29</v>
      </c>
      <c r="L148" s="155">
        <f t="shared" si="96"/>
        <v>2207.7000000000003</v>
      </c>
      <c r="M148" s="157">
        <f t="shared" si="91"/>
        <v>2281.29</v>
      </c>
      <c r="N148" s="157">
        <v>0</v>
      </c>
      <c r="O148" s="157">
        <v>0</v>
      </c>
      <c r="P148" s="157">
        <v>0</v>
      </c>
      <c r="Q148" s="157">
        <v>0</v>
      </c>
      <c r="R148" s="158">
        <v>0</v>
      </c>
      <c r="S148" s="210">
        <v>212</v>
      </c>
    </row>
    <row r="149" spans="1:21" s="164" customFormat="1" x14ac:dyDescent="0.25">
      <c r="A149" s="159"/>
      <c r="B149" s="160">
        <v>8</v>
      </c>
      <c r="C149" s="340" t="s">
        <v>60</v>
      </c>
      <c r="D149" s="162">
        <v>77.59</v>
      </c>
      <c r="E149" s="83">
        <v>2</v>
      </c>
      <c r="F149" s="157">
        <f t="shared" si="89"/>
        <v>32898.160000000003</v>
      </c>
      <c r="G149" s="155">
        <f t="shared" si="90"/>
        <v>4810.58</v>
      </c>
      <c r="H149" s="156">
        <f t="shared" si="92"/>
        <v>4345.04</v>
      </c>
      <c r="I149" s="155">
        <f t="shared" si="93"/>
        <v>4810.58</v>
      </c>
      <c r="J149" s="155">
        <f t="shared" si="94"/>
        <v>4655.4000000000005</v>
      </c>
      <c r="K149" s="155">
        <f t="shared" si="95"/>
        <v>4810.58</v>
      </c>
      <c r="L149" s="155">
        <f t="shared" si="96"/>
        <v>4655.4000000000005</v>
      </c>
      <c r="M149" s="157">
        <f t="shared" si="91"/>
        <v>4810.58</v>
      </c>
      <c r="N149" s="157">
        <v>0</v>
      </c>
      <c r="O149" s="157">
        <v>0</v>
      </c>
      <c r="P149" s="157">
        <v>0</v>
      </c>
      <c r="Q149" s="157">
        <v>0</v>
      </c>
      <c r="R149" s="158">
        <v>0</v>
      </c>
      <c r="S149" s="210">
        <v>212</v>
      </c>
    </row>
    <row r="150" spans="1:21" s="214" customFormat="1" x14ac:dyDescent="0.25">
      <c r="A150" s="213"/>
      <c r="B150" s="160">
        <v>9</v>
      </c>
      <c r="C150" s="340" t="s">
        <v>33</v>
      </c>
      <c r="D150" s="162">
        <v>71.400000000000006</v>
      </c>
      <c r="E150" s="83">
        <v>15</v>
      </c>
      <c r="F150" s="157">
        <f>+E150*S150*D150</f>
        <v>227052.00000000003</v>
      </c>
      <c r="G150" s="155">
        <f t="shared" si="90"/>
        <v>33201</v>
      </c>
      <c r="H150" s="156">
        <f t="shared" si="92"/>
        <v>29988</v>
      </c>
      <c r="I150" s="155">
        <f t="shared" si="93"/>
        <v>33201</v>
      </c>
      <c r="J150" s="155">
        <f t="shared" si="94"/>
        <v>32130</v>
      </c>
      <c r="K150" s="155">
        <f t="shared" si="95"/>
        <v>33201</v>
      </c>
      <c r="L150" s="155">
        <f t="shared" si="96"/>
        <v>32130</v>
      </c>
      <c r="M150" s="157">
        <f t="shared" si="91"/>
        <v>33201</v>
      </c>
      <c r="N150" s="157">
        <v>0</v>
      </c>
      <c r="O150" s="157">
        <v>0</v>
      </c>
      <c r="P150" s="157">
        <v>0</v>
      </c>
      <c r="Q150" s="157">
        <v>0</v>
      </c>
      <c r="R150" s="158">
        <v>0</v>
      </c>
      <c r="S150" s="210">
        <v>212</v>
      </c>
      <c r="T150" s="164"/>
      <c r="U150" s="164"/>
    </row>
    <row r="151" spans="1:21" s="214" customFormat="1" x14ac:dyDescent="0.25">
      <c r="A151" s="213"/>
      <c r="B151" s="160">
        <v>9</v>
      </c>
      <c r="C151" s="340" t="s">
        <v>33</v>
      </c>
      <c r="D151" s="162">
        <v>71.400000000000006</v>
      </c>
      <c r="E151" s="83">
        <v>1</v>
      </c>
      <c r="F151" s="157">
        <f>+E151*S151*D151</f>
        <v>4212.6000000000004</v>
      </c>
      <c r="G151" s="155">
        <f t="shared" ref="G151" si="108">E151*D151*31</f>
        <v>2213.4</v>
      </c>
      <c r="H151" s="156">
        <f t="shared" ref="H151" si="109">E151*D151*28</f>
        <v>1999.2000000000003</v>
      </c>
      <c r="I151" s="155">
        <v>0</v>
      </c>
      <c r="J151" s="155">
        <v>0</v>
      </c>
      <c r="K151" s="155">
        <v>0</v>
      </c>
      <c r="L151" s="155">
        <v>0</v>
      </c>
      <c r="M151" s="157">
        <v>0</v>
      </c>
      <c r="N151" s="157">
        <v>0</v>
      </c>
      <c r="O151" s="157">
        <v>0</v>
      </c>
      <c r="P151" s="157">
        <v>0</v>
      </c>
      <c r="Q151" s="157">
        <v>0</v>
      </c>
      <c r="R151" s="158">
        <v>0</v>
      </c>
      <c r="S151" s="210">
        <f>31+28</f>
        <v>59</v>
      </c>
      <c r="T151" s="164"/>
      <c r="U151" s="164"/>
    </row>
    <row r="152" spans="1:21" s="214" customFormat="1" x14ac:dyDescent="0.25">
      <c r="A152" s="213"/>
      <c r="B152" s="160">
        <v>9</v>
      </c>
      <c r="C152" s="340" t="s">
        <v>33</v>
      </c>
      <c r="D152" s="162">
        <v>71.400000000000006</v>
      </c>
      <c r="E152" s="83">
        <v>1</v>
      </c>
      <c r="F152" s="157">
        <f>+E152*S152*D152</f>
        <v>10924.2</v>
      </c>
      <c r="G152" s="155">
        <v>0</v>
      </c>
      <c r="H152" s="156">
        <v>0</v>
      </c>
      <c r="I152" s="155">
        <f t="shared" ref="I152" si="110">E152*D152*31</f>
        <v>2213.4</v>
      </c>
      <c r="J152" s="155">
        <f t="shared" ref="J152" si="111">E152*D152*30</f>
        <v>2142</v>
      </c>
      <c r="K152" s="155">
        <f t="shared" ref="K152" si="112">E152*D152*31</f>
        <v>2213.4</v>
      </c>
      <c r="L152" s="155">
        <f t="shared" ref="L152" si="113">E152*D152*30</f>
        <v>2142</v>
      </c>
      <c r="M152" s="157">
        <f t="shared" ref="M152" si="114">E152*D152*31</f>
        <v>2213.4</v>
      </c>
      <c r="N152" s="157">
        <v>0</v>
      </c>
      <c r="O152" s="157">
        <v>0</v>
      </c>
      <c r="P152" s="157">
        <v>0</v>
      </c>
      <c r="Q152" s="157">
        <v>0</v>
      </c>
      <c r="R152" s="158">
        <v>0</v>
      </c>
      <c r="S152" s="210">
        <f>31+30+31+30+31</f>
        <v>153</v>
      </c>
      <c r="T152" s="164"/>
      <c r="U152" s="164"/>
    </row>
    <row r="153" spans="1:21" s="214" customFormat="1" x14ac:dyDescent="0.25">
      <c r="A153" s="213"/>
      <c r="B153" s="150">
        <v>10</v>
      </c>
      <c r="C153" s="161" t="s">
        <v>61</v>
      </c>
      <c r="D153" s="162">
        <v>75.64</v>
      </c>
      <c r="E153" s="83">
        <v>4</v>
      </c>
      <c r="F153" s="157">
        <f>+E153*S154*D153</f>
        <v>64142.720000000001</v>
      </c>
      <c r="G153" s="187">
        <f t="shared" si="90"/>
        <v>9379.36</v>
      </c>
      <c r="H153" s="209">
        <f t="shared" si="92"/>
        <v>8471.68</v>
      </c>
      <c r="I153" s="187">
        <f t="shared" si="93"/>
        <v>9379.36</v>
      </c>
      <c r="J153" s="187">
        <f t="shared" si="94"/>
        <v>9076.7999999999993</v>
      </c>
      <c r="K153" s="187">
        <f t="shared" si="95"/>
        <v>9379.36</v>
      </c>
      <c r="L153" s="187">
        <f t="shared" si="96"/>
        <v>9076.7999999999993</v>
      </c>
      <c r="M153" s="85">
        <f t="shared" si="91"/>
        <v>9379.36</v>
      </c>
      <c r="N153" s="85">
        <v>0</v>
      </c>
      <c r="O153" s="85">
        <v>0</v>
      </c>
      <c r="P153" s="85">
        <v>0</v>
      </c>
      <c r="Q153" s="85">
        <v>0</v>
      </c>
      <c r="R153" s="87">
        <v>0</v>
      </c>
      <c r="S153" s="210">
        <v>212</v>
      </c>
      <c r="T153" s="164"/>
      <c r="U153" s="164"/>
    </row>
    <row r="154" spans="1:21" s="214" customFormat="1" x14ac:dyDescent="0.25">
      <c r="A154" s="213"/>
      <c r="B154" s="318">
        <v>11</v>
      </c>
      <c r="C154" s="161" t="s">
        <v>62</v>
      </c>
      <c r="D154" s="162">
        <v>71.400000000000006</v>
      </c>
      <c r="E154" s="83">
        <v>2</v>
      </c>
      <c r="F154" s="157">
        <f>+E154*S155*D154</f>
        <v>30273.600000000002</v>
      </c>
      <c r="G154" s="187">
        <f t="shared" si="90"/>
        <v>4426.8</v>
      </c>
      <c r="H154" s="209">
        <f t="shared" si="92"/>
        <v>3998.4000000000005</v>
      </c>
      <c r="I154" s="187">
        <f t="shared" si="93"/>
        <v>4426.8</v>
      </c>
      <c r="J154" s="187">
        <f t="shared" si="94"/>
        <v>4284</v>
      </c>
      <c r="K154" s="187">
        <f t="shared" si="95"/>
        <v>4426.8</v>
      </c>
      <c r="L154" s="187">
        <f t="shared" si="96"/>
        <v>4284</v>
      </c>
      <c r="M154" s="85">
        <f t="shared" si="91"/>
        <v>4426.8</v>
      </c>
      <c r="N154" s="85">
        <v>0</v>
      </c>
      <c r="O154" s="85">
        <v>0</v>
      </c>
      <c r="P154" s="85">
        <v>0</v>
      </c>
      <c r="Q154" s="85">
        <v>0</v>
      </c>
      <c r="R154" s="87">
        <v>0</v>
      </c>
      <c r="S154" s="210">
        <v>212</v>
      </c>
      <c r="T154" s="164"/>
      <c r="U154" s="164"/>
    </row>
    <row r="155" spans="1:21" s="214" customFormat="1" x14ac:dyDescent="0.25">
      <c r="A155" s="213"/>
      <c r="B155" s="318">
        <v>12</v>
      </c>
      <c r="C155" s="161" t="s">
        <v>34</v>
      </c>
      <c r="D155" s="162">
        <v>78.25</v>
      </c>
      <c r="E155" s="83">
        <v>2</v>
      </c>
      <c r="F155" s="157">
        <f>+E155*S156*D155</f>
        <v>33178</v>
      </c>
      <c r="G155" s="187">
        <f t="shared" si="90"/>
        <v>4851.5</v>
      </c>
      <c r="H155" s="209">
        <f t="shared" si="92"/>
        <v>4382</v>
      </c>
      <c r="I155" s="187">
        <f t="shared" si="93"/>
        <v>4851.5</v>
      </c>
      <c r="J155" s="187">
        <f t="shared" si="94"/>
        <v>4695</v>
      </c>
      <c r="K155" s="187">
        <f t="shared" si="95"/>
        <v>4851.5</v>
      </c>
      <c r="L155" s="187">
        <f t="shared" si="96"/>
        <v>4695</v>
      </c>
      <c r="M155" s="85">
        <f t="shared" si="91"/>
        <v>4851.5</v>
      </c>
      <c r="N155" s="85">
        <v>0</v>
      </c>
      <c r="O155" s="85">
        <v>0</v>
      </c>
      <c r="P155" s="85">
        <v>0</v>
      </c>
      <c r="Q155" s="85">
        <v>0</v>
      </c>
      <c r="R155" s="87">
        <v>0</v>
      </c>
      <c r="S155" s="210">
        <v>212</v>
      </c>
      <c r="T155" s="164"/>
      <c r="U155" s="164"/>
    </row>
    <row r="156" spans="1:21" s="214" customFormat="1" x14ac:dyDescent="0.25">
      <c r="A156" s="213"/>
      <c r="B156" s="150">
        <v>13</v>
      </c>
      <c r="C156" s="161" t="s">
        <v>54</v>
      </c>
      <c r="D156" s="162">
        <v>71.400000000000006</v>
      </c>
      <c r="E156" s="83">
        <v>8</v>
      </c>
      <c r="F156" s="157">
        <f>+E156*S156*D156</f>
        <v>121094.40000000001</v>
      </c>
      <c r="G156" s="187">
        <f t="shared" si="90"/>
        <v>17707.2</v>
      </c>
      <c r="H156" s="209">
        <f t="shared" si="92"/>
        <v>15993.600000000002</v>
      </c>
      <c r="I156" s="187">
        <f t="shared" si="93"/>
        <v>17707.2</v>
      </c>
      <c r="J156" s="187">
        <f t="shared" si="94"/>
        <v>17136</v>
      </c>
      <c r="K156" s="187">
        <f t="shared" si="95"/>
        <v>17707.2</v>
      </c>
      <c r="L156" s="187">
        <f t="shared" si="96"/>
        <v>17136</v>
      </c>
      <c r="M156" s="85">
        <f t="shared" si="91"/>
        <v>17707.2</v>
      </c>
      <c r="N156" s="85">
        <v>0</v>
      </c>
      <c r="O156" s="85">
        <v>0</v>
      </c>
      <c r="P156" s="85">
        <v>0</v>
      </c>
      <c r="Q156" s="85">
        <v>0</v>
      </c>
      <c r="R156" s="87">
        <v>0</v>
      </c>
      <c r="S156" s="210">
        <v>212</v>
      </c>
      <c r="T156" s="164"/>
      <c r="U156" s="164"/>
    </row>
    <row r="157" spans="1:21" s="214" customFormat="1" x14ac:dyDescent="0.25">
      <c r="A157" s="213"/>
      <c r="B157" s="318">
        <v>14</v>
      </c>
      <c r="C157" s="161" t="s">
        <v>49</v>
      </c>
      <c r="D157" s="162">
        <v>72.540000000000006</v>
      </c>
      <c r="E157" s="83">
        <v>3</v>
      </c>
      <c r="F157" s="157">
        <f>+E157*S157*D157</f>
        <v>46135.44</v>
      </c>
      <c r="G157" s="187">
        <f t="shared" si="90"/>
        <v>6746.22</v>
      </c>
      <c r="H157" s="209">
        <f t="shared" si="92"/>
        <v>6093.3600000000006</v>
      </c>
      <c r="I157" s="187">
        <f t="shared" si="93"/>
        <v>6746.22</v>
      </c>
      <c r="J157" s="187">
        <f t="shared" si="94"/>
        <v>6528.6</v>
      </c>
      <c r="K157" s="187">
        <f t="shared" si="95"/>
        <v>6746.22</v>
      </c>
      <c r="L157" s="187">
        <f t="shared" si="96"/>
        <v>6528.6</v>
      </c>
      <c r="M157" s="85">
        <f t="shared" si="91"/>
        <v>6746.22</v>
      </c>
      <c r="N157" s="85">
        <v>0</v>
      </c>
      <c r="O157" s="85">
        <v>0</v>
      </c>
      <c r="P157" s="85">
        <v>0</v>
      </c>
      <c r="Q157" s="85">
        <v>0</v>
      </c>
      <c r="R157" s="87">
        <v>0</v>
      </c>
      <c r="S157" s="210">
        <v>212</v>
      </c>
      <c r="T157" s="164"/>
      <c r="U157" s="164"/>
    </row>
    <row r="158" spans="1:21" ht="26.25" x14ac:dyDescent="0.25">
      <c r="A158" s="41"/>
      <c r="B158" s="318">
        <v>15</v>
      </c>
      <c r="C158" s="161" t="s">
        <v>38</v>
      </c>
      <c r="D158" s="162">
        <v>75.64</v>
      </c>
      <c r="E158" s="83">
        <v>1</v>
      </c>
      <c r="F158" s="157">
        <f>+E158*S158*D158</f>
        <v>16035.68</v>
      </c>
      <c r="G158" s="187">
        <f t="shared" si="90"/>
        <v>2344.84</v>
      </c>
      <c r="H158" s="209">
        <f t="shared" si="92"/>
        <v>2117.92</v>
      </c>
      <c r="I158" s="187">
        <f t="shared" si="93"/>
        <v>2344.84</v>
      </c>
      <c r="J158" s="187">
        <f t="shared" si="94"/>
        <v>2269.1999999999998</v>
      </c>
      <c r="K158" s="187">
        <f t="shared" si="95"/>
        <v>2344.84</v>
      </c>
      <c r="L158" s="187">
        <f t="shared" si="96"/>
        <v>2269.1999999999998</v>
      </c>
      <c r="M158" s="85">
        <f t="shared" si="91"/>
        <v>2344.84</v>
      </c>
      <c r="N158" s="85">
        <v>0</v>
      </c>
      <c r="O158" s="85">
        <v>0</v>
      </c>
      <c r="P158" s="85">
        <v>0</v>
      </c>
      <c r="Q158" s="85">
        <v>0</v>
      </c>
      <c r="R158" s="87">
        <v>0</v>
      </c>
      <c r="S158" s="210">
        <v>212</v>
      </c>
    </row>
    <row r="159" spans="1:21" x14ac:dyDescent="0.25">
      <c r="A159" s="41"/>
      <c r="B159" s="150">
        <v>17</v>
      </c>
      <c r="C159" s="329" t="s">
        <v>127</v>
      </c>
      <c r="D159" s="162">
        <v>72.540000000000006</v>
      </c>
      <c r="E159" s="83">
        <v>1</v>
      </c>
      <c r="F159" s="157">
        <f>+E159*S159*D159</f>
        <v>5367.96</v>
      </c>
      <c r="G159" s="187">
        <v>0</v>
      </c>
      <c r="H159" s="209">
        <f>E159*D159*28+D159*E159*15</f>
        <v>3119.2200000000003</v>
      </c>
      <c r="I159" s="187">
        <f t="shared" si="93"/>
        <v>2248.7400000000002</v>
      </c>
      <c r="J159" s="187">
        <v>0</v>
      </c>
      <c r="K159" s="187">
        <v>0</v>
      </c>
      <c r="L159" s="187">
        <v>0</v>
      </c>
      <c r="M159" s="85">
        <v>0</v>
      </c>
      <c r="N159" s="85">
        <v>0</v>
      </c>
      <c r="O159" s="85">
        <v>0</v>
      </c>
      <c r="P159" s="85">
        <v>0</v>
      </c>
      <c r="Q159" s="85">
        <v>0</v>
      </c>
      <c r="R159" s="87">
        <v>0</v>
      </c>
      <c r="S159" s="210">
        <f>15+28+31</f>
        <v>74</v>
      </c>
    </row>
    <row r="160" spans="1:21" s="214" customFormat="1" x14ac:dyDescent="0.25">
      <c r="A160" s="213"/>
      <c r="B160" s="150">
        <v>16</v>
      </c>
      <c r="C160" s="161" t="s">
        <v>32</v>
      </c>
      <c r="D160" s="162">
        <v>80.86</v>
      </c>
      <c r="E160" s="83">
        <v>2</v>
      </c>
      <c r="F160" s="157">
        <f>+E160*S160*D160</f>
        <v>34284.639999999999</v>
      </c>
      <c r="G160" s="187">
        <f t="shared" si="90"/>
        <v>5013.32</v>
      </c>
      <c r="H160" s="209">
        <f t="shared" si="92"/>
        <v>4528.16</v>
      </c>
      <c r="I160" s="187">
        <f t="shared" si="93"/>
        <v>5013.32</v>
      </c>
      <c r="J160" s="187">
        <f t="shared" si="94"/>
        <v>4851.6000000000004</v>
      </c>
      <c r="K160" s="187">
        <f t="shared" si="95"/>
        <v>5013.32</v>
      </c>
      <c r="L160" s="187">
        <f t="shared" si="96"/>
        <v>4851.6000000000004</v>
      </c>
      <c r="M160" s="85">
        <f t="shared" si="91"/>
        <v>5013.32</v>
      </c>
      <c r="N160" s="85">
        <v>0</v>
      </c>
      <c r="O160" s="85">
        <v>0</v>
      </c>
      <c r="P160" s="85">
        <v>0</v>
      </c>
      <c r="Q160" s="85">
        <v>0</v>
      </c>
      <c r="R160" s="87">
        <v>0</v>
      </c>
      <c r="S160" s="210">
        <v>212</v>
      </c>
      <c r="T160" s="164"/>
      <c r="U160" s="164"/>
    </row>
    <row r="161" spans="1:22" x14ac:dyDescent="0.25">
      <c r="A161" s="41"/>
      <c r="B161" s="160"/>
      <c r="C161" s="81" t="s">
        <v>39</v>
      </c>
      <c r="D161" s="82"/>
      <c r="E161" s="83"/>
      <c r="F161" s="85">
        <f xml:space="preserve"> 1772630-SUM(F137:F160)-13640</f>
        <v>760221.12000000011</v>
      </c>
      <c r="G161" s="118"/>
      <c r="H161" s="86"/>
      <c r="I161" s="85"/>
      <c r="J161" s="88"/>
      <c r="K161" s="88"/>
      <c r="L161" s="85"/>
      <c r="M161" s="85"/>
      <c r="N161" s="85"/>
      <c r="O161" s="85"/>
      <c r="P161" s="85"/>
      <c r="Q161" s="85"/>
      <c r="R161" s="87">
        <f>F161</f>
        <v>760221.12000000011</v>
      </c>
      <c r="S161" s="25"/>
    </row>
    <row r="162" spans="1:22" x14ac:dyDescent="0.25">
      <c r="A162" s="41"/>
      <c r="B162" s="80"/>
      <c r="C162" s="81"/>
      <c r="D162" s="82"/>
      <c r="E162" s="83"/>
      <c r="F162" s="85"/>
      <c r="G162" s="88"/>
      <c r="H162" s="86"/>
      <c r="I162" s="85"/>
      <c r="J162" s="88"/>
      <c r="K162" s="88"/>
      <c r="L162" s="85"/>
      <c r="M162" s="85"/>
      <c r="N162" s="85"/>
      <c r="O162" s="85"/>
      <c r="P162" s="85"/>
      <c r="Q162" s="85"/>
      <c r="R162" s="127"/>
    </row>
    <row r="163" spans="1:22" s="164" customFormat="1" ht="30" customHeight="1" x14ac:dyDescent="0.25">
      <c r="A163" s="159"/>
      <c r="B163" s="160"/>
      <c r="C163" s="381" t="s">
        <v>116</v>
      </c>
      <c r="D163" s="381"/>
      <c r="E163" s="169">
        <f>SUM(E165:E173)</f>
        <v>28</v>
      </c>
      <c r="F163" s="121">
        <f>SUM(F165:F174)</f>
        <v>266185</v>
      </c>
      <c r="G163" s="121">
        <f t="shared" ref="G163:Q163" si="115">SUM(G165:G173)</f>
        <v>51307.48000000001</v>
      </c>
      <c r="H163" s="121">
        <f t="shared" si="115"/>
        <v>61693.240000000005</v>
      </c>
      <c r="I163" s="121">
        <f>SUM(I165:I173)</f>
        <v>60161.08</v>
      </c>
      <c r="J163" s="121">
        <f t="shared" si="115"/>
        <v>0</v>
      </c>
      <c r="K163" s="121">
        <f t="shared" si="115"/>
        <v>0</v>
      </c>
      <c r="L163" s="121">
        <f t="shared" si="115"/>
        <v>0</v>
      </c>
      <c r="M163" s="121">
        <f t="shared" si="115"/>
        <v>0</v>
      </c>
      <c r="N163" s="121">
        <f t="shared" si="115"/>
        <v>0</v>
      </c>
      <c r="O163" s="121">
        <f t="shared" si="115"/>
        <v>0</v>
      </c>
      <c r="P163" s="121">
        <f t="shared" si="115"/>
        <v>0</v>
      </c>
      <c r="Q163" s="121">
        <f t="shared" si="115"/>
        <v>0</v>
      </c>
      <c r="R163" s="122">
        <f>SUM(R165:R174)</f>
        <v>93023.199999999983</v>
      </c>
      <c r="S163" s="326">
        <f>F163-SUM(G163:R163)</f>
        <v>0</v>
      </c>
    </row>
    <row r="164" spans="1:22" x14ac:dyDescent="0.25">
      <c r="A164" s="41"/>
      <c r="B164" s="80"/>
      <c r="C164" s="123"/>
      <c r="D164" s="123"/>
      <c r="E164" s="215" t="s">
        <v>29</v>
      </c>
      <c r="F164" s="319">
        <v>-50000</v>
      </c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7"/>
      <c r="S164" s="148"/>
      <c r="V164" s="149"/>
    </row>
    <row r="165" spans="1:22" s="164" customFormat="1" x14ac:dyDescent="0.25">
      <c r="A165" s="159"/>
      <c r="B165" s="160">
        <v>1</v>
      </c>
      <c r="C165" s="161" t="s">
        <v>41</v>
      </c>
      <c r="D165" s="162">
        <v>72.540000000000006</v>
      </c>
      <c r="E165" s="83">
        <v>2</v>
      </c>
      <c r="F165" s="157">
        <f t="shared" ref="F165:F173" si="116">+E165*S165*D165</f>
        <v>13057.2</v>
      </c>
      <c r="G165" s="157">
        <f t="shared" ref="G165:G172" si="117">E165*D165*31</f>
        <v>4497.4800000000005</v>
      </c>
      <c r="H165" s="189">
        <f t="shared" ref="H165:H172" si="118">E165*D165*28</f>
        <v>4062.2400000000002</v>
      </c>
      <c r="I165" s="157">
        <f t="shared" ref="I165:I172" si="119">E165*D165*31</f>
        <v>4497.4800000000005</v>
      </c>
      <c r="J165" s="157">
        <v>0</v>
      </c>
      <c r="K165" s="157">
        <v>0</v>
      </c>
      <c r="L165" s="157">
        <v>0</v>
      </c>
      <c r="M165" s="157">
        <v>0</v>
      </c>
      <c r="N165" s="157">
        <v>0</v>
      </c>
      <c r="O165" s="157">
        <v>0</v>
      </c>
      <c r="P165" s="157">
        <v>0</v>
      </c>
      <c r="Q165" s="157">
        <v>0</v>
      </c>
      <c r="R165" s="158">
        <v>0</v>
      </c>
      <c r="S165" s="210">
        <f t="shared" ref="S165:S173" si="120">31+28+31</f>
        <v>90</v>
      </c>
    </row>
    <row r="166" spans="1:22" s="164" customFormat="1" x14ac:dyDescent="0.25">
      <c r="A166" s="159"/>
      <c r="B166" s="160">
        <v>2</v>
      </c>
      <c r="C166" s="161" t="s">
        <v>30</v>
      </c>
      <c r="D166" s="162">
        <v>71.400000000000006</v>
      </c>
      <c r="E166" s="83">
        <v>13</v>
      </c>
      <c r="F166" s="157">
        <f t="shared" si="116"/>
        <v>83538</v>
      </c>
      <c r="G166" s="157">
        <f t="shared" si="117"/>
        <v>28774.2</v>
      </c>
      <c r="H166" s="189">
        <f t="shared" si="118"/>
        <v>25989.600000000002</v>
      </c>
      <c r="I166" s="157">
        <f t="shared" si="119"/>
        <v>28774.2</v>
      </c>
      <c r="J166" s="157">
        <v>0</v>
      </c>
      <c r="K166" s="157">
        <v>0</v>
      </c>
      <c r="L166" s="157">
        <v>0</v>
      </c>
      <c r="M166" s="157">
        <v>0</v>
      </c>
      <c r="N166" s="157">
        <v>0</v>
      </c>
      <c r="O166" s="157">
        <v>0</v>
      </c>
      <c r="P166" s="157">
        <v>0</v>
      </c>
      <c r="Q166" s="157">
        <v>0</v>
      </c>
      <c r="R166" s="158">
        <v>0</v>
      </c>
      <c r="S166" s="210">
        <f t="shared" si="120"/>
        <v>90</v>
      </c>
    </row>
    <row r="167" spans="1:22" s="164" customFormat="1" x14ac:dyDescent="0.25">
      <c r="A167" s="159"/>
      <c r="B167" s="160">
        <v>2</v>
      </c>
      <c r="C167" s="340" t="s">
        <v>30</v>
      </c>
      <c r="D167" s="162">
        <v>71.400000000000006</v>
      </c>
      <c r="E167" s="83">
        <v>1</v>
      </c>
      <c r="F167" s="157">
        <f t="shared" ref="F167" si="121">+E167*S167*D167</f>
        <v>4212.6000000000004</v>
      </c>
      <c r="G167" s="157">
        <f t="shared" ref="G167" si="122">E167*D167*31</f>
        <v>2213.4</v>
      </c>
      <c r="H167" s="189">
        <f t="shared" ref="H167" si="123">E167*D167*28</f>
        <v>1999.2000000000003</v>
      </c>
      <c r="I167" s="157">
        <v>0</v>
      </c>
      <c r="J167" s="157">
        <v>0</v>
      </c>
      <c r="K167" s="157">
        <v>0</v>
      </c>
      <c r="L167" s="157">
        <v>0</v>
      </c>
      <c r="M167" s="157">
        <v>0</v>
      </c>
      <c r="N167" s="157">
        <v>0</v>
      </c>
      <c r="O167" s="157">
        <v>0</v>
      </c>
      <c r="P167" s="157">
        <v>0</v>
      </c>
      <c r="Q167" s="157">
        <v>0</v>
      </c>
      <c r="R167" s="158">
        <v>0</v>
      </c>
      <c r="S167" s="210">
        <f>31+28</f>
        <v>59</v>
      </c>
    </row>
    <row r="168" spans="1:22" s="164" customFormat="1" x14ac:dyDescent="0.25">
      <c r="A168" s="159"/>
      <c r="B168" s="160">
        <v>3</v>
      </c>
      <c r="C168" s="161" t="s">
        <v>33</v>
      </c>
      <c r="D168" s="162">
        <v>71.400000000000006</v>
      </c>
      <c r="E168" s="83">
        <v>2</v>
      </c>
      <c r="F168" s="157">
        <f t="shared" si="116"/>
        <v>12852.000000000002</v>
      </c>
      <c r="G168" s="157">
        <f t="shared" si="117"/>
        <v>4426.8</v>
      </c>
      <c r="H168" s="189">
        <f t="shared" si="118"/>
        <v>3998.4000000000005</v>
      </c>
      <c r="I168" s="157">
        <f t="shared" si="119"/>
        <v>4426.8</v>
      </c>
      <c r="J168" s="157">
        <v>0</v>
      </c>
      <c r="K168" s="157">
        <v>0</v>
      </c>
      <c r="L168" s="157">
        <v>0</v>
      </c>
      <c r="M168" s="157">
        <v>0</v>
      </c>
      <c r="N168" s="157">
        <v>0</v>
      </c>
      <c r="O168" s="157">
        <v>0</v>
      </c>
      <c r="P168" s="157">
        <v>0</v>
      </c>
      <c r="Q168" s="157">
        <v>0</v>
      </c>
      <c r="R168" s="158">
        <v>0</v>
      </c>
      <c r="S168" s="210">
        <f t="shared" si="120"/>
        <v>90</v>
      </c>
    </row>
    <row r="169" spans="1:22" s="164" customFormat="1" x14ac:dyDescent="0.25">
      <c r="A169" s="159"/>
      <c r="B169" s="160">
        <v>4</v>
      </c>
      <c r="C169" s="161" t="s">
        <v>63</v>
      </c>
      <c r="D169" s="162">
        <v>80.86</v>
      </c>
      <c r="E169" s="83">
        <v>1</v>
      </c>
      <c r="F169" s="157">
        <f t="shared" si="116"/>
        <v>7277.4</v>
      </c>
      <c r="G169" s="157">
        <f t="shared" si="117"/>
        <v>2506.66</v>
      </c>
      <c r="H169" s="189">
        <f t="shared" si="118"/>
        <v>2264.08</v>
      </c>
      <c r="I169" s="157">
        <f t="shared" si="119"/>
        <v>2506.66</v>
      </c>
      <c r="J169" s="157">
        <v>0</v>
      </c>
      <c r="K169" s="157">
        <v>0</v>
      </c>
      <c r="L169" s="157">
        <v>0</v>
      </c>
      <c r="M169" s="157">
        <v>0</v>
      </c>
      <c r="N169" s="157">
        <v>0</v>
      </c>
      <c r="O169" s="157">
        <v>0</v>
      </c>
      <c r="P169" s="157">
        <v>0</v>
      </c>
      <c r="Q169" s="157">
        <v>0</v>
      </c>
      <c r="R169" s="158">
        <v>0</v>
      </c>
      <c r="S169" s="210">
        <f t="shared" si="120"/>
        <v>90</v>
      </c>
    </row>
    <row r="170" spans="1:22" s="164" customFormat="1" x14ac:dyDescent="0.25">
      <c r="A170" s="159"/>
      <c r="B170" s="160">
        <v>7</v>
      </c>
      <c r="C170" s="329" t="s">
        <v>54</v>
      </c>
      <c r="D170" s="162">
        <v>71.400000000000006</v>
      </c>
      <c r="E170" s="83">
        <v>1</v>
      </c>
      <c r="F170" s="157">
        <f t="shared" si="116"/>
        <v>5283.6</v>
      </c>
      <c r="G170" s="157">
        <v>0</v>
      </c>
      <c r="H170" s="189">
        <f>E170*D170*28+D170*E170*15</f>
        <v>3070.2000000000003</v>
      </c>
      <c r="I170" s="157">
        <f t="shared" si="119"/>
        <v>2213.4</v>
      </c>
      <c r="J170" s="157">
        <v>0</v>
      </c>
      <c r="K170" s="157">
        <v>0</v>
      </c>
      <c r="L170" s="157">
        <v>0</v>
      </c>
      <c r="M170" s="157">
        <v>0</v>
      </c>
      <c r="N170" s="157">
        <v>0</v>
      </c>
      <c r="O170" s="157">
        <v>0</v>
      </c>
      <c r="P170" s="157">
        <v>0</v>
      </c>
      <c r="Q170" s="157">
        <v>0</v>
      </c>
      <c r="R170" s="158">
        <v>0</v>
      </c>
      <c r="S170" s="210">
        <f>15+28+31</f>
        <v>74</v>
      </c>
    </row>
    <row r="171" spans="1:22" s="164" customFormat="1" x14ac:dyDescent="0.25">
      <c r="A171" s="159"/>
      <c r="B171" s="160">
        <v>8</v>
      </c>
      <c r="C171" s="329" t="s">
        <v>30</v>
      </c>
      <c r="D171" s="162">
        <v>71.400000000000006</v>
      </c>
      <c r="E171" s="83">
        <v>4</v>
      </c>
      <c r="F171" s="157">
        <f t="shared" ref="F171" si="124">+E171*S171*D171</f>
        <v>21134.400000000001</v>
      </c>
      <c r="G171" s="157">
        <v>0</v>
      </c>
      <c r="H171" s="189">
        <f>E171*D171*28+D171*E171*15</f>
        <v>12280.800000000001</v>
      </c>
      <c r="I171" s="157">
        <f t="shared" si="119"/>
        <v>8853.6</v>
      </c>
      <c r="J171" s="157">
        <v>0</v>
      </c>
      <c r="K171" s="157">
        <v>0</v>
      </c>
      <c r="L171" s="157">
        <v>0</v>
      </c>
      <c r="M171" s="157">
        <v>0</v>
      </c>
      <c r="N171" s="157">
        <v>0</v>
      </c>
      <c r="O171" s="157">
        <v>0</v>
      </c>
      <c r="P171" s="157">
        <v>0</v>
      </c>
      <c r="Q171" s="157">
        <v>0</v>
      </c>
      <c r="R171" s="158">
        <v>0</v>
      </c>
      <c r="S171" s="210">
        <f>15+28+31</f>
        <v>74</v>
      </c>
    </row>
    <row r="172" spans="1:22" s="164" customFormat="1" x14ac:dyDescent="0.25">
      <c r="A172" s="159"/>
      <c r="B172" s="160">
        <v>5</v>
      </c>
      <c r="C172" s="161" t="s">
        <v>31</v>
      </c>
      <c r="D172" s="162">
        <v>72.540000000000006</v>
      </c>
      <c r="E172" s="83">
        <v>1</v>
      </c>
      <c r="F172" s="157">
        <f t="shared" si="116"/>
        <v>6528.6</v>
      </c>
      <c r="G172" s="157">
        <f t="shared" si="117"/>
        <v>2248.7400000000002</v>
      </c>
      <c r="H172" s="189">
        <f t="shared" si="118"/>
        <v>2031.1200000000001</v>
      </c>
      <c r="I172" s="157">
        <f t="shared" si="119"/>
        <v>2248.7400000000002</v>
      </c>
      <c r="J172" s="157">
        <v>0</v>
      </c>
      <c r="K172" s="157">
        <v>0</v>
      </c>
      <c r="L172" s="157">
        <v>0</v>
      </c>
      <c r="M172" s="157">
        <v>0</v>
      </c>
      <c r="N172" s="157">
        <v>0</v>
      </c>
      <c r="O172" s="157">
        <v>0</v>
      </c>
      <c r="P172" s="157">
        <v>0</v>
      </c>
      <c r="Q172" s="157">
        <v>0</v>
      </c>
      <c r="R172" s="158">
        <v>0</v>
      </c>
      <c r="S172" s="210">
        <f t="shared" si="120"/>
        <v>90</v>
      </c>
    </row>
    <row r="173" spans="1:22" s="164" customFormat="1" x14ac:dyDescent="0.25">
      <c r="A173" s="159"/>
      <c r="B173" s="160">
        <v>6</v>
      </c>
      <c r="C173" s="161" t="s">
        <v>54</v>
      </c>
      <c r="D173" s="162">
        <v>71.400000000000006</v>
      </c>
      <c r="E173" s="83">
        <v>3</v>
      </c>
      <c r="F173" s="157">
        <f t="shared" si="116"/>
        <v>19278</v>
      </c>
      <c r="G173" s="157">
        <f>E173*D173*31</f>
        <v>6640.2000000000007</v>
      </c>
      <c r="H173" s="189">
        <f>E173*D173*28</f>
        <v>5997.6</v>
      </c>
      <c r="I173" s="157">
        <f>E173*D173*31</f>
        <v>6640.2000000000007</v>
      </c>
      <c r="J173" s="157">
        <v>0</v>
      </c>
      <c r="K173" s="157">
        <v>0</v>
      </c>
      <c r="L173" s="157">
        <v>0</v>
      </c>
      <c r="M173" s="157">
        <v>0</v>
      </c>
      <c r="N173" s="157">
        <v>0</v>
      </c>
      <c r="O173" s="157">
        <v>0</v>
      </c>
      <c r="P173" s="157">
        <v>0</v>
      </c>
      <c r="Q173" s="157">
        <v>0</v>
      </c>
      <c r="R173" s="158">
        <v>0</v>
      </c>
      <c r="S173" s="210">
        <f t="shared" si="120"/>
        <v>90</v>
      </c>
    </row>
    <row r="174" spans="1:22" s="164" customFormat="1" x14ac:dyDescent="0.25">
      <c r="A174" s="159"/>
      <c r="B174" s="160"/>
      <c r="C174" s="161" t="s">
        <v>39</v>
      </c>
      <c r="D174" s="162"/>
      <c r="E174" s="83"/>
      <c r="F174" s="157">
        <f>316185-SUM(F165:F173)-50000</f>
        <v>93023.199999999983</v>
      </c>
      <c r="G174" s="188"/>
      <c r="H174" s="189"/>
      <c r="I174" s="157"/>
      <c r="J174" s="157"/>
      <c r="K174" s="157"/>
      <c r="L174" s="157"/>
      <c r="M174" s="157"/>
      <c r="N174" s="157"/>
      <c r="O174" s="157"/>
      <c r="P174" s="157"/>
      <c r="Q174" s="157"/>
      <c r="R174" s="158">
        <f>F174</f>
        <v>93023.199999999983</v>
      </c>
      <c r="S174" s="210"/>
    </row>
    <row r="175" spans="1:22" s="164" customFormat="1" x14ac:dyDescent="0.25">
      <c r="A175" s="159"/>
      <c r="B175" s="160"/>
      <c r="C175" s="161"/>
      <c r="D175" s="162"/>
      <c r="E175" s="83"/>
      <c r="F175" s="157"/>
      <c r="G175" s="157"/>
      <c r="H175" s="189"/>
      <c r="I175" s="157"/>
      <c r="J175" s="157"/>
      <c r="K175" s="157"/>
      <c r="L175" s="157"/>
      <c r="M175" s="157"/>
      <c r="N175" s="157"/>
      <c r="O175" s="157"/>
      <c r="P175" s="157"/>
      <c r="Q175" s="157"/>
      <c r="R175" s="158"/>
      <c r="S175" s="210"/>
    </row>
    <row r="176" spans="1:22" ht="28.9" customHeight="1" x14ac:dyDescent="0.25">
      <c r="A176" s="41"/>
      <c r="B176" s="80"/>
      <c r="C176" s="376" t="s">
        <v>117</v>
      </c>
      <c r="D176" s="376"/>
      <c r="E176" s="169">
        <f>SUM(E177:E177)</f>
        <v>1</v>
      </c>
      <c r="F176" s="121">
        <f>SUM(F177:F178)</f>
        <v>26061</v>
      </c>
      <c r="G176" s="121">
        <f t="shared" ref="G176:Q176" si="125">SUM(G177:G178)</f>
        <v>2213.4</v>
      </c>
      <c r="H176" s="121">
        <f t="shared" si="125"/>
        <v>1999.2000000000003</v>
      </c>
      <c r="I176" s="121">
        <f t="shared" si="125"/>
        <v>2213.4</v>
      </c>
      <c r="J176" s="121">
        <f t="shared" si="125"/>
        <v>2142</v>
      </c>
      <c r="K176" s="121">
        <f t="shared" si="125"/>
        <v>2213.4</v>
      </c>
      <c r="L176" s="121">
        <f t="shared" si="125"/>
        <v>2142</v>
      </c>
      <c r="M176" s="121">
        <f t="shared" si="125"/>
        <v>2213.4</v>
      </c>
      <c r="N176" s="121">
        <f t="shared" si="125"/>
        <v>0</v>
      </c>
      <c r="O176" s="121">
        <f t="shared" si="125"/>
        <v>0</v>
      </c>
      <c r="P176" s="121">
        <f t="shared" si="125"/>
        <v>0</v>
      </c>
      <c r="Q176" s="121">
        <f t="shared" si="125"/>
        <v>0</v>
      </c>
      <c r="R176" s="122">
        <f>SUM(R177:R178)</f>
        <v>10924.199999999999</v>
      </c>
      <c r="S176" s="326">
        <f>F176-SUM(G176:R176)</f>
        <v>0</v>
      </c>
    </row>
    <row r="177" spans="1:19" x14ac:dyDescent="0.25">
      <c r="A177" s="41"/>
      <c r="B177" s="80">
        <v>1</v>
      </c>
      <c r="C177" s="81" t="s">
        <v>30</v>
      </c>
      <c r="D177" s="82">
        <v>71.400000000000006</v>
      </c>
      <c r="E177" s="83">
        <v>1</v>
      </c>
      <c r="F177" s="85">
        <f>+E177*S177*D177</f>
        <v>15136.800000000001</v>
      </c>
      <c r="G177" s="85">
        <f>E177*D177*31</f>
        <v>2213.4</v>
      </c>
      <c r="H177" s="86">
        <f>E177*D177*28</f>
        <v>1999.2000000000003</v>
      </c>
      <c r="I177" s="85">
        <f>E177*D177*31</f>
        <v>2213.4</v>
      </c>
      <c r="J177" s="85">
        <f>E177*D177*30</f>
        <v>2142</v>
      </c>
      <c r="K177" s="85">
        <f>E177*D177*31</f>
        <v>2213.4</v>
      </c>
      <c r="L177" s="85">
        <f>E177*D177*30</f>
        <v>2142</v>
      </c>
      <c r="M177" s="85">
        <f>E177*D177*31</f>
        <v>2213.4</v>
      </c>
      <c r="N177" s="85">
        <v>0</v>
      </c>
      <c r="O177" s="85">
        <v>0</v>
      </c>
      <c r="P177" s="85">
        <v>0</v>
      </c>
      <c r="Q177" s="85">
        <v>0</v>
      </c>
      <c r="R177" s="87">
        <v>0</v>
      </c>
      <c r="S177" s="2">
        <v>212</v>
      </c>
    </row>
    <row r="178" spans="1:19" x14ac:dyDescent="0.25">
      <c r="A178" s="41"/>
      <c r="B178" s="80"/>
      <c r="C178" s="81" t="s">
        <v>39</v>
      </c>
      <c r="D178" s="82"/>
      <c r="E178" s="83"/>
      <c r="F178" s="157">
        <f>26061-F177</f>
        <v>10924.199999999999</v>
      </c>
      <c r="G178" s="118"/>
      <c r="H178" s="86"/>
      <c r="I178" s="85"/>
      <c r="J178" s="85"/>
      <c r="K178" s="85"/>
      <c r="L178" s="85"/>
      <c r="M178" s="85"/>
      <c r="N178" s="85"/>
      <c r="O178" s="85"/>
      <c r="P178" s="85"/>
      <c r="Q178" s="85"/>
      <c r="R178" s="87">
        <f>F178</f>
        <v>10924.199999999999</v>
      </c>
    </row>
    <row r="179" spans="1:19" x14ac:dyDescent="0.25">
      <c r="A179" s="41"/>
      <c r="B179" s="80"/>
      <c r="C179" s="81"/>
      <c r="D179" s="82"/>
      <c r="E179" s="83"/>
      <c r="F179" s="85"/>
      <c r="G179" s="85"/>
      <c r="H179" s="86"/>
      <c r="I179" s="85"/>
      <c r="J179" s="85"/>
      <c r="K179" s="85"/>
      <c r="L179" s="85"/>
      <c r="M179" s="85"/>
      <c r="N179" s="85"/>
      <c r="O179" s="85"/>
      <c r="P179" s="85"/>
      <c r="Q179" s="85"/>
      <c r="R179" s="87"/>
    </row>
    <row r="180" spans="1:19" ht="33" customHeight="1" x14ac:dyDescent="0.25">
      <c r="A180" s="41"/>
      <c r="B180" s="80"/>
      <c r="C180" s="376" t="s">
        <v>118</v>
      </c>
      <c r="D180" s="376"/>
      <c r="E180" s="169">
        <f>SUM(E181:E181)</f>
        <v>1</v>
      </c>
      <c r="F180" s="121">
        <f>SUM(F181:F182)</f>
        <v>26061</v>
      </c>
      <c r="G180" s="121">
        <f t="shared" ref="G180:Q180" si="126">SUM(G181:G183)</f>
        <v>2213.4</v>
      </c>
      <c r="H180" s="121">
        <f t="shared" si="126"/>
        <v>1999.2000000000003</v>
      </c>
      <c r="I180" s="121">
        <f t="shared" si="126"/>
        <v>2213.4</v>
      </c>
      <c r="J180" s="121">
        <f t="shared" si="126"/>
        <v>2142</v>
      </c>
      <c r="K180" s="121">
        <f t="shared" si="126"/>
        <v>2213.4</v>
      </c>
      <c r="L180" s="121">
        <f t="shared" si="126"/>
        <v>2142</v>
      </c>
      <c r="M180" s="121">
        <f t="shared" si="126"/>
        <v>2213.4</v>
      </c>
      <c r="N180" s="121">
        <f t="shared" si="126"/>
        <v>0</v>
      </c>
      <c r="O180" s="121">
        <f t="shared" si="126"/>
        <v>0</v>
      </c>
      <c r="P180" s="121">
        <f t="shared" si="126"/>
        <v>0</v>
      </c>
      <c r="Q180" s="121">
        <f t="shared" si="126"/>
        <v>0</v>
      </c>
      <c r="R180" s="122">
        <f>SUM(R181:R182)</f>
        <v>10924.199999999999</v>
      </c>
      <c r="S180" s="326">
        <f>F180-SUM(G180:R180)</f>
        <v>0</v>
      </c>
    </row>
    <row r="181" spans="1:19" x14ac:dyDescent="0.25">
      <c r="A181" s="41"/>
      <c r="B181" s="80">
        <v>1</v>
      </c>
      <c r="C181" s="81" t="s">
        <v>48</v>
      </c>
      <c r="D181" s="82">
        <v>71.400000000000006</v>
      </c>
      <c r="E181" s="83">
        <v>1</v>
      </c>
      <c r="F181" s="85">
        <f>+E181*S181*D181</f>
        <v>15136.800000000001</v>
      </c>
      <c r="G181" s="85">
        <f>E181*D181*31</f>
        <v>2213.4</v>
      </c>
      <c r="H181" s="86">
        <f>E181*D181*28</f>
        <v>1999.2000000000003</v>
      </c>
      <c r="I181" s="85">
        <f>E181*D181*31</f>
        <v>2213.4</v>
      </c>
      <c r="J181" s="85">
        <f>E181*D181*30</f>
        <v>2142</v>
      </c>
      <c r="K181" s="85">
        <f>E181*D181*31</f>
        <v>2213.4</v>
      </c>
      <c r="L181" s="85">
        <f>E181*D181*30</f>
        <v>2142</v>
      </c>
      <c r="M181" s="85">
        <f>E181*D181*31</f>
        <v>2213.4</v>
      </c>
      <c r="N181" s="85">
        <v>0</v>
      </c>
      <c r="O181" s="85">
        <v>0</v>
      </c>
      <c r="P181" s="85">
        <v>0</v>
      </c>
      <c r="Q181" s="85">
        <v>0</v>
      </c>
      <c r="R181" s="87">
        <v>0</v>
      </c>
      <c r="S181" s="2">
        <v>212</v>
      </c>
    </row>
    <row r="182" spans="1:19" x14ac:dyDescent="0.25">
      <c r="A182" s="41"/>
      <c r="B182" s="80"/>
      <c r="C182" s="81" t="s">
        <v>39</v>
      </c>
      <c r="D182" s="82"/>
      <c r="E182" s="83"/>
      <c r="F182" s="157">
        <f>26061-F181</f>
        <v>10924.199999999999</v>
      </c>
      <c r="G182" s="118"/>
      <c r="H182" s="86"/>
      <c r="I182" s="85"/>
      <c r="J182" s="85"/>
      <c r="K182" s="85"/>
      <c r="L182" s="85"/>
      <c r="M182" s="85"/>
      <c r="N182" s="85"/>
      <c r="O182" s="85"/>
      <c r="P182" s="85"/>
      <c r="Q182" s="85"/>
      <c r="R182" s="87">
        <f>F182</f>
        <v>10924.199999999999</v>
      </c>
    </row>
    <row r="183" spans="1:19" x14ac:dyDescent="0.25">
      <c r="A183" s="41"/>
      <c r="B183" s="80"/>
      <c r="C183" s="81"/>
      <c r="D183" s="82"/>
      <c r="E183" s="83"/>
      <c r="F183" s="85"/>
      <c r="G183" s="85"/>
      <c r="H183" s="86"/>
      <c r="I183" s="85"/>
      <c r="J183" s="85"/>
      <c r="K183" s="85"/>
      <c r="L183" s="85"/>
      <c r="M183" s="85"/>
      <c r="N183" s="85"/>
      <c r="O183" s="85"/>
      <c r="P183" s="85"/>
      <c r="Q183" s="85"/>
      <c r="R183" s="87"/>
    </row>
    <row r="184" spans="1:19" ht="31.15" customHeight="1" x14ac:dyDescent="0.25">
      <c r="A184" s="41"/>
      <c r="B184" s="80"/>
      <c r="C184" s="376" t="s">
        <v>119</v>
      </c>
      <c r="D184" s="376"/>
      <c r="E184" s="169">
        <f>SUM(E185:E185)</f>
        <v>1</v>
      </c>
      <c r="F184" s="121">
        <f t="shared" ref="F184:Q184" si="127">SUM(F185:F186)</f>
        <v>26061</v>
      </c>
      <c r="G184" s="121">
        <f t="shared" si="127"/>
        <v>2213.4</v>
      </c>
      <c r="H184" s="121">
        <f t="shared" si="127"/>
        <v>1999.2000000000003</v>
      </c>
      <c r="I184" s="121">
        <f t="shared" si="127"/>
        <v>2213.4</v>
      </c>
      <c r="J184" s="121">
        <f t="shared" si="127"/>
        <v>2142</v>
      </c>
      <c r="K184" s="121">
        <f>SUM(K185:K186)</f>
        <v>2213.4</v>
      </c>
      <c r="L184" s="121">
        <f t="shared" si="127"/>
        <v>2142</v>
      </c>
      <c r="M184" s="121">
        <f t="shared" si="127"/>
        <v>2213.4</v>
      </c>
      <c r="N184" s="121">
        <f t="shared" si="127"/>
        <v>0</v>
      </c>
      <c r="O184" s="121">
        <f t="shared" si="127"/>
        <v>0</v>
      </c>
      <c r="P184" s="121">
        <f t="shared" si="127"/>
        <v>0</v>
      </c>
      <c r="Q184" s="121">
        <f t="shared" si="127"/>
        <v>0</v>
      </c>
      <c r="R184" s="122">
        <f>SUM(R185:R186)</f>
        <v>10924.199999999999</v>
      </c>
      <c r="S184" s="326">
        <f>F184-SUM(G184:R184)</f>
        <v>0</v>
      </c>
    </row>
    <row r="185" spans="1:19" x14ac:dyDescent="0.25">
      <c r="A185" s="41"/>
      <c r="B185" s="80">
        <v>1</v>
      </c>
      <c r="C185" s="81" t="s">
        <v>30</v>
      </c>
      <c r="D185" s="82">
        <v>71.400000000000006</v>
      </c>
      <c r="E185" s="83">
        <v>1</v>
      </c>
      <c r="F185" s="85">
        <f>+E185*S185*D185</f>
        <v>15136.800000000001</v>
      </c>
      <c r="G185" s="85">
        <f>E185*D185*31</f>
        <v>2213.4</v>
      </c>
      <c r="H185" s="86">
        <f>E185*D185*28</f>
        <v>1999.2000000000003</v>
      </c>
      <c r="I185" s="85">
        <f>E185*D185*31</f>
        <v>2213.4</v>
      </c>
      <c r="J185" s="85">
        <f>E185*D185*30</f>
        <v>2142</v>
      </c>
      <c r="K185" s="85">
        <f>E185*D185*31</f>
        <v>2213.4</v>
      </c>
      <c r="L185" s="85">
        <f>E185*D185*30</f>
        <v>2142</v>
      </c>
      <c r="M185" s="85">
        <f>E185*D185*31</f>
        <v>2213.4</v>
      </c>
      <c r="N185" s="85">
        <v>0</v>
      </c>
      <c r="O185" s="85">
        <v>0</v>
      </c>
      <c r="P185" s="85">
        <v>0</v>
      </c>
      <c r="Q185" s="85">
        <v>0</v>
      </c>
      <c r="R185" s="87">
        <v>0</v>
      </c>
      <c r="S185" s="2">
        <v>212</v>
      </c>
    </row>
    <row r="186" spans="1:19" x14ac:dyDescent="0.25">
      <c r="A186" s="41"/>
      <c r="B186" s="80"/>
      <c r="C186" s="81" t="s">
        <v>39</v>
      </c>
      <c r="D186" s="82"/>
      <c r="E186" s="83"/>
      <c r="F186" s="157">
        <f>26061-F185</f>
        <v>10924.199999999999</v>
      </c>
      <c r="G186" s="118"/>
      <c r="H186" s="86"/>
      <c r="I186" s="85"/>
      <c r="J186" s="85"/>
      <c r="K186" s="85"/>
      <c r="L186" s="85"/>
      <c r="M186" s="85"/>
      <c r="N186" s="85"/>
      <c r="O186" s="85"/>
      <c r="P186" s="85"/>
      <c r="Q186" s="85"/>
      <c r="R186" s="87">
        <f>F186</f>
        <v>10924.199999999999</v>
      </c>
    </row>
    <row r="187" spans="1:19" x14ac:dyDescent="0.25">
      <c r="A187" s="41"/>
      <c r="B187" s="80"/>
      <c r="C187" s="81"/>
      <c r="D187" s="82"/>
      <c r="E187" s="83"/>
      <c r="F187" s="85"/>
      <c r="G187" s="85"/>
      <c r="H187" s="86"/>
      <c r="I187" s="85"/>
      <c r="J187" s="85"/>
      <c r="K187" s="85"/>
      <c r="L187" s="85"/>
      <c r="M187" s="85"/>
      <c r="N187" s="85"/>
      <c r="O187" s="85"/>
      <c r="P187" s="85"/>
      <c r="Q187" s="85"/>
      <c r="R187" s="87"/>
    </row>
    <row r="188" spans="1:19" ht="35.450000000000003" customHeight="1" x14ac:dyDescent="0.25">
      <c r="A188" s="41"/>
      <c r="B188" s="80"/>
      <c r="C188" s="376" t="s">
        <v>120</v>
      </c>
      <c r="D188" s="376"/>
      <c r="E188" s="169">
        <f>SUM(E190:E194)</f>
        <v>5</v>
      </c>
      <c r="F188" s="121">
        <f>SUM(F190:F195)</f>
        <v>104244</v>
      </c>
      <c r="G188" s="121">
        <f t="shared" ref="G188:Q188" si="128">SUM(G190:G195)</f>
        <v>8853.6</v>
      </c>
      <c r="H188" s="121">
        <f t="shared" si="128"/>
        <v>11067.000000000002</v>
      </c>
      <c r="I188" s="121">
        <f t="shared" si="128"/>
        <v>11067</v>
      </c>
      <c r="J188" s="121">
        <f t="shared" si="128"/>
        <v>8568</v>
      </c>
      <c r="K188" s="121">
        <f t="shared" si="128"/>
        <v>8853.6</v>
      </c>
      <c r="L188" s="121">
        <f t="shared" si="128"/>
        <v>8568</v>
      </c>
      <c r="M188" s="121">
        <f t="shared" si="128"/>
        <v>8853.6</v>
      </c>
      <c r="N188" s="121">
        <f t="shared" si="128"/>
        <v>0</v>
      </c>
      <c r="O188" s="121">
        <f t="shared" si="128"/>
        <v>0</v>
      </c>
      <c r="P188" s="121">
        <f t="shared" si="128"/>
        <v>0</v>
      </c>
      <c r="Q188" s="121">
        <f t="shared" si="128"/>
        <v>0</v>
      </c>
      <c r="R188" s="122">
        <f>SUM(R190:R195)</f>
        <v>38413.199999999997</v>
      </c>
      <c r="S188" s="326">
        <f>F188-SUM(G188:R188)</f>
        <v>0</v>
      </c>
    </row>
    <row r="189" spans="1:19" ht="14.25" customHeight="1" x14ac:dyDescent="0.25">
      <c r="A189" s="41"/>
      <c r="B189" s="374"/>
      <c r="C189" s="374"/>
      <c r="D189" s="375"/>
      <c r="E189" s="75" t="s">
        <v>29</v>
      </c>
      <c r="F189" s="146">
        <v>0</v>
      </c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2"/>
    </row>
    <row r="190" spans="1:19" ht="18.75" customHeight="1" x14ac:dyDescent="0.25">
      <c r="A190" s="41"/>
      <c r="B190" s="80">
        <v>1</v>
      </c>
      <c r="C190" s="81" t="s">
        <v>30</v>
      </c>
      <c r="D190" s="82">
        <v>71.400000000000006</v>
      </c>
      <c r="E190" s="83">
        <v>1</v>
      </c>
      <c r="F190" s="85">
        <f>+E190*S190*D190</f>
        <v>15136.800000000001</v>
      </c>
      <c r="G190" s="85">
        <f>E190*D190*31</f>
        <v>2213.4</v>
      </c>
      <c r="H190" s="86">
        <f>E190*D190*28</f>
        <v>1999.2000000000003</v>
      </c>
      <c r="I190" s="85">
        <f>E190*D190*31</f>
        <v>2213.4</v>
      </c>
      <c r="J190" s="85">
        <f>E190*D190*30</f>
        <v>2142</v>
      </c>
      <c r="K190" s="85">
        <f>E190*D190*31</f>
        <v>2213.4</v>
      </c>
      <c r="L190" s="85">
        <f>E190*D190*30</f>
        <v>2142</v>
      </c>
      <c r="M190" s="85">
        <f>E190*D190*31</f>
        <v>2213.4</v>
      </c>
      <c r="N190" s="85">
        <v>0</v>
      </c>
      <c r="O190" s="85">
        <v>0</v>
      </c>
      <c r="P190" s="85">
        <v>0</v>
      </c>
      <c r="Q190" s="85">
        <v>0</v>
      </c>
      <c r="R190" s="87">
        <v>0</v>
      </c>
      <c r="S190" s="2">
        <v>212</v>
      </c>
    </row>
    <row r="191" spans="1:19" x14ac:dyDescent="0.25">
      <c r="A191" s="41"/>
      <c r="B191" s="80">
        <v>2</v>
      </c>
      <c r="C191" s="81" t="s">
        <v>33</v>
      </c>
      <c r="D191" s="82">
        <v>71.400000000000006</v>
      </c>
      <c r="E191" s="83">
        <v>1</v>
      </c>
      <c r="F191" s="85">
        <f>+E191*S191*D191</f>
        <v>15136.800000000001</v>
      </c>
      <c r="G191" s="85">
        <f>E191*D191*31</f>
        <v>2213.4</v>
      </c>
      <c r="H191" s="86">
        <f>E191*D191*28</f>
        <v>1999.2000000000003</v>
      </c>
      <c r="I191" s="85">
        <f>E191*D191*31</f>
        <v>2213.4</v>
      </c>
      <c r="J191" s="85">
        <f>E191*D191*30</f>
        <v>2142</v>
      </c>
      <c r="K191" s="85">
        <f>E191*D191*31</f>
        <v>2213.4</v>
      </c>
      <c r="L191" s="85">
        <f>E191*D191*30</f>
        <v>2142</v>
      </c>
      <c r="M191" s="85">
        <f>E191*D191*31</f>
        <v>2213.4</v>
      </c>
      <c r="N191" s="85">
        <v>0</v>
      </c>
      <c r="O191" s="85">
        <v>0</v>
      </c>
      <c r="P191" s="85">
        <v>0</v>
      </c>
      <c r="Q191" s="85">
        <v>0</v>
      </c>
      <c r="R191" s="87">
        <v>0</v>
      </c>
      <c r="S191" s="2">
        <v>212</v>
      </c>
    </row>
    <row r="192" spans="1:19" x14ac:dyDescent="0.25">
      <c r="A192" s="41"/>
      <c r="B192" s="80">
        <v>3</v>
      </c>
      <c r="C192" s="81" t="s">
        <v>62</v>
      </c>
      <c r="D192" s="82">
        <v>71.400000000000006</v>
      </c>
      <c r="E192" s="83">
        <v>1</v>
      </c>
      <c r="F192" s="85">
        <f>+E192*S192*D192</f>
        <v>15136.800000000001</v>
      </c>
      <c r="G192" s="85">
        <f>E192*D192*31</f>
        <v>2213.4</v>
      </c>
      <c r="H192" s="86">
        <f>E192*D192*28</f>
        <v>1999.2000000000003</v>
      </c>
      <c r="I192" s="85">
        <f>E192*D192*31</f>
        <v>2213.4</v>
      </c>
      <c r="J192" s="85">
        <f>E192*D192*30</f>
        <v>2142</v>
      </c>
      <c r="K192" s="85">
        <f>E192*D192*31</f>
        <v>2213.4</v>
      </c>
      <c r="L192" s="85">
        <f>E192*D192*30</f>
        <v>2142</v>
      </c>
      <c r="M192" s="85">
        <f>E192*D192*31</f>
        <v>2213.4</v>
      </c>
      <c r="N192" s="85">
        <v>0</v>
      </c>
      <c r="O192" s="85">
        <v>0</v>
      </c>
      <c r="P192" s="85">
        <v>0</v>
      </c>
      <c r="Q192" s="85">
        <v>0</v>
      </c>
      <c r="R192" s="87">
        <v>0</v>
      </c>
      <c r="S192" s="2">
        <v>212</v>
      </c>
    </row>
    <row r="193" spans="1:22" x14ac:dyDescent="0.25">
      <c r="A193" s="41"/>
      <c r="B193" s="331">
        <v>5</v>
      </c>
      <c r="C193" s="330" t="s">
        <v>33</v>
      </c>
      <c r="D193" s="82">
        <v>71.400000000000006</v>
      </c>
      <c r="E193" s="83">
        <v>1</v>
      </c>
      <c r="F193" s="85">
        <f>+E193*S193*D193</f>
        <v>5283.6</v>
      </c>
      <c r="G193" s="85">
        <v>0</v>
      </c>
      <c r="H193" s="86">
        <f>E193*D193*28+D193*E193*15</f>
        <v>3070.2000000000003</v>
      </c>
      <c r="I193" s="85">
        <f>E193*D193*31</f>
        <v>2213.4</v>
      </c>
      <c r="J193" s="85">
        <v>0</v>
      </c>
      <c r="K193" s="85">
        <v>0</v>
      </c>
      <c r="L193" s="85">
        <v>0</v>
      </c>
      <c r="M193" s="85">
        <v>0</v>
      </c>
      <c r="N193" s="85">
        <v>0</v>
      </c>
      <c r="O193" s="85"/>
      <c r="P193" s="85">
        <v>0</v>
      </c>
      <c r="Q193" s="85">
        <v>0</v>
      </c>
      <c r="R193" s="87">
        <v>0</v>
      </c>
      <c r="S193" s="2">
        <f>15+28+31</f>
        <v>74</v>
      </c>
    </row>
    <row r="194" spans="1:22" x14ac:dyDescent="0.25">
      <c r="A194" s="41"/>
      <c r="B194" s="80">
        <v>4</v>
      </c>
      <c r="C194" s="81" t="s">
        <v>54</v>
      </c>
      <c r="D194" s="82">
        <v>71.400000000000006</v>
      </c>
      <c r="E194" s="83">
        <v>1</v>
      </c>
      <c r="F194" s="85">
        <f>+E194*S194*D194</f>
        <v>15136.800000000001</v>
      </c>
      <c r="G194" s="85">
        <f>E194*D194*31</f>
        <v>2213.4</v>
      </c>
      <c r="H194" s="86">
        <f>E194*D194*28</f>
        <v>1999.2000000000003</v>
      </c>
      <c r="I194" s="85">
        <f>E194*D194*31</f>
        <v>2213.4</v>
      </c>
      <c r="J194" s="85">
        <f>E194*D194*30</f>
        <v>2142</v>
      </c>
      <c r="K194" s="85">
        <f>E194*D194*31</f>
        <v>2213.4</v>
      </c>
      <c r="L194" s="85">
        <f>E194*D194*30</f>
        <v>2142</v>
      </c>
      <c r="M194" s="85">
        <f>E194*D194*31</f>
        <v>2213.4</v>
      </c>
      <c r="N194" s="85">
        <v>0</v>
      </c>
      <c r="O194" s="85">
        <v>0</v>
      </c>
      <c r="P194" s="85">
        <v>0</v>
      </c>
      <c r="Q194" s="85">
        <v>0</v>
      </c>
      <c r="R194" s="87">
        <v>0</v>
      </c>
      <c r="S194" s="2">
        <v>212</v>
      </c>
    </row>
    <row r="195" spans="1:22" x14ac:dyDescent="0.25">
      <c r="A195" s="41"/>
      <c r="B195" s="80"/>
      <c r="C195" s="81" t="s">
        <v>39</v>
      </c>
      <c r="D195" s="82"/>
      <c r="E195" s="83"/>
      <c r="F195" s="85">
        <f>104244-SUM(F190:F194)</f>
        <v>38413.199999999997</v>
      </c>
      <c r="G195" s="85"/>
      <c r="H195" s="86"/>
      <c r="I195" s="85"/>
      <c r="J195" s="85"/>
      <c r="K195" s="85"/>
      <c r="L195" s="85"/>
      <c r="M195" s="85"/>
      <c r="N195" s="85"/>
      <c r="O195" s="85"/>
      <c r="P195" s="85"/>
      <c r="Q195" s="85"/>
      <c r="R195" s="87">
        <f>F195</f>
        <v>38413.199999999997</v>
      </c>
    </row>
    <row r="196" spans="1:22" x14ac:dyDescent="0.25">
      <c r="A196" s="41"/>
      <c r="B196" s="80"/>
      <c r="C196" s="81"/>
      <c r="D196" s="82"/>
      <c r="E196" s="83"/>
      <c r="F196" s="85"/>
      <c r="G196" s="85"/>
      <c r="H196" s="86"/>
      <c r="I196" s="85"/>
      <c r="J196" s="85"/>
      <c r="K196" s="85"/>
      <c r="L196" s="85"/>
      <c r="M196" s="85"/>
      <c r="N196" s="85"/>
      <c r="O196" s="85"/>
      <c r="P196" s="85"/>
      <c r="Q196" s="85"/>
      <c r="R196" s="87"/>
    </row>
    <row r="197" spans="1:22" ht="35.25" customHeight="1" x14ac:dyDescent="0.25">
      <c r="A197" s="41"/>
      <c r="B197" s="80"/>
      <c r="C197" s="376" t="s">
        <v>121</v>
      </c>
      <c r="D197" s="376"/>
      <c r="E197" s="169">
        <f>SUM(E199:E200)</f>
        <v>4</v>
      </c>
      <c r="F197" s="121">
        <f>SUM(F199:F201)</f>
        <v>104661</v>
      </c>
      <c r="G197" s="121">
        <f t="shared" ref="G197:Q197" si="129">SUM(G199:G201)</f>
        <v>8888.94</v>
      </c>
      <c r="H197" s="121">
        <f t="shared" si="129"/>
        <v>8028.72</v>
      </c>
      <c r="I197" s="121">
        <f t="shared" si="129"/>
        <v>8888.94</v>
      </c>
      <c r="J197" s="121">
        <f t="shared" si="129"/>
        <v>8602.2000000000007</v>
      </c>
      <c r="K197" s="121">
        <f t="shared" si="129"/>
        <v>8888.94</v>
      </c>
      <c r="L197" s="121">
        <f t="shared" si="129"/>
        <v>8602.2000000000007</v>
      </c>
      <c r="M197" s="121">
        <f t="shared" si="129"/>
        <v>8888.94</v>
      </c>
      <c r="N197" s="121">
        <f t="shared" si="129"/>
        <v>0</v>
      </c>
      <c r="O197" s="121">
        <f t="shared" si="129"/>
        <v>0</v>
      </c>
      <c r="P197" s="121">
        <f t="shared" si="129"/>
        <v>0</v>
      </c>
      <c r="Q197" s="121">
        <f t="shared" si="129"/>
        <v>0</v>
      </c>
      <c r="R197" s="216">
        <f>SUM(R199:R201)</f>
        <v>43872.119999999995</v>
      </c>
      <c r="S197" s="326">
        <f>F197-SUM(G197:R197)</f>
        <v>0</v>
      </c>
    </row>
    <row r="198" spans="1:22" x14ac:dyDescent="0.25">
      <c r="A198" s="41"/>
      <c r="B198" s="80"/>
      <c r="C198" s="123"/>
      <c r="D198" s="123"/>
      <c r="E198" s="75" t="s">
        <v>29</v>
      </c>
      <c r="F198" s="146">
        <v>0</v>
      </c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7"/>
      <c r="S198" s="148"/>
      <c r="V198" s="149"/>
    </row>
    <row r="199" spans="1:22" x14ac:dyDescent="0.25">
      <c r="A199" s="41"/>
      <c r="B199" s="80">
        <v>1</v>
      </c>
      <c r="C199" s="81" t="s">
        <v>64</v>
      </c>
      <c r="D199" s="82">
        <v>72.540000000000006</v>
      </c>
      <c r="E199" s="83">
        <v>1</v>
      </c>
      <c r="F199" s="85">
        <f>+E199*S199*D199</f>
        <v>15378.480000000001</v>
      </c>
      <c r="G199" s="85">
        <f>E199*D199*31</f>
        <v>2248.7400000000002</v>
      </c>
      <c r="H199" s="86">
        <f>E199*D199*28</f>
        <v>2031.1200000000001</v>
      </c>
      <c r="I199" s="85">
        <f>E199*D199*31</f>
        <v>2248.7400000000002</v>
      </c>
      <c r="J199" s="85">
        <f>E199*D199*30</f>
        <v>2176.2000000000003</v>
      </c>
      <c r="K199" s="85">
        <f>E199*D199*31</f>
        <v>2248.7400000000002</v>
      </c>
      <c r="L199" s="85">
        <f>E199*D199*30</f>
        <v>2176.2000000000003</v>
      </c>
      <c r="M199" s="85">
        <f>E199*D199*31</f>
        <v>2248.7400000000002</v>
      </c>
      <c r="N199" s="85">
        <v>0</v>
      </c>
      <c r="O199" s="85">
        <v>0</v>
      </c>
      <c r="P199" s="85">
        <v>0</v>
      </c>
      <c r="Q199" s="85">
        <v>0</v>
      </c>
      <c r="R199" s="87">
        <v>0</v>
      </c>
      <c r="S199" s="2">
        <v>212</v>
      </c>
    </row>
    <row r="200" spans="1:22" x14ac:dyDescent="0.25">
      <c r="A200" s="41"/>
      <c r="B200" s="80">
        <v>2</v>
      </c>
      <c r="C200" s="81" t="s">
        <v>30</v>
      </c>
      <c r="D200" s="82">
        <v>71.400000000000006</v>
      </c>
      <c r="E200" s="83">
        <v>3</v>
      </c>
      <c r="F200" s="85">
        <f>+E200*S200*D200</f>
        <v>45410.400000000001</v>
      </c>
      <c r="G200" s="85">
        <f>E200*D200*31</f>
        <v>6640.2000000000007</v>
      </c>
      <c r="H200" s="86">
        <f>E200*D200*28</f>
        <v>5997.6</v>
      </c>
      <c r="I200" s="85">
        <f>E200*D200*31</f>
        <v>6640.2000000000007</v>
      </c>
      <c r="J200" s="85">
        <f>E200*D200*30</f>
        <v>6426.0000000000009</v>
      </c>
      <c r="K200" s="85">
        <f>E200*D200*31</f>
        <v>6640.2000000000007</v>
      </c>
      <c r="L200" s="85">
        <f>E200*D200*30</f>
        <v>6426.0000000000009</v>
      </c>
      <c r="M200" s="85">
        <f>E200*D200*31</f>
        <v>6640.2000000000007</v>
      </c>
      <c r="N200" s="85">
        <v>0</v>
      </c>
      <c r="O200" s="85">
        <v>0</v>
      </c>
      <c r="P200" s="85">
        <v>0</v>
      </c>
      <c r="Q200" s="85">
        <v>0</v>
      </c>
      <c r="R200" s="87">
        <v>0</v>
      </c>
      <c r="S200" s="2">
        <v>212</v>
      </c>
    </row>
    <row r="201" spans="1:22" ht="15.75" thickBot="1" x14ac:dyDescent="0.3">
      <c r="A201" s="41"/>
      <c r="B201" s="89"/>
      <c r="C201" s="90" t="s">
        <v>39</v>
      </c>
      <c r="D201" s="91"/>
      <c r="E201" s="217"/>
      <c r="F201" s="95">
        <f>104661-SUM(F199:F200)</f>
        <v>43872.119999999995</v>
      </c>
      <c r="G201" s="93"/>
      <c r="H201" s="115"/>
      <c r="I201" s="95"/>
      <c r="J201" s="95"/>
      <c r="K201" s="95"/>
      <c r="L201" s="95"/>
      <c r="M201" s="95"/>
      <c r="N201" s="95"/>
      <c r="O201" s="95"/>
      <c r="P201" s="95"/>
      <c r="Q201" s="95"/>
      <c r="R201" s="97">
        <f>F201</f>
        <v>43872.119999999995</v>
      </c>
    </row>
    <row r="202" spans="1:22" ht="47.25" customHeight="1" x14ac:dyDescent="0.25">
      <c r="A202" s="41"/>
      <c r="B202" s="192"/>
      <c r="C202" s="377" t="s">
        <v>65</v>
      </c>
      <c r="D202" s="378"/>
      <c r="E202" s="194"/>
      <c r="F202" s="195"/>
      <c r="G202" s="195"/>
      <c r="H202" s="196"/>
      <c r="I202" s="195"/>
      <c r="J202" s="195"/>
      <c r="K202" s="195"/>
      <c r="L202" s="195"/>
      <c r="M202" s="195"/>
      <c r="N202" s="195"/>
      <c r="O202" s="195"/>
      <c r="P202" s="195"/>
      <c r="Q202" s="195"/>
      <c r="R202" s="197"/>
      <c r="S202" s="25"/>
    </row>
    <row r="203" spans="1:22" ht="24.75" customHeight="1" thickBot="1" x14ac:dyDescent="0.3">
      <c r="A203" s="41"/>
      <c r="B203" s="134"/>
      <c r="C203" s="341" t="s">
        <v>122</v>
      </c>
      <c r="D203" s="341"/>
      <c r="E203" s="218">
        <f>SUM(E205:E215)</f>
        <v>33</v>
      </c>
      <c r="F203" s="219">
        <f>SUM(F205:F216)</f>
        <v>888962</v>
      </c>
      <c r="G203" s="219">
        <f t="shared" ref="G203:Q203" si="130">SUM(G205:G215)</f>
        <v>60753.8</v>
      </c>
      <c r="H203" s="219">
        <f t="shared" si="130"/>
        <v>72259.3</v>
      </c>
      <c r="I203" s="219">
        <f t="shared" si="130"/>
        <v>73287.100000000006</v>
      </c>
      <c r="J203" s="219">
        <f t="shared" si="130"/>
        <v>58794</v>
      </c>
      <c r="K203" s="219">
        <f t="shared" si="130"/>
        <v>60753.8</v>
      </c>
      <c r="L203" s="219">
        <f t="shared" si="130"/>
        <v>58794</v>
      </c>
      <c r="M203" s="219">
        <f t="shared" si="130"/>
        <v>60753.8</v>
      </c>
      <c r="N203" s="220">
        <f t="shared" si="130"/>
        <v>0</v>
      </c>
      <c r="O203" s="220">
        <f t="shared" si="130"/>
        <v>0</v>
      </c>
      <c r="P203" s="220">
        <f t="shared" si="130"/>
        <v>0</v>
      </c>
      <c r="Q203" s="220">
        <f t="shared" si="130"/>
        <v>0</v>
      </c>
      <c r="R203" s="221">
        <f>SUM(R205:R216)</f>
        <v>443566.19999999995</v>
      </c>
      <c r="S203" s="326">
        <f>F203-SUM(G203:R203)</f>
        <v>0</v>
      </c>
    </row>
    <row r="204" spans="1:22" x14ac:dyDescent="0.25">
      <c r="A204" s="41"/>
      <c r="B204" s="80"/>
      <c r="C204" s="123"/>
      <c r="D204" s="123"/>
      <c r="E204" s="75" t="s">
        <v>29</v>
      </c>
      <c r="F204" s="319">
        <v>147569</v>
      </c>
      <c r="G204" s="146"/>
      <c r="H204" s="146"/>
      <c r="I204" s="146"/>
      <c r="J204" s="146"/>
      <c r="K204" s="146"/>
      <c r="L204" s="146"/>
      <c r="M204" s="146"/>
      <c r="N204" s="222"/>
      <c r="O204" s="172"/>
      <c r="P204" s="146"/>
      <c r="Q204" s="146"/>
      <c r="R204" s="147"/>
      <c r="S204" s="148"/>
      <c r="V204" s="149"/>
    </row>
    <row r="205" spans="1:22" s="164" customFormat="1" x14ac:dyDescent="0.25">
      <c r="A205" s="159"/>
      <c r="B205" s="223">
        <v>1</v>
      </c>
      <c r="C205" s="224" t="s">
        <v>30</v>
      </c>
      <c r="D205" s="152">
        <v>71.400000000000006</v>
      </c>
      <c r="E205" s="153">
        <v>8</v>
      </c>
      <c r="F205" s="155">
        <f t="shared" ref="F205:F215" si="131">+E205*S205*D205</f>
        <v>121094.40000000001</v>
      </c>
      <c r="G205" s="157">
        <f t="shared" ref="G205:G215" si="132">E205*D205*31</f>
        <v>17707.2</v>
      </c>
      <c r="H205" s="189">
        <f>E205*D205*28</f>
        <v>15993.600000000002</v>
      </c>
      <c r="I205" s="157">
        <f>E205*D205*31</f>
        <v>17707.2</v>
      </c>
      <c r="J205" s="157">
        <f>E205*D205*30</f>
        <v>17136</v>
      </c>
      <c r="K205" s="157">
        <f>E205*D205*31</f>
        <v>17707.2</v>
      </c>
      <c r="L205" s="157">
        <f>E205*D205*30</f>
        <v>17136</v>
      </c>
      <c r="M205" s="157">
        <f>E205*D205*31</f>
        <v>17707.2</v>
      </c>
      <c r="N205" s="157">
        <v>0</v>
      </c>
      <c r="O205" s="157">
        <v>0</v>
      </c>
      <c r="P205" s="157">
        <v>0</v>
      </c>
      <c r="Q205" s="157">
        <v>0</v>
      </c>
      <c r="R205" s="158">
        <v>0</v>
      </c>
      <c r="S205" s="2">
        <v>212</v>
      </c>
      <c r="T205"/>
      <c r="U205"/>
      <c r="V205" s="206"/>
    </row>
    <row r="206" spans="1:22" s="164" customFormat="1" x14ac:dyDescent="0.25">
      <c r="A206" s="159"/>
      <c r="B206" s="223">
        <v>1</v>
      </c>
      <c r="C206" s="224" t="s">
        <v>30</v>
      </c>
      <c r="D206" s="152">
        <v>71.400000000000006</v>
      </c>
      <c r="E206" s="153">
        <v>1</v>
      </c>
      <c r="F206" s="155">
        <f t="shared" ref="F206" si="133">+E206*S206*D206</f>
        <v>0</v>
      </c>
      <c r="G206" s="157">
        <v>0</v>
      </c>
      <c r="H206" s="189">
        <v>0</v>
      </c>
      <c r="I206" s="157">
        <v>0</v>
      </c>
      <c r="J206" s="157">
        <v>0</v>
      </c>
      <c r="K206" s="157">
        <v>0</v>
      </c>
      <c r="L206" s="157">
        <v>0</v>
      </c>
      <c r="M206" s="157">
        <v>0</v>
      </c>
      <c r="N206" s="157">
        <v>0</v>
      </c>
      <c r="O206" s="157">
        <v>0</v>
      </c>
      <c r="P206" s="157">
        <v>0</v>
      </c>
      <c r="Q206" s="157">
        <v>0</v>
      </c>
      <c r="R206" s="158">
        <v>0</v>
      </c>
      <c r="S206" s="2">
        <v>0</v>
      </c>
      <c r="T206"/>
      <c r="U206"/>
      <c r="V206" s="206"/>
    </row>
    <row r="207" spans="1:22" x14ac:dyDescent="0.25">
      <c r="A207" s="41"/>
      <c r="B207" s="80">
        <v>2</v>
      </c>
      <c r="C207" s="81" t="s">
        <v>66</v>
      </c>
      <c r="D207" s="82">
        <v>73.59</v>
      </c>
      <c r="E207" s="83">
        <v>1</v>
      </c>
      <c r="F207" s="85">
        <f t="shared" si="131"/>
        <v>15601.08</v>
      </c>
      <c r="G207" s="157">
        <f t="shared" si="132"/>
        <v>2281.29</v>
      </c>
      <c r="H207" s="189">
        <f t="shared" ref="H207:H215" si="134">E207*D207*28</f>
        <v>2060.52</v>
      </c>
      <c r="I207" s="157">
        <f t="shared" ref="I207:I215" si="135">E207*D207*31</f>
        <v>2281.29</v>
      </c>
      <c r="J207" s="157">
        <f t="shared" ref="J207:J215" si="136">E207*D207*30</f>
        <v>2207.7000000000003</v>
      </c>
      <c r="K207" s="157">
        <f t="shared" ref="K207:K215" si="137">E207*D207*31</f>
        <v>2281.29</v>
      </c>
      <c r="L207" s="157">
        <f t="shared" ref="L207:L215" si="138">E207*D207*30</f>
        <v>2207.7000000000003</v>
      </c>
      <c r="M207" s="157">
        <f t="shared" ref="M207:M215" si="139">E207*D207*31</f>
        <v>2281.29</v>
      </c>
      <c r="N207" s="157">
        <v>0</v>
      </c>
      <c r="O207" s="157">
        <v>0</v>
      </c>
      <c r="P207" s="157">
        <v>0</v>
      </c>
      <c r="Q207" s="157">
        <v>0</v>
      </c>
      <c r="R207" s="158">
        <v>0</v>
      </c>
      <c r="S207" s="2">
        <v>212</v>
      </c>
    </row>
    <row r="208" spans="1:22" x14ac:dyDescent="0.25">
      <c r="A208" s="41"/>
      <c r="B208" s="80">
        <v>3</v>
      </c>
      <c r="C208" s="81" t="s">
        <v>45</v>
      </c>
      <c r="D208" s="82">
        <v>74.63</v>
      </c>
      <c r="E208" s="83">
        <v>1</v>
      </c>
      <c r="F208" s="85">
        <f t="shared" si="131"/>
        <v>15821.56</v>
      </c>
      <c r="G208" s="157">
        <f t="shared" si="132"/>
        <v>2313.5299999999997</v>
      </c>
      <c r="H208" s="189">
        <f t="shared" si="134"/>
        <v>2089.64</v>
      </c>
      <c r="I208" s="157">
        <f t="shared" si="135"/>
        <v>2313.5299999999997</v>
      </c>
      <c r="J208" s="157">
        <f t="shared" si="136"/>
        <v>2238.8999999999996</v>
      </c>
      <c r="K208" s="157">
        <f t="shared" si="137"/>
        <v>2313.5299999999997</v>
      </c>
      <c r="L208" s="157">
        <f t="shared" si="138"/>
        <v>2238.8999999999996</v>
      </c>
      <c r="M208" s="157">
        <f t="shared" si="139"/>
        <v>2313.5299999999997</v>
      </c>
      <c r="N208" s="157">
        <v>0</v>
      </c>
      <c r="O208" s="157">
        <v>0</v>
      </c>
      <c r="P208" s="157">
        <v>0</v>
      </c>
      <c r="Q208" s="157">
        <v>0</v>
      </c>
      <c r="R208" s="158">
        <v>0</v>
      </c>
      <c r="S208" s="2">
        <v>212</v>
      </c>
    </row>
    <row r="209" spans="1:22" s="164" customFormat="1" x14ac:dyDescent="0.25">
      <c r="A209" s="159"/>
      <c r="B209" s="223">
        <v>4</v>
      </c>
      <c r="C209" s="161" t="s">
        <v>33</v>
      </c>
      <c r="D209" s="162">
        <v>71.400000000000006</v>
      </c>
      <c r="E209" s="83">
        <v>7</v>
      </c>
      <c r="F209" s="157">
        <f t="shared" si="131"/>
        <v>105957.6</v>
      </c>
      <c r="G209" s="157">
        <f t="shared" si="132"/>
        <v>15493.800000000003</v>
      </c>
      <c r="H209" s="189">
        <f t="shared" si="134"/>
        <v>13994.400000000001</v>
      </c>
      <c r="I209" s="157">
        <f t="shared" si="135"/>
        <v>15493.800000000003</v>
      </c>
      <c r="J209" s="157">
        <f t="shared" si="136"/>
        <v>14994.000000000002</v>
      </c>
      <c r="K209" s="157">
        <f t="shared" si="137"/>
        <v>15493.800000000003</v>
      </c>
      <c r="L209" s="157">
        <f t="shared" si="138"/>
        <v>14994.000000000002</v>
      </c>
      <c r="M209" s="157">
        <f t="shared" si="139"/>
        <v>15493.800000000003</v>
      </c>
      <c r="N209" s="157">
        <v>0</v>
      </c>
      <c r="O209" s="157">
        <v>0</v>
      </c>
      <c r="P209" s="157">
        <v>0</v>
      </c>
      <c r="Q209" s="157">
        <v>0</v>
      </c>
      <c r="R209" s="158">
        <v>0</v>
      </c>
      <c r="S209" s="2">
        <v>212</v>
      </c>
      <c r="T209"/>
      <c r="U209"/>
    </row>
    <row r="210" spans="1:22" ht="15.75" customHeight="1" x14ac:dyDescent="0.25">
      <c r="A210" s="41"/>
      <c r="B210" s="318">
        <v>5</v>
      </c>
      <c r="C210" s="81" t="s">
        <v>67</v>
      </c>
      <c r="D210" s="82">
        <v>72.540000000000006</v>
      </c>
      <c r="E210" s="83">
        <v>2</v>
      </c>
      <c r="F210" s="85">
        <f t="shared" si="131"/>
        <v>30756.960000000003</v>
      </c>
      <c r="G210" s="157">
        <f t="shared" si="132"/>
        <v>4497.4800000000005</v>
      </c>
      <c r="H210" s="189">
        <f t="shared" si="134"/>
        <v>4062.2400000000002</v>
      </c>
      <c r="I210" s="157">
        <f t="shared" si="135"/>
        <v>4497.4800000000005</v>
      </c>
      <c r="J210" s="157">
        <f t="shared" si="136"/>
        <v>4352.4000000000005</v>
      </c>
      <c r="K210" s="157">
        <f t="shared" si="137"/>
        <v>4497.4800000000005</v>
      </c>
      <c r="L210" s="157">
        <f t="shared" si="138"/>
        <v>4352.4000000000005</v>
      </c>
      <c r="M210" s="157">
        <f t="shared" si="139"/>
        <v>4497.4800000000005</v>
      </c>
      <c r="N210" s="157">
        <v>0</v>
      </c>
      <c r="O210" s="157">
        <v>0</v>
      </c>
      <c r="P210" s="157">
        <v>0</v>
      </c>
      <c r="Q210" s="157">
        <v>0</v>
      </c>
      <c r="R210" s="158">
        <v>0</v>
      </c>
      <c r="S210" s="2">
        <v>212</v>
      </c>
    </row>
    <row r="211" spans="1:22" x14ac:dyDescent="0.25">
      <c r="A211" s="41"/>
      <c r="B211" s="318">
        <v>6</v>
      </c>
      <c r="C211" s="81" t="s">
        <v>34</v>
      </c>
      <c r="D211" s="82">
        <v>78.25</v>
      </c>
      <c r="E211" s="83">
        <v>2</v>
      </c>
      <c r="F211" s="85">
        <f t="shared" si="131"/>
        <v>33178</v>
      </c>
      <c r="G211" s="157">
        <f t="shared" si="132"/>
        <v>4851.5</v>
      </c>
      <c r="H211" s="189">
        <f t="shared" si="134"/>
        <v>4382</v>
      </c>
      <c r="I211" s="157">
        <f t="shared" si="135"/>
        <v>4851.5</v>
      </c>
      <c r="J211" s="157">
        <f t="shared" si="136"/>
        <v>4695</v>
      </c>
      <c r="K211" s="157">
        <f t="shared" si="137"/>
        <v>4851.5</v>
      </c>
      <c r="L211" s="157">
        <f t="shared" si="138"/>
        <v>4695</v>
      </c>
      <c r="M211" s="157">
        <f t="shared" si="139"/>
        <v>4851.5</v>
      </c>
      <c r="N211" s="157">
        <v>0</v>
      </c>
      <c r="O211" s="157">
        <v>0</v>
      </c>
      <c r="P211" s="157">
        <v>0</v>
      </c>
      <c r="Q211" s="157">
        <v>0</v>
      </c>
      <c r="R211" s="158">
        <v>0</v>
      </c>
      <c r="S211" s="2">
        <v>212</v>
      </c>
    </row>
    <row r="212" spans="1:22" x14ac:dyDescent="0.25">
      <c r="A212" s="41"/>
      <c r="B212" s="223">
        <v>7</v>
      </c>
      <c r="C212" s="81" t="s">
        <v>35</v>
      </c>
      <c r="D212" s="82">
        <v>72.540000000000006</v>
      </c>
      <c r="E212" s="83">
        <v>1</v>
      </c>
      <c r="F212" s="85">
        <f t="shared" si="131"/>
        <v>15378.480000000001</v>
      </c>
      <c r="G212" s="157">
        <f t="shared" si="132"/>
        <v>2248.7400000000002</v>
      </c>
      <c r="H212" s="189">
        <f t="shared" si="134"/>
        <v>2031.1200000000001</v>
      </c>
      <c r="I212" s="157">
        <f t="shared" si="135"/>
        <v>2248.7400000000002</v>
      </c>
      <c r="J212" s="157">
        <f t="shared" si="136"/>
        <v>2176.2000000000003</v>
      </c>
      <c r="K212" s="157">
        <f t="shared" si="137"/>
        <v>2248.7400000000002</v>
      </c>
      <c r="L212" s="157">
        <f t="shared" si="138"/>
        <v>2176.2000000000003</v>
      </c>
      <c r="M212" s="157">
        <f t="shared" si="139"/>
        <v>2248.7400000000002</v>
      </c>
      <c r="N212" s="157">
        <v>0</v>
      </c>
      <c r="O212" s="157">
        <v>0</v>
      </c>
      <c r="P212" s="157">
        <v>0</v>
      </c>
      <c r="Q212" s="157">
        <v>0</v>
      </c>
      <c r="R212" s="158">
        <v>0</v>
      </c>
      <c r="S212" s="2">
        <v>212</v>
      </c>
    </row>
    <row r="213" spans="1:22" x14ac:dyDescent="0.25">
      <c r="A213" s="41"/>
      <c r="B213" s="318">
        <v>8</v>
      </c>
      <c r="C213" s="81" t="s">
        <v>68</v>
      </c>
      <c r="D213" s="82">
        <v>71.400000000000006</v>
      </c>
      <c r="E213" s="83">
        <v>4</v>
      </c>
      <c r="F213" s="85">
        <f t="shared" si="131"/>
        <v>60547.200000000004</v>
      </c>
      <c r="G213" s="157">
        <f t="shared" si="132"/>
        <v>8853.6</v>
      </c>
      <c r="H213" s="189">
        <f t="shared" si="134"/>
        <v>7996.8000000000011</v>
      </c>
      <c r="I213" s="157">
        <f t="shared" si="135"/>
        <v>8853.6</v>
      </c>
      <c r="J213" s="157">
        <f t="shared" si="136"/>
        <v>8568</v>
      </c>
      <c r="K213" s="157">
        <f t="shared" si="137"/>
        <v>8853.6</v>
      </c>
      <c r="L213" s="157">
        <f t="shared" si="138"/>
        <v>8568</v>
      </c>
      <c r="M213" s="157">
        <f t="shared" si="139"/>
        <v>8853.6</v>
      </c>
      <c r="N213" s="157">
        <v>0</v>
      </c>
      <c r="O213" s="157">
        <v>0</v>
      </c>
      <c r="P213" s="157">
        <v>0</v>
      </c>
      <c r="Q213" s="157">
        <v>0</v>
      </c>
      <c r="R213" s="158">
        <v>0</v>
      </c>
      <c r="S213" s="2">
        <v>212</v>
      </c>
    </row>
    <row r="214" spans="1:22" x14ac:dyDescent="0.25">
      <c r="A214" s="41"/>
      <c r="B214" s="331">
        <v>5</v>
      </c>
      <c r="C214" s="330" t="s">
        <v>32</v>
      </c>
      <c r="D214" s="82">
        <v>80.86</v>
      </c>
      <c r="E214" s="83">
        <v>5</v>
      </c>
      <c r="F214" s="85">
        <f>+E214*S214*D214</f>
        <v>29918.2</v>
      </c>
      <c r="G214" s="85">
        <v>0</v>
      </c>
      <c r="H214" s="86">
        <f>E214*D214*28+D214*E214*15</f>
        <v>17384.900000000001</v>
      </c>
      <c r="I214" s="85">
        <f>E214*D214*31</f>
        <v>12533.300000000001</v>
      </c>
      <c r="J214" s="85">
        <v>0</v>
      </c>
      <c r="K214" s="85">
        <v>0</v>
      </c>
      <c r="L214" s="85">
        <v>0</v>
      </c>
      <c r="M214" s="85">
        <v>0</v>
      </c>
      <c r="N214" s="85">
        <v>0</v>
      </c>
      <c r="O214" s="85"/>
      <c r="P214" s="85">
        <v>0</v>
      </c>
      <c r="Q214" s="85">
        <v>0</v>
      </c>
      <c r="R214" s="87">
        <v>0</v>
      </c>
      <c r="S214" s="2">
        <f>15+28+31</f>
        <v>74</v>
      </c>
    </row>
    <row r="215" spans="1:22" ht="14.25" customHeight="1" x14ac:dyDescent="0.25">
      <c r="A215" s="41"/>
      <c r="B215" s="318">
        <v>9</v>
      </c>
      <c r="C215" s="81" t="s">
        <v>32</v>
      </c>
      <c r="D215" s="82">
        <v>80.86</v>
      </c>
      <c r="E215" s="83">
        <v>1</v>
      </c>
      <c r="F215" s="85">
        <f t="shared" si="131"/>
        <v>17142.32</v>
      </c>
      <c r="G215" s="157">
        <f t="shared" si="132"/>
        <v>2506.66</v>
      </c>
      <c r="H215" s="189">
        <f t="shared" si="134"/>
        <v>2264.08</v>
      </c>
      <c r="I215" s="157">
        <f t="shared" si="135"/>
        <v>2506.66</v>
      </c>
      <c r="J215" s="157">
        <f t="shared" si="136"/>
        <v>2425.8000000000002</v>
      </c>
      <c r="K215" s="157">
        <f t="shared" si="137"/>
        <v>2506.66</v>
      </c>
      <c r="L215" s="157">
        <f t="shared" si="138"/>
        <v>2425.8000000000002</v>
      </c>
      <c r="M215" s="157">
        <f t="shared" si="139"/>
        <v>2506.66</v>
      </c>
      <c r="N215" s="157">
        <v>0</v>
      </c>
      <c r="O215" s="157">
        <v>0</v>
      </c>
      <c r="P215" s="157">
        <v>0</v>
      </c>
      <c r="Q215" s="157">
        <v>0</v>
      </c>
      <c r="R215" s="158">
        <v>0</v>
      </c>
      <c r="S215" s="2">
        <v>212</v>
      </c>
    </row>
    <row r="216" spans="1:22" ht="15" customHeight="1" thickBot="1" x14ac:dyDescent="0.3">
      <c r="A216" s="41"/>
      <c r="B216" s="225"/>
      <c r="C216" s="226" t="s">
        <v>39</v>
      </c>
      <c r="D216" s="227"/>
      <c r="E216" s="228"/>
      <c r="F216" s="229">
        <f>741393-SUM(F205:F215)+147569</f>
        <v>443566.19999999995</v>
      </c>
      <c r="G216" s="229"/>
      <c r="H216" s="230"/>
      <c r="I216" s="229"/>
      <c r="J216" s="231"/>
      <c r="K216" s="232"/>
      <c r="L216" s="232"/>
      <c r="M216" s="232"/>
      <c r="N216" s="232"/>
      <c r="O216" s="232"/>
      <c r="P216" s="232"/>
      <c r="Q216" s="232"/>
      <c r="R216" s="233">
        <f>F216</f>
        <v>443566.19999999995</v>
      </c>
      <c r="S216" s="234"/>
      <c r="T216" s="7"/>
    </row>
    <row r="217" spans="1:22" ht="39" customHeight="1" x14ac:dyDescent="0.25">
      <c r="A217" s="41"/>
      <c r="B217" s="192"/>
      <c r="C217" s="379" t="s">
        <v>69</v>
      </c>
      <c r="D217" s="380"/>
      <c r="E217" s="194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7"/>
      <c r="S217" s="326"/>
    </row>
    <row r="218" spans="1:22" ht="33" customHeight="1" thickBot="1" x14ac:dyDescent="0.3">
      <c r="A218" s="41"/>
      <c r="B218" s="235"/>
      <c r="C218" s="363" t="s">
        <v>123</v>
      </c>
      <c r="D218" s="363"/>
      <c r="E218" s="236">
        <f>SUM(E220:E248)</f>
        <v>118</v>
      </c>
      <c r="F218" s="237">
        <f>SUM(F220:F248)</f>
        <v>3142404</v>
      </c>
      <c r="G218" s="237">
        <f t="shared" ref="G218:Q218" si="140">SUM(G220:G247)</f>
        <v>246897.32999999996</v>
      </c>
      <c r="H218" s="237">
        <f t="shared" si="140"/>
        <v>233364.60000000006</v>
      </c>
      <c r="I218" s="237">
        <f t="shared" si="140"/>
        <v>253466.84999999995</v>
      </c>
      <c r="J218" s="237">
        <f t="shared" si="140"/>
        <v>232438.50000000006</v>
      </c>
      <c r="K218" s="237">
        <f t="shared" si="140"/>
        <v>240186.44999999998</v>
      </c>
      <c r="L218" s="237">
        <f t="shared" si="140"/>
        <v>232438.50000000006</v>
      </c>
      <c r="M218" s="237">
        <f t="shared" si="140"/>
        <v>240186.44999999998</v>
      </c>
      <c r="N218" s="237">
        <f t="shared" si="140"/>
        <v>0</v>
      </c>
      <c r="O218" s="237">
        <f t="shared" si="140"/>
        <v>0</v>
      </c>
      <c r="P218" s="237">
        <f t="shared" si="140"/>
        <v>0</v>
      </c>
      <c r="Q218" s="237">
        <f t="shared" si="140"/>
        <v>0</v>
      </c>
      <c r="R218" s="238">
        <f>SUM(R220:R248)</f>
        <v>1463425.3199999998</v>
      </c>
      <c r="S218" s="326">
        <f>F218-SUM(G218:R218)</f>
        <v>0</v>
      </c>
    </row>
    <row r="219" spans="1:22" x14ac:dyDescent="0.25">
      <c r="A219" s="41"/>
      <c r="B219" s="80"/>
      <c r="C219" s="123"/>
      <c r="D219" s="123"/>
      <c r="E219" s="75" t="s">
        <v>29</v>
      </c>
      <c r="F219" s="319">
        <v>281288</v>
      </c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7"/>
      <c r="V219" s="149"/>
    </row>
    <row r="220" spans="1:22" x14ac:dyDescent="0.25">
      <c r="A220" s="41"/>
      <c r="B220" s="150">
        <v>1</v>
      </c>
      <c r="C220" s="335" t="s">
        <v>41</v>
      </c>
      <c r="D220" s="207">
        <v>72.540000000000006</v>
      </c>
      <c r="E220" s="208">
        <v>30</v>
      </c>
      <c r="F220" s="155">
        <f t="shared" ref="F220:F241" si="141">+E220*S220*D220</f>
        <v>461354.4</v>
      </c>
      <c r="G220" s="157">
        <f>E220*D220*31</f>
        <v>67462.200000000012</v>
      </c>
      <c r="H220" s="189">
        <f>E220*D220*28</f>
        <v>60933.600000000006</v>
      </c>
      <c r="I220" s="157">
        <f t="shared" ref="I220:I241" si="142">E220*D220*31</f>
        <v>67462.200000000012</v>
      </c>
      <c r="J220" s="157">
        <f t="shared" ref="J220:J241" si="143">E220*D220*30</f>
        <v>65286.000000000007</v>
      </c>
      <c r="K220" s="157">
        <f t="shared" ref="K220:K241" si="144">E220*D220*31</f>
        <v>67462.200000000012</v>
      </c>
      <c r="L220" s="157">
        <f t="shared" ref="L220:L241" si="145">E220*D220*30</f>
        <v>65286.000000000007</v>
      </c>
      <c r="M220" s="157">
        <f t="shared" ref="M220:M241" si="146">E220*D220*31</f>
        <v>67462.200000000012</v>
      </c>
      <c r="N220" s="157">
        <v>0</v>
      </c>
      <c r="O220" s="157">
        <v>0</v>
      </c>
      <c r="P220" s="157">
        <v>0</v>
      </c>
      <c r="Q220" s="157">
        <v>0</v>
      </c>
      <c r="R220" s="158">
        <v>0</v>
      </c>
      <c r="S220" s="2">
        <v>212</v>
      </c>
    </row>
    <row r="221" spans="1:22" s="164" customFormat="1" x14ac:dyDescent="0.25">
      <c r="A221" s="159"/>
      <c r="B221" s="223">
        <v>1</v>
      </c>
      <c r="C221" s="389" t="s">
        <v>41</v>
      </c>
      <c r="D221" s="152">
        <v>72.540000000000006</v>
      </c>
      <c r="E221" s="208">
        <v>1</v>
      </c>
      <c r="F221" s="155">
        <f t="shared" ref="F221" si="147">+E221*S221*D221</f>
        <v>2248.7400000000002</v>
      </c>
      <c r="G221" s="157">
        <f>E221*D221*31</f>
        <v>2248.7400000000002</v>
      </c>
      <c r="H221" s="189">
        <v>0</v>
      </c>
      <c r="I221" s="157">
        <v>0</v>
      </c>
      <c r="J221" s="157">
        <v>0</v>
      </c>
      <c r="K221" s="157">
        <v>0</v>
      </c>
      <c r="L221" s="157">
        <v>0</v>
      </c>
      <c r="M221" s="157">
        <v>0</v>
      </c>
      <c r="N221" s="157">
        <v>0</v>
      </c>
      <c r="O221" s="157">
        <v>0</v>
      </c>
      <c r="P221" s="157">
        <v>0</v>
      </c>
      <c r="Q221" s="157">
        <v>0</v>
      </c>
      <c r="R221" s="158">
        <v>0</v>
      </c>
      <c r="S221" s="210">
        <f>31</f>
        <v>31</v>
      </c>
    </row>
    <row r="222" spans="1:22" x14ac:dyDescent="0.25">
      <c r="A222" s="41"/>
      <c r="B222" s="150">
        <v>1</v>
      </c>
      <c r="C222" s="335" t="s">
        <v>41</v>
      </c>
      <c r="D222" s="207">
        <v>72.540000000000006</v>
      </c>
      <c r="E222" s="208">
        <v>1</v>
      </c>
      <c r="F222" s="155">
        <f t="shared" ref="F222" si="148">+E222*S222*D222</f>
        <v>2248.7400000000002</v>
      </c>
      <c r="G222" s="157">
        <f>E222*D222*31</f>
        <v>2248.7400000000002</v>
      </c>
      <c r="H222" s="189">
        <v>0</v>
      </c>
      <c r="I222" s="157">
        <v>0</v>
      </c>
      <c r="J222" s="157">
        <v>0</v>
      </c>
      <c r="K222" s="157">
        <v>0</v>
      </c>
      <c r="L222" s="157">
        <v>0</v>
      </c>
      <c r="M222" s="157">
        <v>0</v>
      </c>
      <c r="N222" s="157">
        <v>0</v>
      </c>
      <c r="O222" s="157">
        <v>0</v>
      </c>
      <c r="P222" s="157">
        <v>0</v>
      </c>
      <c r="Q222" s="157">
        <v>0</v>
      </c>
      <c r="R222" s="158">
        <v>0</v>
      </c>
      <c r="S222" s="2">
        <v>31</v>
      </c>
    </row>
    <row r="223" spans="1:22" x14ac:dyDescent="0.25">
      <c r="A223" s="41"/>
      <c r="B223" s="150">
        <v>1</v>
      </c>
      <c r="C223" s="335" t="s">
        <v>41</v>
      </c>
      <c r="D223" s="207">
        <v>72.540000000000006</v>
      </c>
      <c r="E223" s="208">
        <v>2</v>
      </c>
      <c r="F223" s="155">
        <f t="shared" ref="F223" si="149">+E223*S223*D223</f>
        <v>0</v>
      </c>
      <c r="G223" s="157">
        <v>0</v>
      </c>
      <c r="H223" s="189">
        <v>0</v>
      </c>
      <c r="I223" s="157">
        <v>0</v>
      </c>
      <c r="J223" s="157">
        <v>0</v>
      </c>
      <c r="K223" s="157">
        <v>0</v>
      </c>
      <c r="L223" s="157">
        <v>0</v>
      </c>
      <c r="M223" s="157">
        <v>0</v>
      </c>
      <c r="N223" s="157">
        <v>0</v>
      </c>
      <c r="O223" s="157">
        <v>0</v>
      </c>
      <c r="P223" s="157">
        <v>0</v>
      </c>
      <c r="Q223" s="157">
        <v>0</v>
      </c>
      <c r="R223" s="158">
        <v>0</v>
      </c>
      <c r="S223" s="2">
        <v>0</v>
      </c>
    </row>
    <row r="224" spans="1:22" x14ac:dyDescent="0.25">
      <c r="A224" s="41"/>
      <c r="B224" s="80">
        <v>2</v>
      </c>
      <c r="C224" s="336" t="s">
        <v>70</v>
      </c>
      <c r="D224" s="82">
        <v>73.59</v>
      </c>
      <c r="E224" s="83">
        <v>2</v>
      </c>
      <c r="F224" s="157">
        <f t="shared" si="141"/>
        <v>31202.16</v>
      </c>
      <c r="G224" s="157">
        <f t="shared" ref="G224:G241" si="150">E224*D224*31</f>
        <v>4562.58</v>
      </c>
      <c r="H224" s="189">
        <f t="shared" ref="H224:H241" si="151">E224*D224*28</f>
        <v>4121.04</v>
      </c>
      <c r="I224" s="157">
        <f t="shared" si="142"/>
        <v>4562.58</v>
      </c>
      <c r="J224" s="157">
        <f t="shared" si="143"/>
        <v>4415.4000000000005</v>
      </c>
      <c r="K224" s="157">
        <f t="shared" si="144"/>
        <v>4562.58</v>
      </c>
      <c r="L224" s="157">
        <f t="shared" si="145"/>
        <v>4415.4000000000005</v>
      </c>
      <c r="M224" s="157">
        <f t="shared" si="146"/>
        <v>4562.58</v>
      </c>
      <c r="N224" s="157">
        <v>0</v>
      </c>
      <c r="O224" s="157">
        <v>0</v>
      </c>
      <c r="P224" s="157">
        <v>0</v>
      </c>
      <c r="Q224" s="157">
        <v>0</v>
      </c>
      <c r="R224" s="158">
        <v>0</v>
      </c>
      <c r="S224" s="2">
        <v>212</v>
      </c>
    </row>
    <row r="225" spans="1:21" x14ac:dyDescent="0.25">
      <c r="A225" s="41"/>
      <c r="B225" s="80">
        <v>3</v>
      </c>
      <c r="C225" s="336" t="s">
        <v>71</v>
      </c>
      <c r="D225" s="82">
        <v>71.400000000000006</v>
      </c>
      <c r="E225" s="83">
        <v>28</v>
      </c>
      <c r="F225" s="157">
        <f t="shared" si="141"/>
        <v>423830.4</v>
      </c>
      <c r="G225" s="157">
        <f t="shared" si="150"/>
        <v>61975.200000000012</v>
      </c>
      <c r="H225" s="189">
        <f t="shared" si="151"/>
        <v>55977.600000000006</v>
      </c>
      <c r="I225" s="157">
        <f t="shared" si="142"/>
        <v>61975.200000000012</v>
      </c>
      <c r="J225" s="157">
        <f t="shared" si="143"/>
        <v>59976.000000000007</v>
      </c>
      <c r="K225" s="157">
        <f t="shared" si="144"/>
        <v>61975.200000000012</v>
      </c>
      <c r="L225" s="157">
        <f t="shared" si="145"/>
        <v>59976.000000000007</v>
      </c>
      <c r="M225" s="157">
        <f t="shared" si="146"/>
        <v>61975.200000000012</v>
      </c>
      <c r="N225" s="157">
        <v>0</v>
      </c>
      <c r="O225" s="157">
        <v>0</v>
      </c>
      <c r="P225" s="157">
        <v>0</v>
      </c>
      <c r="Q225" s="157">
        <v>0</v>
      </c>
      <c r="R225" s="158">
        <v>0</v>
      </c>
      <c r="S225" s="2">
        <v>212</v>
      </c>
    </row>
    <row r="226" spans="1:21" x14ac:dyDescent="0.25">
      <c r="A226" s="41"/>
      <c r="B226" s="331">
        <v>3</v>
      </c>
      <c r="C226" s="336" t="s">
        <v>71</v>
      </c>
      <c r="D226" s="82">
        <v>71.400000000000006</v>
      </c>
      <c r="E226" s="83">
        <v>1</v>
      </c>
      <c r="F226" s="157">
        <f t="shared" ref="F226" si="152">+E226*S226*D226</f>
        <v>0</v>
      </c>
      <c r="G226" s="157">
        <v>0</v>
      </c>
      <c r="H226" s="189">
        <v>0</v>
      </c>
      <c r="I226" s="157">
        <v>0</v>
      </c>
      <c r="J226" s="157">
        <v>0</v>
      </c>
      <c r="K226" s="157">
        <v>0</v>
      </c>
      <c r="L226" s="157">
        <v>0</v>
      </c>
      <c r="M226" s="157">
        <v>0</v>
      </c>
      <c r="N226" s="157">
        <v>0</v>
      </c>
      <c r="O226" s="157">
        <v>0</v>
      </c>
      <c r="P226" s="157">
        <v>0</v>
      </c>
      <c r="Q226" s="157">
        <v>0</v>
      </c>
      <c r="R226" s="158">
        <v>0</v>
      </c>
      <c r="S226" s="2">
        <v>0</v>
      </c>
    </row>
    <row r="227" spans="1:21" s="164" customFormat="1" x14ac:dyDescent="0.25">
      <c r="A227" s="159"/>
      <c r="B227" s="150">
        <v>4</v>
      </c>
      <c r="C227" s="337" t="s">
        <v>43</v>
      </c>
      <c r="D227" s="162">
        <v>71.400000000000006</v>
      </c>
      <c r="E227" s="83">
        <v>2</v>
      </c>
      <c r="F227" s="157">
        <f>+E227*S227*D227</f>
        <v>30273.600000000002</v>
      </c>
      <c r="G227" s="157">
        <f>E227*D227*31</f>
        <v>4426.8</v>
      </c>
      <c r="H227" s="189">
        <f>E227*D227*28</f>
        <v>3998.4000000000005</v>
      </c>
      <c r="I227" s="157">
        <f>E227*D227*31</f>
        <v>4426.8</v>
      </c>
      <c r="J227" s="157">
        <f>E227*D227*30</f>
        <v>4284</v>
      </c>
      <c r="K227" s="157">
        <f>E227*D227*31</f>
        <v>4426.8</v>
      </c>
      <c r="L227" s="157">
        <f>E227*D227*30</f>
        <v>4284</v>
      </c>
      <c r="M227" s="157">
        <f>E227*D227*31</f>
        <v>4426.8</v>
      </c>
      <c r="N227" s="157">
        <v>0</v>
      </c>
      <c r="O227" s="157">
        <v>0</v>
      </c>
      <c r="P227" s="157">
        <v>0</v>
      </c>
      <c r="Q227" s="157">
        <v>0</v>
      </c>
      <c r="R227" s="158">
        <v>0</v>
      </c>
      <c r="S227" s="2">
        <v>212</v>
      </c>
      <c r="T227"/>
      <c r="U227"/>
    </row>
    <row r="228" spans="1:21" s="164" customFormat="1" x14ac:dyDescent="0.25">
      <c r="A228" s="159"/>
      <c r="B228" s="318">
        <v>5</v>
      </c>
      <c r="C228" s="338" t="s">
        <v>72</v>
      </c>
      <c r="D228" s="162">
        <v>71.400000000000006</v>
      </c>
      <c r="E228" s="83">
        <v>1</v>
      </c>
      <c r="F228" s="157">
        <f t="shared" si="141"/>
        <v>15136.800000000001</v>
      </c>
      <c r="G228" s="157">
        <f t="shared" si="150"/>
        <v>2213.4</v>
      </c>
      <c r="H228" s="189">
        <f t="shared" si="151"/>
        <v>1999.2000000000003</v>
      </c>
      <c r="I228" s="157">
        <f t="shared" si="142"/>
        <v>2213.4</v>
      </c>
      <c r="J228" s="157">
        <f t="shared" si="143"/>
        <v>2142</v>
      </c>
      <c r="K228" s="157">
        <f t="shared" si="144"/>
        <v>2213.4</v>
      </c>
      <c r="L228" s="157">
        <f t="shared" si="145"/>
        <v>2142</v>
      </c>
      <c r="M228" s="157">
        <f t="shared" si="146"/>
        <v>2213.4</v>
      </c>
      <c r="N228" s="157">
        <v>0</v>
      </c>
      <c r="O228" s="157">
        <v>0</v>
      </c>
      <c r="P228" s="157">
        <v>0</v>
      </c>
      <c r="Q228" s="157">
        <v>0</v>
      </c>
      <c r="R228" s="158">
        <v>0</v>
      </c>
      <c r="S228" s="2">
        <v>212</v>
      </c>
      <c r="T228"/>
      <c r="U228"/>
    </row>
    <row r="229" spans="1:21" s="164" customFormat="1" x14ac:dyDescent="0.25">
      <c r="A229" s="159"/>
      <c r="B229" s="318">
        <v>6</v>
      </c>
      <c r="C229" s="338" t="s">
        <v>73</v>
      </c>
      <c r="D229" s="162">
        <v>71.400000000000006</v>
      </c>
      <c r="E229" s="83">
        <v>1</v>
      </c>
      <c r="F229" s="157">
        <f t="shared" si="141"/>
        <v>15136.800000000001</v>
      </c>
      <c r="G229" s="157">
        <f t="shared" si="150"/>
        <v>2213.4</v>
      </c>
      <c r="H229" s="189">
        <f t="shared" si="151"/>
        <v>1999.2000000000003</v>
      </c>
      <c r="I229" s="157">
        <f t="shared" si="142"/>
        <v>2213.4</v>
      </c>
      <c r="J229" s="157">
        <f t="shared" si="143"/>
        <v>2142</v>
      </c>
      <c r="K229" s="157">
        <f t="shared" si="144"/>
        <v>2213.4</v>
      </c>
      <c r="L229" s="157">
        <f t="shared" si="145"/>
        <v>2142</v>
      </c>
      <c r="M229" s="157">
        <f t="shared" si="146"/>
        <v>2213.4</v>
      </c>
      <c r="N229" s="157">
        <v>0</v>
      </c>
      <c r="O229" s="157">
        <v>0</v>
      </c>
      <c r="P229" s="157">
        <v>0</v>
      </c>
      <c r="Q229" s="157">
        <v>0</v>
      </c>
      <c r="R229" s="158">
        <v>0</v>
      </c>
      <c r="S229" s="2">
        <v>212</v>
      </c>
      <c r="T229"/>
      <c r="U229"/>
    </row>
    <row r="230" spans="1:21" s="164" customFormat="1" x14ac:dyDescent="0.25">
      <c r="A230" s="159"/>
      <c r="B230" s="150">
        <v>7</v>
      </c>
      <c r="C230" s="338" t="s">
        <v>30</v>
      </c>
      <c r="D230" s="162">
        <v>71.400000000000006</v>
      </c>
      <c r="E230" s="83">
        <v>8</v>
      </c>
      <c r="F230" s="157">
        <f t="shared" si="141"/>
        <v>121094.40000000001</v>
      </c>
      <c r="G230" s="157">
        <f t="shared" si="150"/>
        <v>17707.2</v>
      </c>
      <c r="H230" s="189">
        <f t="shared" si="151"/>
        <v>15993.600000000002</v>
      </c>
      <c r="I230" s="157">
        <f t="shared" si="142"/>
        <v>17707.2</v>
      </c>
      <c r="J230" s="157">
        <f t="shared" si="143"/>
        <v>17136</v>
      </c>
      <c r="K230" s="157">
        <f t="shared" si="144"/>
        <v>17707.2</v>
      </c>
      <c r="L230" s="157">
        <f t="shared" si="145"/>
        <v>17136</v>
      </c>
      <c r="M230" s="157">
        <f t="shared" si="146"/>
        <v>17707.2</v>
      </c>
      <c r="N230" s="157">
        <v>0</v>
      </c>
      <c r="O230" s="157">
        <v>0</v>
      </c>
      <c r="P230" s="157">
        <v>0</v>
      </c>
      <c r="Q230" s="157">
        <v>0</v>
      </c>
      <c r="R230" s="158">
        <v>0</v>
      </c>
      <c r="S230" s="2">
        <v>212</v>
      </c>
      <c r="T230"/>
      <c r="U230"/>
    </row>
    <row r="231" spans="1:21" s="164" customFormat="1" x14ac:dyDescent="0.25">
      <c r="A231" s="159"/>
      <c r="B231" s="223">
        <v>7</v>
      </c>
      <c r="C231" s="338" t="s">
        <v>30</v>
      </c>
      <c r="D231" s="162">
        <v>71.400000000000006</v>
      </c>
      <c r="E231" s="83">
        <v>1</v>
      </c>
      <c r="F231" s="157">
        <f t="shared" ref="F231" si="153">+E231*S231*D231</f>
        <v>2213.4</v>
      </c>
      <c r="G231" s="157">
        <f t="shared" ref="G231" si="154">E231*D231*31</f>
        <v>2213.4</v>
      </c>
      <c r="H231" s="189">
        <v>0</v>
      </c>
      <c r="I231" s="157">
        <v>0</v>
      </c>
      <c r="J231" s="157">
        <v>0</v>
      </c>
      <c r="K231" s="157">
        <v>0</v>
      </c>
      <c r="L231" s="157">
        <v>0</v>
      </c>
      <c r="M231" s="157">
        <v>0</v>
      </c>
      <c r="N231" s="157">
        <v>0</v>
      </c>
      <c r="O231" s="157">
        <v>0</v>
      </c>
      <c r="P231" s="157">
        <v>0</v>
      </c>
      <c r="Q231" s="157">
        <v>0</v>
      </c>
      <c r="R231" s="158">
        <v>0</v>
      </c>
      <c r="S231" s="210">
        <f>31</f>
        <v>31</v>
      </c>
    </row>
    <row r="232" spans="1:21" s="164" customFormat="1" x14ac:dyDescent="0.25">
      <c r="A232" s="159"/>
      <c r="B232" s="318">
        <v>8</v>
      </c>
      <c r="C232" s="338" t="s">
        <v>55</v>
      </c>
      <c r="D232" s="162">
        <v>72.540000000000006</v>
      </c>
      <c r="E232" s="83">
        <v>4</v>
      </c>
      <c r="F232" s="157">
        <f>+E232*S232*D232</f>
        <v>61513.920000000006</v>
      </c>
      <c r="G232" s="157">
        <f t="shared" si="150"/>
        <v>8994.9600000000009</v>
      </c>
      <c r="H232" s="189">
        <f t="shared" si="151"/>
        <v>8124.4800000000005</v>
      </c>
      <c r="I232" s="157">
        <f t="shared" si="142"/>
        <v>8994.9600000000009</v>
      </c>
      <c r="J232" s="157">
        <f t="shared" si="143"/>
        <v>8704.8000000000011</v>
      </c>
      <c r="K232" s="157">
        <f t="shared" si="144"/>
        <v>8994.9600000000009</v>
      </c>
      <c r="L232" s="157">
        <f t="shared" si="145"/>
        <v>8704.8000000000011</v>
      </c>
      <c r="M232" s="157">
        <f t="shared" si="146"/>
        <v>8994.9600000000009</v>
      </c>
      <c r="N232" s="157">
        <v>0</v>
      </c>
      <c r="O232" s="157">
        <v>0</v>
      </c>
      <c r="P232" s="157">
        <v>0</v>
      </c>
      <c r="Q232" s="157">
        <v>0</v>
      </c>
      <c r="R232" s="158">
        <v>0</v>
      </c>
      <c r="S232" s="2">
        <v>212</v>
      </c>
      <c r="T232"/>
      <c r="U232"/>
    </row>
    <row r="233" spans="1:21" s="164" customFormat="1" x14ac:dyDescent="0.25">
      <c r="A233" s="159"/>
      <c r="B233" s="318">
        <v>9</v>
      </c>
      <c r="C233" s="338" t="s">
        <v>60</v>
      </c>
      <c r="D233" s="162">
        <v>77.59</v>
      </c>
      <c r="E233" s="83">
        <v>1</v>
      </c>
      <c r="F233" s="157">
        <f t="shared" si="141"/>
        <v>16449.080000000002</v>
      </c>
      <c r="G233" s="157">
        <f t="shared" si="150"/>
        <v>2405.29</v>
      </c>
      <c r="H233" s="189">
        <f t="shared" si="151"/>
        <v>2172.52</v>
      </c>
      <c r="I233" s="157">
        <f t="shared" si="142"/>
        <v>2405.29</v>
      </c>
      <c r="J233" s="157">
        <f t="shared" si="143"/>
        <v>2327.7000000000003</v>
      </c>
      <c r="K233" s="157">
        <f t="shared" si="144"/>
        <v>2405.29</v>
      </c>
      <c r="L233" s="157">
        <f t="shared" si="145"/>
        <v>2327.7000000000003</v>
      </c>
      <c r="M233" s="157">
        <f t="shared" si="146"/>
        <v>2405.29</v>
      </c>
      <c r="N233" s="157">
        <v>0</v>
      </c>
      <c r="O233" s="157">
        <v>0</v>
      </c>
      <c r="P233" s="157">
        <v>0</v>
      </c>
      <c r="Q233" s="157">
        <v>0</v>
      </c>
      <c r="R233" s="158">
        <v>0</v>
      </c>
      <c r="S233" s="2">
        <v>212</v>
      </c>
      <c r="T233"/>
      <c r="U233"/>
    </row>
    <row r="234" spans="1:21" s="164" customFormat="1" x14ac:dyDescent="0.25">
      <c r="A234" s="159"/>
      <c r="B234" s="150">
        <v>10</v>
      </c>
      <c r="C234" s="338" t="s">
        <v>33</v>
      </c>
      <c r="D234" s="162">
        <v>71.400000000000006</v>
      </c>
      <c r="E234" s="83">
        <v>6</v>
      </c>
      <c r="F234" s="157">
        <f t="shared" si="141"/>
        <v>90820.800000000003</v>
      </c>
      <c r="G234" s="157">
        <f t="shared" si="150"/>
        <v>13280.400000000001</v>
      </c>
      <c r="H234" s="189">
        <f t="shared" si="151"/>
        <v>11995.2</v>
      </c>
      <c r="I234" s="157">
        <f t="shared" si="142"/>
        <v>13280.400000000001</v>
      </c>
      <c r="J234" s="157">
        <f t="shared" si="143"/>
        <v>12852.000000000002</v>
      </c>
      <c r="K234" s="157">
        <f t="shared" si="144"/>
        <v>13280.400000000001</v>
      </c>
      <c r="L234" s="157">
        <f t="shared" si="145"/>
        <v>12852.000000000002</v>
      </c>
      <c r="M234" s="157">
        <f t="shared" si="146"/>
        <v>13280.400000000001</v>
      </c>
      <c r="N234" s="157">
        <v>0</v>
      </c>
      <c r="O234" s="157">
        <v>0</v>
      </c>
      <c r="P234" s="157">
        <v>0</v>
      </c>
      <c r="Q234" s="157">
        <v>0</v>
      </c>
      <c r="R234" s="158">
        <v>0</v>
      </c>
      <c r="S234" s="2">
        <v>212</v>
      </c>
      <c r="T234"/>
      <c r="U234"/>
    </row>
    <row r="235" spans="1:21" s="164" customFormat="1" x14ac:dyDescent="0.25">
      <c r="A235" s="159"/>
      <c r="B235" s="223">
        <v>10</v>
      </c>
      <c r="C235" s="338" t="s">
        <v>33</v>
      </c>
      <c r="D235" s="162">
        <v>71.400000000000006</v>
      </c>
      <c r="E235" s="83">
        <v>1</v>
      </c>
      <c r="F235" s="157">
        <f t="shared" ref="F235" si="155">+E235*S235*D235</f>
        <v>13137.6</v>
      </c>
      <c r="G235" s="157">
        <f t="shared" ref="G235" si="156">E235*D235*31</f>
        <v>2213.4</v>
      </c>
      <c r="H235" s="189">
        <v>0</v>
      </c>
      <c r="I235" s="157">
        <f t="shared" ref="I235" si="157">E235*D235*31</f>
        <v>2213.4</v>
      </c>
      <c r="J235" s="157">
        <f t="shared" ref="J235" si="158">E235*D235*30</f>
        <v>2142</v>
      </c>
      <c r="K235" s="157">
        <f t="shared" ref="K235" si="159">E235*D235*31</f>
        <v>2213.4</v>
      </c>
      <c r="L235" s="157">
        <f t="shared" ref="L235" si="160">E235*D235*30</f>
        <v>2142</v>
      </c>
      <c r="M235" s="157">
        <f t="shared" ref="M235" si="161">E235*D235*31</f>
        <v>2213.4</v>
      </c>
      <c r="N235" s="157">
        <v>0</v>
      </c>
      <c r="O235" s="157">
        <v>0</v>
      </c>
      <c r="P235" s="157">
        <v>0</v>
      </c>
      <c r="Q235" s="157">
        <v>0</v>
      </c>
      <c r="R235" s="158">
        <v>0</v>
      </c>
      <c r="S235" s="210">
        <f>212-28</f>
        <v>184</v>
      </c>
    </row>
    <row r="236" spans="1:21" x14ac:dyDescent="0.25">
      <c r="A236" s="41"/>
      <c r="B236" s="318">
        <v>11</v>
      </c>
      <c r="C236" s="336" t="s">
        <v>74</v>
      </c>
      <c r="D236" s="82">
        <v>73.59</v>
      </c>
      <c r="E236" s="83">
        <v>1</v>
      </c>
      <c r="F236" s="157">
        <f>+E236*S236*D236</f>
        <v>15601.08</v>
      </c>
      <c r="G236" s="157">
        <f>E236*D236*31</f>
        <v>2281.29</v>
      </c>
      <c r="H236" s="189">
        <f>E236*D236*28</f>
        <v>2060.52</v>
      </c>
      <c r="I236" s="157">
        <f>E236*D236*31</f>
        <v>2281.29</v>
      </c>
      <c r="J236" s="157">
        <f>E236*D236*30</f>
        <v>2207.7000000000003</v>
      </c>
      <c r="K236" s="157">
        <f>E236*D236*31</f>
        <v>2281.29</v>
      </c>
      <c r="L236" s="157">
        <f>E236*D236*30</f>
        <v>2207.7000000000003</v>
      </c>
      <c r="M236" s="157">
        <f>E236*D236*31</f>
        <v>2281.29</v>
      </c>
      <c r="N236" s="157">
        <v>0</v>
      </c>
      <c r="O236" s="157">
        <v>0</v>
      </c>
      <c r="P236" s="157">
        <v>0</v>
      </c>
      <c r="Q236" s="157">
        <v>0</v>
      </c>
      <c r="R236" s="158">
        <v>0</v>
      </c>
      <c r="S236" s="2">
        <v>212</v>
      </c>
    </row>
    <row r="237" spans="1:21" ht="15.75" customHeight="1" x14ac:dyDescent="0.25">
      <c r="A237" s="41"/>
      <c r="B237" s="318">
        <v>12</v>
      </c>
      <c r="C237" s="336" t="s">
        <v>61</v>
      </c>
      <c r="D237" s="82">
        <v>75.64</v>
      </c>
      <c r="E237" s="239">
        <v>1</v>
      </c>
      <c r="F237" s="157">
        <f>+E237*S237*D237</f>
        <v>16035.68</v>
      </c>
      <c r="G237" s="157">
        <f>E237*D237*31</f>
        <v>2344.84</v>
      </c>
      <c r="H237" s="189">
        <f>E237*D237*28</f>
        <v>2117.92</v>
      </c>
      <c r="I237" s="157">
        <f>E237*D237*31</f>
        <v>2344.84</v>
      </c>
      <c r="J237" s="157">
        <f>E237*D237*30</f>
        <v>2269.1999999999998</v>
      </c>
      <c r="K237" s="157">
        <f>E237*D237*31</f>
        <v>2344.84</v>
      </c>
      <c r="L237" s="157">
        <f>E237*D237*30</f>
        <v>2269.1999999999998</v>
      </c>
      <c r="M237" s="157">
        <f>E237*D237*31</f>
        <v>2344.84</v>
      </c>
      <c r="N237" s="157">
        <v>0</v>
      </c>
      <c r="O237" s="157">
        <v>0</v>
      </c>
      <c r="P237" s="157">
        <v>0</v>
      </c>
      <c r="Q237" s="157">
        <v>0</v>
      </c>
      <c r="R237" s="158">
        <v>0</v>
      </c>
      <c r="S237" s="2">
        <v>212</v>
      </c>
    </row>
    <row r="238" spans="1:21" x14ac:dyDescent="0.25">
      <c r="A238" s="41"/>
      <c r="B238" s="150">
        <v>13</v>
      </c>
      <c r="C238" s="336" t="s">
        <v>62</v>
      </c>
      <c r="D238" s="82">
        <v>71.400000000000006</v>
      </c>
      <c r="E238" s="83">
        <v>1</v>
      </c>
      <c r="F238" s="157">
        <f>+E238*S238*D238</f>
        <v>15136.800000000001</v>
      </c>
      <c r="G238" s="157">
        <f>E238*D238*31</f>
        <v>2213.4</v>
      </c>
      <c r="H238" s="189">
        <f>E238*D238*28</f>
        <v>1999.2000000000003</v>
      </c>
      <c r="I238" s="157">
        <f>E238*D238*31</f>
        <v>2213.4</v>
      </c>
      <c r="J238" s="157">
        <f>E238*D238*30</f>
        <v>2142</v>
      </c>
      <c r="K238" s="157">
        <f>E238*D238*31</f>
        <v>2213.4</v>
      </c>
      <c r="L238" s="157">
        <f>E238*D238*30</f>
        <v>2142</v>
      </c>
      <c r="M238" s="157">
        <f>E238*D238*31</f>
        <v>2213.4</v>
      </c>
      <c r="N238" s="157">
        <v>0</v>
      </c>
      <c r="O238" s="157">
        <v>0</v>
      </c>
      <c r="P238" s="157">
        <v>0</v>
      </c>
      <c r="Q238" s="157">
        <v>0</v>
      </c>
      <c r="R238" s="158">
        <v>0</v>
      </c>
      <c r="S238" s="2">
        <v>212</v>
      </c>
    </row>
    <row r="239" spans="1:21" x14ac:dyDescent="0.25">
      <c r="A239" s="41"/>
      <c r="B239" s="318">
        <v>14</v>
      </c>
      <c r="C239" s="336" t="s">
        <v>34</v>
      </c>
      <c r="D239" s="82">
        <v>78.25</v>
      </c>
      <c r="E239" s="83">
        <v>9</v>
      </c>
      <c r="F239" s="157">
        <f>+E239*S239*D239</f>
        <v>149301</v>
      </c>
      <c r="G239" s="157">
        <f>E239*D239*31</f>
        <v>21831.75</v>
      </c>
      <c r="H239" s="189">
        <f>E239*D239*28</f>
        <v>19719</v>
      </c>
      <c r="I239" s="157">
        <f>E239*D239*31</f>
        <v>21831.75</v>
      </c>
      <c r="J239" s="157">
        <f>E239*D239*30</f>
        <v>21127.5</v>
      </c>
      <c r="K239" s="157">
        <f>E239*D239*31</f>
        <v>21831.75</v>
      </c>
      <c r="L239" s="157">
        <f>E239*D239*30</f>
        <v>21127.5</v>
      </c>
      <c r="M239" s="157">
        <f>E239*D239*31</f>
        <v>21831.75</v>
      </c>
      <c r="N239" s="157">
        <v>0</v>
      </c>
      <c r="O239" s="157">
        <v>0</v>
      </c>
      <c r="P239" s="157">
        <v>0</v>
      </c>
      <c r="Q239" s="157">
        <v>0</v>
      </c>
      <c r="R239" s="158">
        <v>0</v>
      </c>
      <c r="S239" s="2">
        <v>212</v>
      </c>
    </row>
    <row r="240" spans="1:21" x14ac:dyDescent="0.25">
      <c r="A240" s="41"/>
      <c r="B240" s="318">
        <v>15</v>
      </c>
      <c r="C240" s="336" t="s">
        <v>35</v>
      </c>
      <c r="D240" s="82">
        <v>72.540000000000006</v>
      </c>
      <c r="E240" s="83">
        <v>1</v>
      </c>
      <c r="F240" s="157">
        <f t="shared" si="141"/>
        <v>15378.480000000001</v>
      </c>
      <c r="G240" s="157">
        <f t="shared" si="150"/>
        <v>2248.7400000000002</v>
      </c>
      <c r="H240" s="189">
        <f t="shared" si="151"/>
        <v>2031.1200000000001</v>
      </c>
      <c r="I240" s="157">
        <f t="shared" si="142"/>
        <v>2248.7400000000002</v>
      </c>
      <c r="J240" s="157">
        <f t="shared" si="143"/>
        <v>2176.2000000000003</v>
      </c>
      <c r="K240" s="157">
        <f t="shared" si="144"/>
        <v>2248.7400000000002</v>
      </c>
      <c r="L240" s="157">
        <f t="shared" si="145"/>
        <v>2176.2000000000003</v>
      </c>
      <c r="M240" s="157">
        <f t="shared" si="146"/>
        <v>2248.7400000000002</v>
      </c>
      <c r="N240" s="157">
        <v>0</v>
      </c>
      <c r="O240" s="157">
        <v>0</v>
      </c>
      <c r="P240" s="157">
        <v>0</v>
      </c>
      <c r="Q240" s="157">
        <v>0</v>
      </c>
      <c r="R240" s="158">
        <v>0</v>
      </c>
      <c r="S240" s="2">
        <v>212</v>
      </c>
    </row>
    <row r="241" spans="1:22" x14ac:dyDescent="0.25">
      <c r="A241" s="41"/>
      <c r="B241" s="150">
        <v>16</v>
      </c>
      <c r="C241" s="336" t="s">
        <v>54</v>
      </c>
      <c r="D241" s="82">
        <v>71.400000000000006</v>
      </c>
      <c r="E241" s="83">
        <v>2</v>
      </c>
      <c r="F241" s="157">
        <f t="shared" si="141"/>
        <v>30273.600000000002</v>
      </c>
      <c r="G241" s="157">
        <f t="shared" si="150"/>
        <v>4426.8</v>
      </c>
      <c r="H241" s="189">
        <f t="shared" si="151"/>
        <v>3998.4000000000005</v>
      </c>
      <c r="I241" s="157">
        <f t="shared" si="142"/>
        <v>4426.8</v>
      </c>
      <c r="J241" s="157">
        <f t="shared" si="143"/>
        <v>4284</v>
      </c>
      <c r="K241" s="157">
        <f t="shared" si="144"/>
        <v>4426.8</v>
      </c>
      <c r="L241" s="157">
        <f t="shared" si="145"/>
        <v>4284</v>
      </c>
      <c r="M241" s="157">
        <f t="shared" si="146"/>
        <v>4426.8</v>
      </c>
      <c r="N241" s="157">
        <v>0</v>
      </c>
      <c r="O241" s="157">
        <v>0</v>
      </c>
      <c r="P241" s="157">
        <v>0</v>
      </c>
      <c r="Q241" s="157">
        <v>0</v>
      </c>
      <c r="R241" s="158">
        <v>0</v>
      </c>
      <c r="S241" s="2">
        <v>212</v>
      </c>
    </row>
    <row r="242" spans="1:22" ht="25.5" x14ac:dyDescent="0.25">
      <c r="A242" s="41"/>
      <c r="B242" s="318">
        <v>17</v>
      </c>
      <c r="C242" s="336" t="s">
        <v>38</v>
      </c>
      <c r="D242" s="82">
        <v>75.64</v>
      </c>
      <c r="E242" s="83">
        <v>1</v>
      </c>
      <c r="F242" s="157">
        <f>+E242*S242*D242</f>
        <v>16035.68</v>
      </c>
      <c r="G242" s="157">
        <f>E242*D242*31</f>
        <v>2344.84</v>
      </c>
      <c r="H242" s="189">
        <f>E242*D242*28</f>
        <v>2117.92</v>
      </c>
      <c r="I242" s="157">
        <f t="shared" ref="I242:I247" si="162">E242*D242*31</f>
        <v>2344.84</v>
      </c>
      <c r="J242" s="157">
        <f>E242*D242*30</f>
        <v>2269.1999999999998</v>
      </c>
      <c r="K242" s="157">
        <f>E242*D242*31</f>
        <v>2344.84</v>
      </c>
      <c r="L242" s="157">
        <f>E242*D242*30</f>
        <v>2269.1999999999998</v>
      </c>
      <c r="M242" s="157">
        <f>E242*D242*31</f>
        <v>2344.84</v>
      </c>
      <c r="N242" s="157">
        <v>0</v>
      </c>
      <c r="O242" s="157">
        <v>0</v>
      </c>
      <c r="P242" s="157">
        <v>0</v>
      </c>
      <c r="Q242" s="157">
        <v>0</v>
      </c>
      <c r="R242" s="158">
        <v>0</v>
      </c>
      <c r="S242" s="2">
        <v>212</v>
      </c>
    </row>
    <row r="243" spans="1:22" x14ac:dyDescent="0.25">
      <c r="A243" s="41"/>
      <c r="B243" s="150">
        <v>19</v>
      </c>
      <c r="C243" s="336" t="s">
        <v>32</v>
      </c>
      <c r="D243" s="82">
        <v>80.86</v>
      </c>
      <c r="E243" s="83">
        <v>6</v>
      </c>
      <c r="F243" s="157">
        <f t="shared" ref="F243" si="163">+E243*S243*D243</f>
        <v>102853.92</v>
      </c>
      <c r="G243" s="157">
        <f>E243*D243*31</f>
        <v>15039.96</v>
      </c>
      <c r="H243" s="189">
        <f>E243*D243*28</f>
        <v>13584.48</v>
      </c>
      <c r="I243" s="157">
        <f t="shared" si="162"/>
        <v>15039.96</v>
      </c>
      <c r="J243" s="157">
        <f>E243*D243*30</f>
        <v>14554.8</v>
      </c>
      <c r="K243" s="157">
        <f>E243*D243*31</f>
        <v>15039.96</v>
      </c>
      <c r="L243" s="157">
        <f>E243*D243*30</f>
        <v>14554.8</v>
      </c>
      <c r="M243" s="157">
        <f>E243*D243*31</f>
        <v>15039.96</v>
      </c>
      <c r="N243" s="157">
        <v>0</v>
      </c>
      <c r="O243" s="157">
        <v>0</v>
      </c>
      <c r="P243" s="157">
        <v>0</v>
      </c>
      <c r="Q243" s="157">
        <v>0</v>
      </c>
      <c r="R243" s="158">
        <v>0</v>
      </c>
      <c r="S243" s="2">
        <v>212</v>
      </c>
    </row>
    <row r="244" spans="1:22" x14ac:dyDescent="0.25">
      <c r="A244" s="41"/>
      <c r="B244" s="150">
        <v>20</v>
      </c>
      <c r="C244" s="336" t="s">
        <v>71</v>
      </c>
      <c r="D244" s="82">
        <v>71.400000000000006</v>
      </c>
      <c r="E244" s="83">
        <v>2</v>
      </c>
      <c r="F244" s="157">
        <f t="shared" ref="F244:F247" si="164">+E244*S244*D244</f>
        <v>10567.2</v>
      </c>
      <c r="G244" s="157">
        <v>0</v>
      </c>
      <c r="H244" s="189">
        <f t="shared" ref="H244:H247" si="165">E244*D244*28+D244*E244*15</f>
        <v>6140.4000000000005</v>
      </c>
      <c r="I244" s="157">
        <f t="shared" si="162"/>
        <v>4426.8</v>
      </c>
      <c r="J244" s="157">
        <v>0</v>
      </c>
      <c r="K244" s="157">
        <v>0</v>
      </c>
      <c r="L244" s="157">
        <v>0</v>
      </c>
      <c r="M244" s="157">
        <v>0</v>
      </c>
      <c r="N244" s="157">
        <v>0</v>
      </c>
      <c r="O244" s="157">
        <v>0</v>
      </c>
      <c r="P244" s="157">
        <v>0</v>
      </c>
      <c r="Q244" s="157">
        <v>0</v>
      </c>
      <c r="R244" s="158">
        <v>0</v>
      </c>
      <c r="S244" s="2">
        <f>15+28+31</f>
        <v>74</v>
      </c>
    </row>
    <row r="245" spans="1:22" x14ac:dyDescent="0.25">
      <c r="A245" s="41"/>
      <c r="B245" s="150">
        <v>21</v>
      </c>
      <c r="C245" s="338" t="s">
        <v>72</v>
      </c>
      <c r="D245" s="162">
        <v>71.400000000000006</v>
      </c>
      <c r="E245" s="83">
        <v>2</v>
      </c>
      <c r="F245" s="157">
        <f t="shared" si="164"/>
        <v>10567.2</v>
      </c>
      <c r="G245" s="157">
        <v>0</v>
      </c>
      <c r="H245" s="189">
        <f t="shared" si="165"/>
        <v>6140.4000000000005</v>
      </c>
      <c r="I245" s="157">
        <f t="shared" si="162"/>
        <v>4426.8</v>
      </c>
      <c r="J245" s="157">
        <v>0</v>
      </c>
      <c r="K245" s="157">
        <v>0</v>
      </c>
      <c r="L245" s="157">
        <v>0</v>
      </c>
      <c r="M245" s="157">
        <v>0</v>
      </c>
      <c r="N245" s="157">
        <v>0</v>
      </c>
      <c r="O245" s="157">
        <v>0</v>
      </c>
      <c r="P245" s="157">
        <v>0</v>
      </c>
      <c r="Q245" s="157">
        <v>0</v>
      </c>
      <c r="R245" s="158">
        <v>0</v>
      </c>
      <c r="S245" s="2">
        <f t="shared" ref="S245:S247" si="166">15+28+31</f>
        <v>74</v>
      </c>
    </row>
    <row r="246" spans="1:22" x14ac:dyDescent="0.25">
      <c r="A246" s="41"/>
      <c r="B246" s="150">
        <v>22</v>
      </c>
      <c r="C246" s="334" t="s">
        <v>48</v>
      </c>
      <c r="D246" s="162">
        <v>71.400000000000006</v>
      </c>
      <c r="E246" s="83">
        <v>1</v>
      </c>
      <c r="F246" s="157">
        <f t="shared" si="164"/>
        <v>5283.6</v>
      </c>
      <c r="G246" s="157">
        <v>0</v>
      </c>
      <c r="H246" s="189">
        <f t="shared" si="165"/>
        <v>3070.2000000000003</v>
      </c>
      <c r="I246" s="157">
        <f t="shared" si="162"/>
        <v>2213.4</v>
      </c>
      <c r="J246" s="157">
        <v>0</v>
      </c>
      <c r="K246" s="157">
        <v>0</v>
      </c>
      <c r="L246" s="157">
        <v>0</v>
      </c>
      <c r="M246" s="157">
        <v>0</v>
      </c>
      <c r="N246" s="157">
        <v>0</v>
      </c>
      <c r="O246" s="157">
        <v>0</v>
      </c>
      <c r="P246" s="157">
        <v>0</v>
      </c>
      <c r="Q246" s="157">
        <v>0</v>
      </c>
      <c r="R246" s="158">
        <v>0</v>
      </c>
      <c r="S246" s="2">
        <f t="shared" si="166"/>
        <v>74</v>
      </c>
    </row>
    <row r="247" spans="1:22" x14ac:dyDescent="0.25">
      <c r="A247" s="41"/>
      <c r="B247" s="150">
        <v>23</v>
      </c>
      <c r="C247" s="338" t="s">
        <v>30</v>
      </c>
      <c r="D247" s="162">
        <v>71.400000000000006</v>
      </c>
      <c r="E247" s="83">
        <v>1</v>
      </c>
      <c r="F247" s="157">
        <f t="shared" si="164"/>
        <v>5283.6</v>
      </c>
      <c r="G247" s="157">
        <v>0</v>
      </c>
      <c r="H247" s="189">
        <f t="shared" si="165"/>
        <v>3070.2000000000003</v>
      </c>
      <c r="I247" s="157">
        <f t="shared" si="162"/>
        <v>2213.4</v>
      </c>
      <c r="J247" s="157">
        <v>0</v>
      </c>
      <c r="K247" s="157">
        <v>0</v>
      </c>
      <c r="L247" s="157">
        <v>0</v>
      </c>
      <c r="M247" s="157">
        <v>0</v>
      </c>
      <c r="N247" s="157">
        <v>0</v>
      </c>
      <c r="O247" s="157">
        <v>0</v>
      </c>
      <c r="P247" s="157">
        <v>0</v>
      </c>
      <c r="Q247" s="157">
        <v>0</v>
      </c>
      <c r="R247" s="158">
        <v>0</v>
      </c>
      <c r="S247" s="2">
        <f t="shared" si="166"/>
        <v>74</v>
      </c>
    </row>
    <row r="248" spans="1:22" ht="15.75" thickBot="1" x14ac:dyDescent="0.3">
      <c r="A248" s="41"/>
      <c r="B248" s="89"/>
      <c r="C248" s="90" t="s">
        <v>39</v>
      </c>
      <c r="D248" s="91"/>
      <c r="E248" s="217"/>
      <c r="F248" s="240">
        <f xml:space="preserve"> 2861116-SUM(F220:F247)+281288</f>
        <v>1463425.3199999998</v>
      </c>
      <c r="G248" s="93"/>
      <c r="H248" s="115"/>
      <c r="I248" s="95"/>
      <c r="J248" s="241"/>
      <c r="K248" s="241"/>
      <c r="L248" s="95"/>
      <c r="M248" s="241"/>
      <c r="N248" s="95"/>
      <c r="O248" s="95"/>
      <c r="P248" s="95"/>
      <c r="Q248" s="95"/>
      <c r="R248" s="242">
        <f>F248</f>
        <v>1463425.3199999998</v>
      </c>
      <c r="S248" s="25"/>
    </row>
    <row r="249" spans="1:22" ht="51.75" x14ac:dyDescent="0.25">
      <c r="A249" s="41"/>
      <c r="B249" s="98"/>
      <c r="C249" s="243" t="s">
        <v>75</v>
      </c>
      <c r="D249" s="244"/>
      <c r="E249" s="245"/>
      <c r="F249" s="246"/>
      <c r="G249" s="246"/>
      <c r="H249" s="246"/>
      <c r="I249" s="246"/>
      <c r="J249" s="246"/>
      <c r="K249" s="246"/>
      <c r="L249" s="246"/>
      <c r="M249" s="246"/>
      <c r="N249" s="100"/>
      <c r="O249" s="100"/>
      <c r="P249" s="100"/>
      <c r="Q249" s="100"/>
      <c r="R249" s="197"/>
      <c r="S249" s="25"/>
    </row>
    <row r="250" spans="1:22" ht="34.5" customHeight="1" thickBot="1" x14ac:dyDescent="0.3">
      <c r="A250" s="41"/>
      <c r="B250" s="235"/>
      <c r="C250" s="363" t="s">
        <v>124</v>
      </c>
      <c r="D250" s="363"/>
      <c r="E250" s="247">
        <f>SUM(E252:E270)</f>
        <v>158</v>
      </c>
      <c r="F250" s="248">
        <f t="shared" ref="F250:R250" si="167">SUM(F252:F271)</f>
        <v>4195852</v>
      </c>
      <c r="G250" s="248">
        <f t="shared" si="167"/>
        <v>355851.17000000004</v>
      </c>
      <c r="H250" s="248">
        <f t="shared" si="167"/>
        <v>322533.40999999997</v>
      </c>
      <c r="I250" s="248">
        <f t="shared" si="167"/>
        <v>355851.17000000004</v>
      </c>
      <c r="J250" s="248">
        <f t="shared" si="167"/>
        <v>342133.2</v>
      </c>
      <c r="K250" s="248">
        <f t="shared" si="167"/>
        <v>353537.64000000007</v>
      </c>
      <c r="L250" s="248">
        <f t="shared" si="167"/>
        <v>342133.2</v>
      </c>
      <c r="M250" s="248">
        <f t="shared" si="167"/>
        <v>353537.64000000007</v>
      </c>
      <c r="N250" s="248">
        <f t="shared" si="167"/>
        <v>0</v>
      </c>
      <c r="O250" s="248">
        <f t="shared" si="167"/>
        <v>0</v>
      </c>
      <c r="P250" s="248">
        <f t="shared" si="167"/>
        <v>0</v>
      </c>
      <c r="Q250" s="248">
        <f t="shared" si="167"/>
        <v>0</v>
      </c>
      <c r="R250" s="249">
        <f t="shared" si="167"/>
        <v>1770274.5700000003</v>
      </c>
      <c r="S250" s="326">
        <f>F250-SUM(G250:R250)</f>
        <v>0</v>
      </c>
    </row>
    <row r="251" spans="1:22" x14ac:dyDescent="0.25">
      <c r="A251" s="41"/>
      <c r="B251" s="80"/>
      <c r="C251" s="123"/>
      <c r="D251" s="123"/>
      <c r="E251" s="75" t="s">
        <v>29</v>
      </c>
      <c r="F251" s="319">
        <v>-21300</v>
      </c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250"/>
      <c r="S251" s="148"/>
      <c r="V251" s="149"/>
    </row>
    <row r="252" spans="1:22" x14ac:dyDescent="0.25">
      <c r="A252" s="41"/>
      <c r="B252" s="150">
        <v>1</v>
      </c>
      <c r="C252" s="151" t="s">
        <v>41</v>
      </c>
      <c r="D252" s="82">
        <v>72.540000000000006</v>
      </c>
      <c r="E252" s="83">
        <v>20</v>
      </c>
      <c r="F252" s="157">
        <f t="shared" ref="F252:F270" si="168">+E252*S252*D252</f>
        <v>307569.60000000003</v>
      </c>
      <c r="G252" s="157">
        <f t="shared" ref="G252:G270" si="169">E252*D252*31</f>
        <v>44974.8</v>
      </c>
      <c r="H252" s="189">
        <f t="shared" ref="H252:H270" si="170">E252*D252*28</f>
        <v>40622.400000000009</v>
      </c>
      <c r="I252" s="157">
        <f t="shared" ref="I252:I270" si="171">E252*D252*31</f>
        <v>44974.8</v>
      </c>
      <c r="J252" s="157">
        <f t="shared" ref="J252:J270" si="172">E252*D252*30</f>
        <v>43524.000000000007</v>
      </c>
      <c r="K252" s="157">
        <f t="shared" ref="K252:K270" si="173">E252*D252*31</f>
        <v>44974.8</v>
      </c>
      <c r="L252" s="157">
        <f t="shared" ref="L252:L270" si="174">E252*D252*30</f>
        <v>43524.000000000007</v>
      </c>
      <c r="M252" s="157">
        <f t="shared" ref="M252:M270" si="175">E252*D252*31</f>
        <v>44974.8</v>
      </c>
      <c r="N252" s="157">
        <v>0</v>
      </c>
      <c r="O252" s="157">
        <v>0</v>
      </c>
      <c r="P252" s="157">
        <v>0</v>
      </c>
      <c r="Q252" s="157">
        <v>0</v>
      </c>
      <c r="R252" s="158">
        <v>0</v>
      </c>
      <c r="S252" s="2">
        <v>212</v>
      </c>
      <c r="V252" s="149"/>
    </row>
    <row r="253" spans="1:22" x14ac:dyDescent="0.25">
      <c r="A253" s="41"/>
      <c r="B253" s="80">
        <v>2</v>
      </c>
      <c r="C253" s="81" t="s">
        <v>52</v>
      </c>
      <c r="D253" s="82">
        <v>73.59</v>
      </c>
      <c r="E253" s="83">
        <v>17</v>
      </c>
      <c r="F253" s="157">
        <f t="shared" si="168"/>
        <v>265218.36</v>
      </c>
      <c r="G253" s="157">
        <f t="shared" si="169"/>
        <v>38781.93</v>
      </c>
      <c r="H253" s="189">
        <f t="shared" si="170"/>
        <v>35028.839999999997</v>
      </c>
      <c r="I253" s="157">
        <f t="shared" si="171"/>
        <v>38781.93</v>
      </c>
      <c r="J253" s="157">
        <f t="shared" si="172"/>
        <v>37530.9</v>
      </c>
      <c r="K253" s="157">
        <f t="shared" si="173"/>
        <v>38781.93</v>
      </c>
      <c r="L253" s="157">
        <f t="shared" si="174"/>
        <v>37530.9</v>
      </c>
      <c r="M253" s="157">
        <f t="shared" si="175"/>
        <v>38781.93</v>
      </c>
      <c r="N253" s="157">
        <v>0</v>
      </c>
      <c r="O253" s="157">
        <v>0</v>
      </c>
      <c r="P253" s="157">
        <v>0</v>
      </c>
      <c r="Q253" s="157">
        <v>0</v>
      </c>
      <c r="R253" s="158">
        <v>0</v>
      </c>
      <c r="S253" s="2">
        <v>212</v>
      </c>
      <c r="V253" s="149"/>
    </row>
    <row r="254" spans="1:22" x14ac:dyDescent="0.25">
      <c r="A254" s="41"/>
      <c r="B254" s="80">
        <v>3</v>
      </c>
      <c r="C254" s="81" t="s">
        <v>53</v>
      </c>
      <c r="D254" s="82">
        <v>74.63</v>
      </c>
      <c r="E254" s="83">
        <v>12</v>
      </c>
      <c r="F254" s="157">
        <f t="shared" si="168"/>
        <v>189858.72</v>
      </c>
      <c r="G254" s="157">
        <f t="shared" si="169"/>
        <v>27762.359999999997</v>
      </c>
      <c r="H254" s="189">
        <f t="shared" si="170"/>
        <v>25075.68</v>
      </c>
      <c r="I254" s="157">
        <f t="shared" si="171"/>
        <v>27762.359999999997</v>
      </c>
      <c r="J254" s="157">
        <f t="shared" si="172"/>
        <v>26866.799999999999</v>
      </c>
      <c r="K254" s="157">
        <f t="shared" si="173"/>
        <v>27762.359999999997</v>
      </c>
      <c r="L254" s="157">
        <f t="shared" si="174"/>
        <v>26866.799999999999</v>
      </c>
      <c r="M254" s="157">
        <f t="shared" si="175"/>
        <v>27762.359999999997</v>
      </c>
      <c r="N254" s="157">
        <v>0</v>
      </c>
      <c r="O254" s="157">
        <v>0</v>
      </c>
      <c r="P254" s="157">
        <v>0</v>
      </c>
      <c r="Q254" s="157">
        <v>0</v>
      </c>
      <c r="R254" s="158">
        <v>0</v>
      </c>
      <c r="S254" s="2">
        <v>212</v>
      </c>
      <c r="V254" s="149"/>
    </row>
    <row r="255" spans="1:22" s="164" customFormat="1" x14ac:dyDescent="0.25">
      <c r="A255" s="159"/>
      <c r="B255" s="160">
        <v>3</v>
      </c>
      <c r="C255" s="340" t="s">
        <v>53</v>
      </c>
      <c r="D255" s="162">
        <v>74.63</v>
      </c>
      <c r="E255" s="83">
        <v>1</v>
      </c>
      <c r="F255" s="157">
        <f t="shared" ref="F255" si="176">+E255*S255*D255</f>
        <v>2313.5299999999997</v>
      </c>
      <c r="G255" s="157">
        <f t="shared" ref="G255" si="177">E255*D255*31</f>
        <v>2313.5299999999997</v>
      </c>
      <c r="H255" s="189">
        <v>0</v>
      </c>
      <c r="I255" s="157">
        <v>0</v>
      </c>
      <c r="J255" s="157">
        <v>0</v>
      </c>
      <c r="K255" s="157">
        <v>0</v>
      </c>
      <c r="L255" s="157">
        <v>0</v>
      </c>
      <c r="M255" s="157">
        <v>0</v>
      </c>
      <c r="N255" s="157">
        <v>0</v>
      </c>
      <c r="O255" s="157">
        <v>0</v>
      </c>
      <c r="P255" s="157">
        <v>0</v>
      </c>
      <c r="Q255" s="157">
        <v>0</v>
      </c>
      <c r="R255" s="158">
        <v>0</v>
      </c>
      <c r="S255" s="210">
        <v>31</v>
      </c>
      <c r="V255" s="163"/>
    </row>
    <row r="256" spans="1:22" x14ac:dyDescent="0.25">
      <c r="A256" s="41"/>
      <c r="B256" s="150">
        <v>18</v>
      </c>
      <c r="C256" s="333" t="s">
        <v>53</v>
      </c>
      <c r="D256" s="82">
        <v>74.63</v>
      </c>
      <c r="E256" s="83">
        <v>1</v>
      </c>
      <c r="F256" s="157">
        <f t="shared" si="168"/>
        <v>5522.62</v>
      </c>
      <c r="G256" s="157">
        <v>0</v>
      </c>
      <c r="H256" s="189">
        <f>E256*D256*28+D256*E256*15</f>
        <v>3209.0899999999997</v>
      </c>
      <c r="I256" s="157">
        <f t="shared" si="171"/>
        <v>2313.5299999999997</v>
      </c>
      <c r="J256" s="157">
        <v>0</v>
      </c>
      <c r="K256" s="157">
        <v>0</v>
      </c>
      <c r="L256" s="157">
        <v>0</v>
      </c>
      <c r="M256" s="157">
        <v>0</v>
      </c>
      <c r="N256" s="157">
        <v>0</v>
      </c>
      <c r="O256" s="157">
        <v>0</v>
      </c>
      <c r="P256" s="157">
        <v>0</v>
      </c>
      <c r="Q256" s="157">
        <v>0</v>
      </c>
      <c r="R256" s="158">
        <v>0</v>
      </c>
      <c r="S256" s="2">
        <f>15+28+31</f>
        <v>74</v>
      </c>
      <c r="V256" s="149"/>
    </row>
    <row r="257" spans="1:22" x14ac:dyDescent="0.25">
      <c r="A257" s="41"/>
      <c r="B257" s="150">
        <v>4</v>
      </c>
      <c r="C257" s="81" t="s">
        <v>71</v>
      </c>
      <c r="D257" s="82">
        <v>71.400000000000006</v>
      </c>
      <c r="E257" s="83">
        <v>5</v>
      </c>
      <c r="F257" s="157">
        <f t="shared" si="168"/>
        <v>75684</v>
      </c>
      <c r="G257" s="157">
        <f t="shared" si="169"/>
        <v>11067</v>
      </c>
      <c r="H257" s="189">
        <f t="shared" si="170"/>
        <v>9996</v>
      </c>
      <c r="I257" s="157">
        <f t="shared" si="171"/>
        <v>11067</v>
      </c>
      <c r="J257" s="157">
        <f t="shared" si="172"/>
        <v>10710</v>
      </c>
      <c r="K257" s="157">
        <f t="shared" si="173"/>
        <v>11067</v>
      </c>
      <c r="L257" s="157">
        <f t="shared" si="174"/>
        <v>10710</v>
      </c>
      <c r="M257" s="157">
        <f t="shared" si="175"/>
        <v>11067</v>
      </c>
      <c r="N257" s="157">
        <v>0</v>
      </c>
      <c r="O257" s="157">
        <v>0</v>
      </c>
      <c r="P257" s="157">
        <v>0</v>
      </c>
      <c r="Q257" s="157">
        <v>0</v>
      </c>
      <c r="R257" s="158">
        <v>0</v>
      </c>
      <c r="S257" s="2">
        <v>212</v>
      </c>
      <c r="V257" s="149"/>
    </row>
    <row r="258" spans="1:22" x14ac:dyDescent="0.25">
      <c r="A258" s="41"/>
      <c r="B258" s="318">
        <v>5</v>
      </c>
      <c r="C258" s="81" t="s">
        <v>72</v>
      </c>
      <c r="D258" s="82">
        <v>71.400000000000006</v>
      </c>
      <c r="E258" s="83">
        <v>1</v>
      </c>
      <c r="F258" s="157">
        <f t="shared" si="168"/>
        <v>15136.800000000001</v>
      </c>
      <c r="G258" s="157">
        <f t="shared" si="169"/>
        <v>2213.4</v>
      </c>
      <c r="H258" s="189">
        <f t="shared" si="170"/>
        <v>1999.2000000000003</v>
      </c>
      <c r="I258" s="157">
        <f t="shared" si="171"/>
        <v>2213.4</v>
      </c>
      <c r="J258" s="157">
        <f t="shared" si="172"/>
        <v>2142</v>
      </c>
      <c r="K258" s="157">
        <f t="shared" si="173"/>
        <v>2213.4</v>
      </c>
      <c r="L258" s="157">
        <f t="shared" si="174"/>
        <v>2142</v>
      </c>
      <c r="M258" s="157">
        <f t="shared" si="175"/>
        <v>2213.4</v>
      </c>
      <c r="N258" s="157">
        <v>0</v>
      </c>
      <c r="O258" s="157">
        <v>0</v>
      </c>
      <c r="P258" s="157">
        <v>0</v>
      </c>
      <c r="Q258" s="157">
        <v>0</v>
      </c>
      <c r="R258" s="158">
        <v>0</v>
      </c>
      <c r="S258" s="2">
        <v>212</v>
      </c>
      <c r="V258" s="149"/>
    </row>
    <row r="259" spans="1:22" x14ac:dyDescent="0.25">
      <c r="A259" s="41"/>
      <c r="B259" s="318">
        <v>6</v>
      </c>
      <c r="C259" s="81" t="s">
        <v>30</v>
      </c>
      <c r="D259" s="82">
        <v>71.400000000000006</v>
      </c>
      <c r="E259" s="83">
        <v>4</v>
      </c>
      <c r="F259" s="157">
        <f t="shared" si="168"/>
        <v>60547.200000000004</v>
      </c>
      <c r="G259" s="157">
        <f t="shared" si="169"/>
        <v>8853.6</v>
      </c>
      <c r="H259" s="189">
        <f t="shared" si="170"/>
        <v>7996.8000000000011</v>
      </c>
      <c r="I259" s="157">
        <f t="shared" si="171"/>
        <v>8853.6</v>
      </c>
      <c r="J259" s="157">
        <f t="shared" si="172"/>
        <v>8568</v>
      </c>
      <c r="K259" s="157">
        <f t="shared" si="173"/>
        <v>8853.6</v>
      </c>
      <c r="L259" s="157">
        <f t="shared" si="174"/>
        <v>8568</v>
      </c>
      <c r="M259" s="157">
        <f t="shared" si="175"/>
        <v>8853.6</v>
      </c>
      <c r="N259" s="157">
        <v>0</v>
      </c>
      <c r="O259" s="157">
        <v>0</v>
      </c>
      <c r="P259" s="157">
        <v>0</v>
      </c>
      <c r="Q259" s="157">
        <v>0</v>
      </c>
      <c r="R259" s="158">
        <v>0</v>
      </c>
      <c r="S259" s="2">
        <v>212</v>
      </c>
      <c r="V259" s="149"/>
    </row>
    <row r="260" spans="1:22" ht="15.75" customHeight="1" x14ac:dyDescent="0.25">
      <c r="A260" s="41"/>
      <c r="B260" s="150">
        <v>7</v>
      </c>
      <c r="C260" s="81" t="s">
        <v>66</v>
      </c>
      <c r="D260" s="82">
        <v>73.59</v>
      </c>
      <c r="E260" s="83">
        <v>4</v>
      </c>
      <c r="F260" s="157">
        <f t="shared" si="168"/>
        <v>62404.32</v>
      </c>
      <c r="G260" s="157">
        <f t="shared" si="169"/>
        <v>9125.16</v>
      </c>
      <c r="H260" s="189">
        <f t="shared" si="170"/>
        <v>8242.08</v>
      </c>
      <c r="I260" s="157">
        <f t="shared" si="171"/>
        <v>9125.16</v>
      </c>
      <c r="J260" s="157">
        <f t="shared" si="172"/>
        <v>8830.8000000000011</v>
      </c>
      <c r="K260" s="157">
        <f t="shared" si="173"/>
        <v>9125.16</v>
      </c>
      <c r="L260" s="157">
        <f t="shared" si="174"/>
        <v>8830.8000000000011</v>
      </c>
      <c r="M260" s="157">
        <f t="shared" si="175"/>
        <v>9125.16</v>
      </c>
      <c r="N260" s="157">
        <v>0</v>
      </c>
      <c r="O260" s="157">
        <v>0</v>
      </c>
      <c r="P260" s="157">
        <v>0</v>
      </c>
      <c r="Q260" s="157">
        <v>0</v>
      </c>
      <c r="R260" s="158">
        <v>0</v>
      </c>
      <c r="S260" s="2">
        <v>212</v>
      </c>
      <c r="V260" s="149"/>
    </row>
    <row r="261" spans="1:22" x14ac:dyDescent="0.25">
      <c r="A261" s="41"/>
      <c r="B261" s="318">
        <v>8</v>
      </c>
      <c r="C261" s="81" t="s">
        <v>45</v>
      </c>
      <c r="D261" s="82">
        <v>74.63</v>
      </c>
      <c r="E261" s="83">
        <v>1</v>
      </c>
      <c r="F261" s="157">
        <f t="shared" si="168"/>
        <v>15821.56</v>
      </c>
      <c r="G261" s="157">
        <f t="shared" si="169"/>
        <v>2313.5299999999997</v>
      </c>
      <c r="H261" s="189">
        <f t="shared" si="170"/>
        <v>2089.64</v>
      </c>
      <c r="I261" s="157">
        <f t="shared" si="171"/>
        <v>2313.5299999999997</v>
      </c>
      <c r="J261" s="157">
        <f t="shared" si="172"/>
        <v>2238.8999999999996</v>
      </c>
      <c r="K261" s="157">
        <f t="shared" si="173"/>
        <v>2313.5299999999997</v>
      </c>
      <c r="L261" s="157">
        <f t="shared" si="174"/>
        <v>2238.8999999999996</v>
      </c>
      <c r="M261" s="157">
        <f t="shared" si="175"/>
        <v>2313.5299999999997</v>
      </c>
      <c r="N261" s="157">
        <v>0</v>
      </c>
      <c r="O261" s="157">
        <v>0</v>
      </c>
      <c r="P261" s="157">
        <v>0</v>
      </c>
      <c r="Q261" s="157">
        <v>0</v>
      </c>
      <c r="R261" s="158">
        <v>0</v>
      </c>
      <c r="S261" s="2">
        <v>212</v>
      </c>
      <c r="V261" s="149"/>
    </row>
    <row r="262" spans="1:22" x14ac:dyDescent="0.25">
      <c r="A262" s="41"/>
      <c r="B262" s="318">
        <v>9</v>
      </c>
      <c r="C262" s="81" t="s">
        <v>76</v>
      </c>
      <c r="D262" s="82">
        <v>72.540000000000006</v>
      </c>
      <c r="E262" s="83">
        <v>1</v>
      </c>
      <c r="F262" s="157">
        <f t="shared" si="168"/>
        <v>15378.480000000001</v>
      </c>
      <c r="G262" s="157">
        <f t="shared" si="169"/>
        <v>2248.7400000000002</v>
      </c>
      <c r="H262" s="189">
        <f t="shared" si="170"/>
        <v>2031.1200000000001</v>
      </c>
      <c r="I262" s="157">
        <f t="shared" si="171"/>
        <v>2248.7400000000002</v>
      </c>
      <c r="J262" s="157">
        <f t="shared" si="172"/>
        <v>2176.2000000000003</v>
      </c>
      <c r="K262" s="157">
        <f t="shared" si="173"/>
        <v>2248.7400000000002</v>
      </c>
      <c r="L262" s="157">
        <f t="shared" si="174"/>
        <v>2176.2000000000003</v>
      </c>
      <c r="M262" s="157">
        <f t="shared" si="175"/>
        <v>2248.7400000000002</v>
      </c>
      <c r="N262" s="157">
        <v>0</v>
      </c>
      <c r="O262" s="157">
        <v>0</v>
      </c>
      <c r="P262" s="157">
        <v>0</v>
      </c>
      <c r="Q262" s="157">
        <v>0</v>
      </c>
      <c r="R262" s="158">
        <v>0</v>
      </c>
      <c r="S262" s="2">
        <v>212</v>
      </c>
      <c r="V262" s="149"/>
    </row>
    <row r="263" spans="1:22" x14ac:dyDescent="0.25">
      <c r="A263" s="41"/>
      <c r="B263" s="150">
        <v>10</v>
      </c>
      <c r="C263" s="81" t="s">
        <v>33</v>
      </c>
      <c r="D263" s="82">
        <v>71.400000000000006</v>
      </c>
      <c r="E263" s="83">
        <v>2</v>
      </c>
      <c r="F263" s="157">
        <f t="shared" si="168"/>
        <v>30273.600000000002</v>
      </c>
      <c r="G263" s="157">
        <f t="shared" si="169"/>
        <v>4426.8</v>
      </c>
      <c r="H263" s="189">
        <f t="shared" si="170"/>
        <v>3998.4000000000005</v>
      </c>
      <c r="I263" s="157">
        <f t="shared" si="171"/>
        <v>4426.8</v>
      </c>
      <c r="J263" s="157">
        <f t="shared" si="172"/>
        <v>4284</v>
      </c>
      <c r="K263" s="157">
        <f t="shared" si="173"/>
        <v>4426.8</v>
      </c>
      <c r="L263" s="157">
        <f t="shared" si="174"/>
        <v>4284</v>
      </c>
      <c r="M263" s="157">
        <f t="shared" si="175"/>
        <v>4426.8</v>
      </c>
      <c r="N263" s="157">
        <v>0</v>
      </c>
      <c r="O263" s="157">
        <v>0</v>
      </c>
      <c r="P263" s="157">
        <v>0</v>
      </c>
      <c r="Q263" s="157">
        <v>0</v>
      </c>
      <c r="R263" s="158">
        <v>0</v>
      </c>
      <c r="S263" s="2">
        <v>212</v>
      </c>
      <c r="V263" s="149"/>
    </row>
    <row r="264" spans="1:22" x14ac:dyDescent="0.25">
      <c r="A264" s="41"/>
      <c r="B264" s="318">
        <v>11</v>
      </c>
      <c r="C264" s="81" t="s">
        <v>63</v>
      </c>
      <c r="D264" s="82">
        <v>80.86</v>
      </c>
      <c r="E264" s="83">
        <v>1</v>
      </c>
      <c r="F264" s="157">
        <f t="shared" si="168"/>
        <v>17142.32</v>
      </c>
      <c r="G264" s="157">
        <f t="shared" si="169"/>
        <v>2506.66</v>
      </c>
      <c r="H264" s="189">
        <f t="shared" si="170"/>
        <v>2264.08</v>
      </c>
      <c r="I264" s="157">
        <f t="shared" si="171"/>
        <v>2506.66</v>
      </c>
      <c r="J264" s="157">
        <f t="shared" si="172"/>
        <v>2425.8000000000002</v>
      </c>
      <c r="K264" s="157">
        <f t="shared" si="173"/>
        <v>2506.66</v>
      </c>
      <c r="L264" s="157">
        <f t="shared" si="174"/>
        <v>2425.8000000000002</v>
      </c>
      <c r="M264" s="157">
        <f t="shared" si="175"/>
        <v>2506.66</v>
      </c>
      <c r="N264" s="157">
        <v>0</v>
      </c>
      <c r="O264" s="157">
        <v>0</v>
      </c>
      <c r="P264" s="157">
        <v>0</v>
      </c>
      <c r="Q264" s="157">
        <v>0</v>
      </c>
      <c r="R264" s="158">
        <v>0</v>
      </c>
      <c r="S264" s="2">
        <v>212</v>
      </c>
      <c r="V264" s="149"/>
    </row>
    <row r="265" spans="1:22" x14ac:dyDescent="0.25">
      <c r="A265" s="41"/>
      <c r="B265" s="318">
        <v>12</v>
      </c>
      <c r="C265" s="81" t="s">
        <v>34</v>
      </c>
      <c r="D265" s="82">
        <v>78.25</v>
      </c>
      <c r="E265" s="83">
        <v>20</v>
      </c>
      <c r="F265" s="157">
        <f t="shared" si="168"/>
        <v>331780</v>
      </c>
      <c r="G265" s="157">
        <f t="shared" si="169"/>
        <v>48515</v>
      </c>
      <c r="H265" s="189">
        <f t="shared" si="170"/>
        <v>43820</v>
      </c>
      <c r="I265" s="157">
        <f t="shared" si="171"/>
        <v>48515</v>
      </c>
      <c r="J265" s="157">
        <f t="shared" si="172"/>
        <v>46950</v>
      </c>
      <c r="K265" s="157">
        <f t="shared" si="173"/>
        <v>48515</v>
      </c>
      <c r="L265" s="157">
        <f t="shared" si="174"/>
        <v>46950</v>
      </c>
      <c r="M265" s="157">
        <f t="shared" si="175"/>
        <v>48515</v>
      </c>
      <c r="N265" s="157">
        <v>0</v>
      </c>
      <c r="O265" s="157">
        <v>0</v>
      </c>
      <c r="P265" s="157">
        <v>0</v>
      </c>
      <c r="Q265" s="157">
        <v>0</v>
      </c>
      <c r="R265" s="158">
        <v>0</v>
      </c>
      <c r="S265" s="2">
        <v>212</v>
      </c>
      <c r="V265" s="149"/>
    </row>
    <row r="266" spans="1:22" x14ac:dyDescent="0.25">
      <c r="A266" s="41"/>
      <c r="B266" s="150">
        <v>13</v>
      </c>
      <c r="C266" s="81" t="s">
        <v>77</v>
      </c>
      <c r="D266" s="82">
        <v>72.540000000000006</v>
      </c>
      <c r="E266" s="83">
        <v>2</v>
      </c>
      <c r="F266" s="157">
        <f t="shared" si="168"/>
        <v>30756.960000000003</v>
      </c>
      <c r="G266" s="157">
        <f t="shared" si="169"/>
        <v>4497.4800000000005</v>
      </c>
      <c r="H266" s="189">
        <f t="shared" si="170"/>
        <v>4062.2400000000002</v>
      </c>
      <c r="I266" s="157">
        <f t="shared" si="171"/>
        <v>4497.4800000000005</v>
      </c>
      <c r="J266" s="157">
        <f t="shared" si="172"/>
        <v>4352.4000000000005</v>
      </c>
      <c r="K266" s="157">
        <f t="shared" si="173"/>
        <v>4497.4800000000005</v>
      </c>
      <c r="L266" s="157">
        <f t="shared" si="174"/>
        <v>4352.4000000000005</v>
      </c>
      <c r="M266" s="157">
        <f t="shared" si="175"/>
        <v>4497.4800000000005</v>
      </c>
      <c r="N266" s="157">
        <v>0</v>
      </c>
      <c r="O266" s="157">
        <v>0</v>
      </c>
      <c r="P266" s="157">
        <v>0</v>
      </c>
      <c r="Q266" s="157">
        <v>0</v>
      </c>
      <c r="R266" s="158">
        <v>0</v>
      </c>
      <c r="S266" s="2">
        <v>212</v>
      </c>
      <c r="V266" s="149"/>
    </row>
    <row r="267" spans="1:22" x14ac:dyDescent="0.25">
      <c r="A267" s="41"/>
      <c r="B267" s="318">
        <v>14</v>
      </c>
      <c r="C267" s="161" t="s">
        <v>48</v>
      </c>
      <c r="D267" s="162">
        <v>71.400000000000006</v>
      </c>
      <c r="E267" s="83">
        <v>38</v>
      </c>
      <c r="F267" s="157">
        <f t="shared" si="168"/>
        <v>575198.4</v>
      </c>
      <c r="G267" s="157">
        <f t="shared" si="169"/>
        <v>84109.200000000012</v>
      </c>
      <c r="H267" s="189">
        <f t="shared" si="170"/>
        <v>75969.600000000006</v>
      </c>
      <c r="I267" s="157">
        <f t="shared" si="171"/>
        <v>84109.200000000012</v>
      </c>
      <c r="J267" s="157">
        <f t="shared" si="172"/>
        <v>81396.000000000015</v>
      </c>
      <c r="K267" s="157">
        <f t="shared" si="173"/>
        <v>84109.200000000012</v>
      </c>
      <c r="L267" s="157">
        <f t="shared" si="174"/>
        <v>81396.000000000015</v>
      </c>
      <c r="M267" s="157">
        <f t="shared" si="175"/>
        <v>84109.200000000012</v>
      </c>
      <c r="N267" s="157">
        <v>0</v>
      </c>
      <c r="O267" s="157">
        <v>0</v>
      </c>
      <c r="P267" s="157">
        <v>0</v>
      </c>
      <c r="Q267" s="157">
        <v>0</v>
      </c>
      <c r="R267" s="158">
        <v>0</v>
      </c>
      <c r="S267" s="2">
        <v>212</v>
      </c>
      <c r="V267" s="149"/>
    </row>
    <row r="268" spans="1:22" x14ac:dyDescent="0.25">
      <c r="A268" s="41"/>
      <c r="B268" s="318">
        <v>15</v>
      </c>
      <c r="C268" s="81" t="s">
        <v>54</v>
      </c>
      <c r="D268" s="82">
        <v>71.400000000000006</v>
      </c>
      <c r="E268" s="83">
        <v>26</v>
      </c>
      <c r="F268" s="157">
        <f t="shared" si="168"/>
        <v>393556.80000000005</v>
      </c>
      <c r="G268" s="157">
        <f t="shared" si="169"/>
        <v>57548.4</v>
      </c>
      <c r="H268" s="189">
        <f t="shared" si="170"/>
        <v>51979.200000000004</v>
      </c>
      <c r="I268" s="157">
        <f t="shared" si="171"/>
        <v>57548.4</v>
      </c>
      <c r="J268" s="157">
        <f t="shared" si="172"/>
        <v>55692</v>
      </c>
      <c r="K268" s="157">
        <f t="shared" si="173"/>
        <v>57548.4</v>
      </c>
      <c r="L268" s="157">
        <f t="shared" si="174"/>
        <v>55692</v>
      </c>
      <c r="M268" s="157">
        <f t="shared" si="175"/>
        <v>57548.4</v>
      </c>
      <c r="N268" s="157">
        <v>0</v>
      </c>
      <c r="O268" s="157">
        <v>0</v>
      </c>
      <c r="P268" s="157">
        <v>0</v>
      </c>
      <c r="Q268" s="157">
        <v>0</v>
      </c>
      <c r="R268" s="158">
        <v>0</v>
      </c>
      <c r="S268" s="2">
        <v>212</v>
      </c>
      <c r="V268" s="149"/>
    </row>
    <row r="269" spans="1:22" x14ac:dyDescent="0.25">
      <c r="A269" s="41"/>
      <c r="B269" s="150">
        <v>16</v>
      </c>
      <c r="C269" s="81" t="s">
        <v>49</v>
      </c>
      <c r="D269" s="82">
        <v>72.540000000000006</v>
      </c>
      <c r="E269" s="83">
        <v>1</v>
      </c>
      <c r="F269" s="157">
        <f t="shared" si="168"/>
        <v>15378.480000000001</v>
      </c>
      <c r="G269" s="157">
        <f t="shared" si="169"/>
        <v>2248.7400000000002</v>
      </c>
      <c r="H269" s="189">
        <f t="shared" si="170"/>
        <v>2031.1200000000001</v>
      </c>
      <c r="I269" s="157">
        <f t="shared" si="171"/>
        <v>2248.7400000000002</v>
      </c>
      <c r="J269" s="157">
        <f t="shared" si="172"/>
        <v>2176.2000000000003</v>
      </c>
      <c r="K269" s="157">
        <f t="shared" si="173"/>
        <v>2248.7400000000002</v>
      </c>
      <c r="L269" s="157">
        <f t="shared" si="174"/>
        <v>2176.2000000000003</v>
      </c>
      <c r="M269" s="157">
        <f t="shared" si="175"/>
        <v>2248.7400000000002</v>
      </c>
      <c r="N269" s="157">
        <v>0</v>
      </c>
      <c r="O269" s="157">
        <v>0</v>
      </c>
      <c r="P269" s="157">
        <v>0</v>
      </c>
      <c r="Q269" s="157">
        <v>0</v>
      </c>
      <c r="R269" s="158">
        <v>0</v>
      </c>
      <c r="S269" s="2">
        <v>212</v>
      </c>
      <c r="V269" s="149"/>
    </row>
    <row r="270" spans="1:22" ht="15" customHeight="1" x14ac:dyDescent="0.25">
      <c r="A270" s="41"/>
      <c r="B270" s="150">
        <v>17</v>
      </c>
      <c r="C270" s="81" t="s">
        <v>38</v>
      </c>
      <c r="D270" s="82">
        <v>75.64</v>
      </c>
      <c r="E270" s="83">
        <v>1</v>
      </c>
      <c r="F270" s="157">
        <f t="shared" si="168"/>
        <v>16035.68</v>
      </c>
      <c r="G270" s="157">
        <f t="shared" si="169"/>
        <v>2344.84</v>
      </c>
      <c r="H270" s="189">
        <f t="shared" si="170"/>
        <v>2117.92</v>
      </c>
      <c r="I270" s="157">
        <f t="shared" si="171"/>
        <v>2344.84</v>
      </c>
      <c r="J270" s="157">
        <f t="shared" si="172"/>
        <v>2269.1999999999998</v>
      </c>
      <c r="K270" s="157">
        <f t="shared" si="173"/>
        <v>2344.84</v>
      </c>
      <c r="L270" s="157">
        <f t="shared" si="174"/>
        <v>2269.1999999999998</v>
      </c>
      <c r="M270" s="157">
        <f t="shared" si="175"/>
        <v>2344.84</v>
      </c>
      <c r="N270" s="157">
        <v>0</v>
      </c>
      <c r="O270" s="157">
        <v>0</v>
      </c>
      <c r="P270" s="157">
        <v>0</v>
      </c>
      <c r="Q270" s="157">
        <v>0</v>
      </c>
      <c r="R270" s="158">
        <v>0</v>
      </c>
      <c r="S270" s="2">
        <v>212</v>
      </c>
      <c r="V270" s="149"/>
    </row>
    <row r="271" spans="1:22" ht="15.75" thickBot="1" x14ac:dyDescent="0.3">
      <c r="A271" s="41"/>
      <c r="B271" s="89"/>
      <c r="C271" s="90" t="s">
        <v>39</v>
      </c>
      <c r="D271" s="91"/>
      <c r="E271" s="217"/>
      <c r="F271" s="95">
        <f>4217152-SUM(F252:F270)-21300</f>
        <v>1770274.5700000003</v>
      </c>
      <c r="G271" s="93"/>
      <c r="H271" s="94"/>
      <c r="I271" s="95"/>
      <c r="J271" s="241"/>
      <c r="K271" s="95"/>
      <c r="L271" s="241"/>
      <c r="M271" s="95"/>
      <c r="N271" s="95"/>
      <c r="O271" s="95"/>
      <c r="P271" s="95"/>
      <c r="Q271" s="95"/>
      <c r="R271" s="97">
        <f>F271</f>
        <v>1770274.5700000003</v>
      </c>
      <c r="S271" s="25"/>
      <c r="V271" s="149"/>
    </row>
    <row r="272" spans="1:22" ht="15.75" thickBot="1" x14ac:dyDescent="0.3">
      <c r="A272" s="41"/>
      <c r="B272" s="301"/>
      <c r="C272" s="292" t="s">
        <v>78</v>
      </c>
      <c r="D272" s="251"/>
      <c r="E272" s="252">
        <v>0</v>
      </c>
      <c r="F272" s="253">
        <f>F274</f>
        <v>553322</v>
      </c>
      <c r="G272" s="253">
        <f t="shared" ref="G272:R272" si="178">G274</f>
        <v>0</v>
      </c>
      <c r="H272" s="253">
        <f t="shared" si="178"/>
        <v>0</v>
      </c>
      <c r="I272" s="253">
        <f t="shared" si="178"/>
        <v>0</v>
      </c>
      <c r="J272" s="253">
        <f t="shared" si="178"/>
        <v>0</v>
      </c>
      <c r="K272" s="253">
        <f t="shared" si="178"/>
        <v>0</v>
      </c>
      <c r="L272" s="253">
        <f t="shared" si="178"/>
        <v>0</v>
      </c>
      <c r="M272" s="253">
        <f t="shared" si="178"/>
        <v>0</v>
      </c>
      <c r="N272" s="253">
        <f t="shared" si="178"/>
        <v>0</v>
      </c>
      <c r="O272" s="253">
        <f t="shared" si="178"/>
        <v>0</v>
      </c>
      <c r="P272" s="253">
        <f t="shared" si="178"/>
        <v>0</v>
      </c>
      <c r="Q272" s="253">
        <f t="shared" si="178"/>
        <v>0</v>
      </c>
      <c r="R272" s="254">
        <f t="shared" si="178"/>
        <v>553322</v>
      </c>
    </row>
    <row r="273" spans="1:22" ht="15" customHeight="1" x14ac:dyDescent="0.25">
      <c r="A273" s="41"/>
      <c r="B273" s="98"/>
      <c r="C273" s="390" t="s">
        <v>56</v>
      </c>
      <c r="D273" s="391"/>
      <c r="E273" s="255"/>
      <c r="F273" s="256"/>
      <c r="G273" s="256"/>
      <c r="H273" s="256"/>
      <c r="I273" s="256"/>
      <c r="J273" s="256"/>
      <c r="K273" s="256"/>
      <c r="L273" s="256"/>
      <c r="M273" s="256"/>
      <c r="N273" s="256"/>
      <c r="O273" s="256"/>
      <c r="P273" s="256"/>
      <c r="Q273" s="256"/>
      <c r="R273" s="257"/>
    </row>
    <row r="274" spans="1:22" ht="34.5" customHeight="1" thickBot="1" x14ac:dyDescent="0.3">
      <c r="A274" s="41"/>
      <c r="B274" s="235"/>
      <c r="C274" s="341" t="s">
        <v>114</v>
      </c>
      <c r="D274" s="341"/>
      <c r="E274" s="247">
        <f>SUM(E276:E284)</f>
        <v>0</v>
      </c>
      <c r="F274" s="248">
        <f>F275</f>
        <v>553322</v>
      </c>
      <c r="G274" s="248">
        <f>SUM(G276:G284)</f>
        <v>0</v>
      </c>
      <c r="H274" s="248">
        <f>SUM(H276:H284)</f>
        <v>0</v>
      </c>
      <c r="I274" s="248">
        <f>SUM(I276:I284)</f>
        <v>0</v>
      </c>
      <c r="J274" s="248">
        <f t="shared" ref="J274:R274" si="179">J275</f>
        <v>0</v>
      </c>
      <c r="K274" s="248">
        <f t="shared" si="179"/>
        <v>0</v>
      </c>
      <c r="L274" s="248">
        <f t="shared" si="179"/>
        <v>0</v>
      </c>
      <c r="M274" s="248">
        <f t="shared" si="179"/>
        <v>0</v>
      </c>
      <c r="N274" s="248">
        <f t="shared" si="179"/>
        <v>0</v>
      </c>
      <c r="O274" s="248">
        <f t="shared" si="179"/>
        <v>0</v>
      </c>
      <c r="P274" s="248">
        <f t="shared" si="179"/>
        <v>0</v>
      </c>
      <c r="Q274" s="248">
        <f t="shared" si="179"/>
        <v>0</v>
      </c>
      <c r="R274" s="328">
        <f t="shared" si="179"/>
        <v>553322</v>
      </c>
      <c r="S274" s="326">
        <f>F274-SUM(G274:R274)</f>
        <v>0</v>
      </c>
    </row>
    <row r="275" spans="1:22" s="164" customFormat="1" ht="30" customHeight="1" x14ac:dyDescent="0.25">
      <c r="A275" s="159"/>
      <c r="B275" s="160"/>
      <c r="C275" s="381" t="s">
        <v>116</v>
      </c>
      <c r="D275" s="381"/>
      <c r="E275" s="169">
        <f>SUM(E277:E284)</f>
        <v>0</v>
      </c>
      <c r="F275" s="121">
        <f>SUM(F277:F285)</f>
        <v>553322</v>
      </c>
      <c r="G275" s="121">
        <f t="shared" ref="G275:H275" si="180">SUM(G277:G284)</f>
        <v>0</v>
      </c>
      <c r="H275" s="121">
        <f t="shared" si="180"/>
        <v>0</v>
      </c>
      <c r="I275" s="121">
        <f>SUM(I277:I284)</f>
        <v>0</v>
      </c>
      <c r="J275" s="121">
        <f t="shared" ref="J275:Q275" si="181">SUM(J277:J284)</f>
        <v>0</v>
      </c>
      <c r="K275" s="121">
        <f t="shared" si="181"/>
        <v>0</v>
      </c>
      <c r="L275" s="121">
        <f t="shared" si="181"/>
        <v>0</v>
      </c>
      <c r="M275" s="121">
        <f t="shared" si="181"/>
        <v>0</v>
      </c>
      <c r="N275" s="121">
        <f t="shared" si="181"/>
        <v>0</v>
      </c>
      <c r="O275" s="121">
        <f t="shared" si="181"/>
        <v>0</v>
      </c>
      <c r="P275" s="121">
        <f t="shared" si="181"/>
        <v>0</v>
      </c>
      <c r="Q275" s="121">
        <f t="shared" si="181"/>
        <v>0</v>
      </c>
      <c r="R275" s="122">
        <f>SUM(R277:R285)</f>
        <v>553322</v>
      </c>
      <c r="S275" s="326">
        <f>F275-SUM(G275:R275)</f>
        <v>0</v>
      </c>
    </row>
    <row r="276" spans="1:22" x14ac:dyDescent="0.25">
      <c r="A276" s="41"/>
      <c r="B276" s="315"/>
      <c r="C276" s="316"/>
      <c r="D276" s="316"/>
      <c r="E276" s="317" t="s">
        <v>29</v>
      </c>
      <c r="F276" s="319">
        <v>553322</v>
      </c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7"/>
      <c r="S276" s="148"/>
      <c r="V276" s="149"/>
    </row>
    <row r="277" spans="1:22" s="164" customFormat="1" x14ac:dyDescent="0.25">
      <c r="A277" s="159"/>
      <c r="B277" s="160">
        <v>1</v>
      </c>
      <c r="C277" s="161" t="s">
        <v>41</v>
      </c>
      <c r="D277" s="162">
        <v>72.540000000000006</v>
      </c>
      <c r="E277" s="83">
        <v>0</v>
      </c>
      <c r="F277" s="157">
        <f>+E277*S277*D277</f>
        <v>0</v>
      </c>
      <c r="G277" s="157">
        <v>0</v>
      </c>
      <c r="H277" s="157">
        <v>0</v>
      </c>
      <c r="I277" s="157">
        <v>0</v>
      </c>
      <c r="J277" s="157">
        <f>E277*D277*30</f>
        <v>0</v>
      </c>
      <c r="K277" s="157">
        <f t="shared" ref="K277" si="182">E277*D277*31</f>
        <v>0</v>
      </c>
      <c r="L277" s="157">
        <f t="shared" ref="L277" si="183">E277*D277*30</f>
        <v>0</v>
      </c>
      <c r="M277" s="157">
        <f t="shared" ref="M277" si="184">E277*D277*31</f>
        <v>0</v>
      </c>
      <c r="N277" s="157">
        <f>E277*D277*31</f>
        <v>0</v>
      </c>
      <c r="O277" s="157">
        <f>E277*D277*30</f>
        <v>0</v>
      </c>
      <c r="P277" s="157">
        <f>E277*D277*31</f>
        <v>0</v>
      </c>
      <c r="Q277" s="157">
        <f>E277*D277*30</f>
        <v>0</v>
      </c>
      <c r="R277" s="158">
        <f>E277*D277*31</f>
        <v>0</v>
      </c>
      <c r="S277" s="210">
        <f>30+31+30+31+31+30+31+30+31</f>
        <v>275</v>
      </c>
    </row>
    <row r="278" spans="1:22" s="164" customFormat="1" x14ac:dyDescent="0.25">
      <c r="A278" s="159"/>
      <c r="B278" s="160">
        <v>2</v>
      </c>
      <c r="C278" s="161" t="s">
        <v>30</v>
      </c>
      <c r="D278" s="162">
        <v>71.400000000000006</v>
      </c>
      <c r="E278" s="83">
        <v>0</v>
      </c>
      <c r="F278" s="157">
        <f t="shared" ref="F278:F284" si="185">+E278*S278*D278</f>
        <v>0</v>
      </c>
      <c r="G278" s="157">
        <v>0</v>
      </c>
      <c r="H278" s="157">
        <v>0</v>
      </c>
      <c r="I278" s="157">
        <v>0</v>
      </c>
      <c r="J278" s="157">
        <f t="shared" ref="J278:J284" si="186">E278*D278*30</f>
        <v>0</v>
      </c>
      <c r="K278" s="157">
        <f t="shared" ref="K278:K284" si="187">E278*D278*31</f>
        <v>0</v>
      </c>
      <c r="L278" s="157">
        <f t="shared" ref="L278:L284" si="188">E278*D278*30</f>
        <v>0</v>
      </c>
      <c r="M278" s="157">
        <f t="shared" ref="M278:M284" si="189">E278*D278*31</f>
        <v>0</v>
      </c>
      <c r="N278" s="157">
        <f t="shared" ref="N278:N280" si="190">E278*D278*31</f>
        <v>0</v>
      </c>
      <c r="O278" s="157">
        <f t="shared" ref="O278:O280" si="191">E278*D278*30</f>
        <v>0</v>
      </c>
      <c r="P278" s="157">
        <f t="shared" ref="P278:P280" si="192">E278*D278*31</f>
        <v>0</v>
      </c>
      <c r="Q278" s="157">
        <f t="shared" ref="Q278:Q280" si="193">E278*D278*30</f>
        <v>0</v>
      </c>
      <c r="R278" s="158">
        <f t="shared" ref="R278:R280" si="194">E278*D278*31</f>
        <v>0</v>
      </c>
      <c r="S278" s="210">
        <f t="shared" ref="S278:S284" si="195">30+31+30+31+31+30+31+30+31</f>
        <v>275</v>
      </c>
    </row>
    <row r="279" spans="1:22" s="164" customFormat="1" x14ac:dyDescent="0.25">
      <c r="A279" s="159"/>
      <c r="B279" s="160">
        <v>3</v>
      </c>
      <c r="C279" s="161" t="s">
        <v>33</v>
      </c>
      <c r="D279" s="162">
        <v>71.400000000000006</v>
      </c>
      <c r="E279" s="83">
        <v>0</v>
      </c>
      <c r="F279" s="157">
        <f t="shared" si="185"/>
        <v>0</v>
      </c>
      <c r="G279" s="157">
        <v>0</v>
      </c>
      <c r="H279" s="157">
        <v>0</v>
      </c>
      <c r="I279" s="157">
        <v>0</v>
      </c>
      <c r="J279" s="157">
        <f t="shared" si="186"/>
        <v>0</v>
      </c>
      <c r="K279" s="157">
        <f t="shared" si="187"/>
        <v>0</v>
      </c>
      <c r="L279" s="157">
        <f t="shared" si="188"/>
        <v>0</v>
      </c>
      <c r="M279" s="157">
        <f t="shared" si="189"/>
        <v>0</v>
      </c>
      <c r="N279" s="157">
        <f t="shared" si="190"/>
        <v>0</v>
      </c>
      <c r="O279" s="157">
        <f t="shared" si="191"/>
        <v>0</v>
      </c>
      <c r="P279" s="157">
        <f t="shared" si="192"/>
        <v>0</v>
      </c>
      <c r="Q279" s="157">
        <f t="shared" si="193"/>
        <v>0</v>
      </c>
      <c r="R279" s="158">
        <f t="shared" si="194"/>
        <v>0</v>
      </c>
      <c r="S279" s="210">
        <f t="shared" si="195"/>
        <v>275</v>
      </c>
    </row>
    <row r="280" spans="1:22" s="164" customFormat="1" x14ac:dyDescent="0.25">
      <c r="A280" s="159"/>
      <c r="B280" s="160">
        <v>4</v>
      </c>
      <c r="C280" s="161" t="s">
        <v>63</v>
      </c>
      <c r="D280" s="162">
        <v>80.86</v>
      </c>
      <c r="E280" s="83">
        <v>0</v>
      </c>
      <c r="F280" s="157">
        <f t="shared" si="185"/>
        <v>0</v>
      </c>
      <c r="G280" s="157">
        <v>0</v>
      </c>
      <c r="H280" s="157">
        <v>0</v>
      </c>
      <c r="I280" s="157">
        <v>0</v>
      </c>
      <c r="J280" s="157">
        <f t="shared" si="186"/>
        <v>0</v>
      </c>
      <c r="K280" s="157">
        <f t="shared" si="187"/>
        <v>0</v>
      </c>
      <c r="L280" s="157">
        <f t="shared" si="188"/>
        <v>0</v>
      </c>
      <c r="M280" s="157">
        <f t="shared" si="189"/>
        <v>0</v>
      </c>
      <c r="N280" s="157">
        <f t="shared" si="190"/>
        <v>0</v>
      </c>
      <c r="O280" s="157">
        <f t="shared" si="191"/>
        <v>0</v>
      </c>
      <c r="P280" s="157">
        <f t="shared" si="192"/>
        <v>0</v>
      </c>
      <c r="Q280" s="157">
        <f t="shared" si="193"/>
        <v>0</v>
      </c>
      <c r="R280" s="158">
        <f t="shared" si="194"/>
        <v>0</v>
      </c>
      <c r="S280" s="210">
        <f t="shared" si="195"/>
        <v>275</v>
      </c>
    </row>
    <row r="281" spans="1:22" s="164" customFormat="1" x14ac:dyDescent="0.25">
      <c r="A281" s="159"/>
      <c r="B281" s="160">
        <v>7</v>
      </c>
      <c r="C281" s="161" t="s">
        <v>54</v>
      </c>
      <c r="D281" s="162">
        <v>71.400000000000006</v>
      </c>
      <c r="E281" s="83">
        <v>0</v>
      </c>
      <c r="F281" s="157">
        <f t="shared" si="185"/>
        <v>0</v>
      </c>
      <c r="G281" s="157">
        <v>0</v>
      </c>
      <c r="H281" s="157">
        <v>0</v>
      </c>
      <c r="I281" s="157">
        <v>0</v>
      </c>
      <c r="J281" s="157">
        <f t="shared" si="186"/>
        <v>0</v>
      </c>
      <c r="K281" s="157">
        <f t="shared" si="187"/>
        <v>0</v>
      </c>
      <c r="L281" s="157">
        <f t="shared" si="188"/>
        <v>0</v>
      </c>
      <c r="M281" s="157">
        <f t="shared" si="189"/>
        <v>0</v>
      </c>
      <c r="N281" s="157">
        <f>E281*D281*31</f>
        <v>0</v>
      </c>
      <c r="O281" s="157">
        <f>E281*D281*30</f>
        <v>0</v>
      </c>
      <c r="P281" s="157">
        <f>E281*D281*31</f>
        <v>0</v>
      </c>
      <c r="Q281" s="157">
        <f>E281*D281*30</f>
        <v>0</v>
      </c>
      <c r="R281" s="158">
        <f>E281*D281*31</f>
        <v>0</v>
      </c>
      <c r="S281" s="210">
        <f t="shared" si="195"/>
        <v>275</v>
      </c>
    </row>
    <row r="282" spans="1:22" s="164" customFormat="1" x14ac:dyDescent="0.25">
      <c r="A282" s="159"/>
      <c r="B282" s="160">
        <v>7</v>
      </c>
      <c r="C282" s="161" t="s">
        <v>30</v>
      </c>
      <c r="D282" s="162">
        <v>71.400000000000006</v>
      </c>
      <c r="E282" s="83">
        <v>0</v>
      </c>
      <c r="F282" s="157">
        <f t="shared" si="185"/>
        <v>0</v>
      </c>
      <c r="G282" s="157">
        <v>0</v>
      </c>
      <c r="H282" s="157">
        <v>0</v>
      </c>
      <c r="I282" s="157">
        <v>0</v>
      </c>
      <c r="J282" s="157">
        <f t="shared" si="186"/>
        <v>0</v>
      </c>
      <c r="K282" s="157">
        <f t="shared" ref="K282" si="196">E282*D282*31</f>
        <v>0</v>
      </c>
      <c r="L282" s="157">
        <f t="shared" ref="L282" si="197">E282*D282*30</f>
        <v>0</v>
      </c>
      <c r="M282" s="157">
        <f t="shared" ref="M282" si="198">E282*D282*31</f>
        <v>0</v>
      </c>
      <c r="N282" s="157">
        <f t="shared" ref="N282:N284" si="199">E282*D282*31</f>
        <v>0</v>
      </c>
      <c r="O282" s="157">
        <f t="shared" ref="O282:O284" si="200">E282*D282*30</f>
        <v>0</v>
      </c>
      <c r="P282" s="157">
        <f t="shared" ref="P282:P284" si="201">E282*D282*31</f>
        <v>0</v>
      </c>
      <c r="Q282" s="157">
        <f t="shared" ref="Q282:Q284" si="202">E282*D282*30</f>
        <v>0</v>
      </c>
      <c r="R282" s="158">
        <f t="shared" ref="R282:R284" si="203">E282*D282*31</f>
        <v>0</v>
      </c>
      <c r="S282" s="210">
        <f t="shared" si="195"/>
        <v>275</v>
      </c>
    </row>
    <row r="283" spans="1:22" s="164" customFormat="1" x14ac:dyDescent="0.25">
      <c r="A283" s="159"/>
      <c r="B283" s="160">
        <v>5</v>
      </c>
      <c r="C283" s="161" t="s">
        <v>31</v>
      </c>
      <c r="D283" s="162">
        <v>72.540000000000006</v>
      </c>
      <c r="E283" s="83">
        <v>0</v>
      </c>
      <c r="F283" s="157">
        <f t="shared" si="185"/>
        <v>0</v>
      </c>
      <c r="G283" s="157">
        <v>0</v>
      </c>
      <c r="H283" s="157">
        <v>0</v>
      </c>
      <c r="I283" s="157">
        <v>0</v>
      </c>
      <c r="J283" s="157">
        <f t="shared" si="186"/>
        <v>0</v>
      </c>
      <c r="K283" s="157">
        <f t="shared" si="187"/>
        <v>0</v>
      </c>
      <c r="L283" s="157">
        <f t="shared" si="188"/>
        <v>0</v>
      </c>
      <c r="M283" s="157">
        <f t="shared" si="189"/>
        <v>0</v>
      </c>
      <c r="N283" s="157">
        <f t="shared" si="199"/>
        <v>0</v>
      </c>
      <c r="O283" s="157">
        <f t="shared" si="200"/>
        <v>0</v>
      </c>
      <c r="P283" s="157">
        <f t="shared" si="201"/>
        <v>0</v>
      </c>
      <c r="Q283" s="157">
        <f t="shared" si="202"/>
        <v>0</v>
      </c>
      <c r="R283" s="158">
        <f t="shared" si="203"/>
        <v>0</v>
      </c>
      <c r="S283" s="210">
        <f t="shared" si="195"/>
        <v>275</v>
      </c>
    </row>
    <row r="284" spans="1:22" s="164" customFormat="1" x14ac:dyDescent="0.25">
      <c r="A284" s="159"/>
      <c r="B284" s="160">
        <v>6</v>
      </c>
      <c r="C284" s="161" t="s">
        <v>54</v>
      </c>
      <c r="D284" s="162">
        <v>71.400000000000006</v>
      </c>
      <c r="E284" s="83">
        <v>0</v>
      </c>
      <c r="F284" s="157">
        <f t="shared" si="185"/>
        <v>0</v>
      </c>
      <c r="G284" s="157">
        <v>0</v>
      </c>
      <c r="H284" s="157">
        <v>0</v>
      </c>
      <c r="I284" s="157">
        <v>0</v>
      </c>
      <c r="J284" s="157">
        <f t="shared" si="186"/>
        <v>0</v>
      </c>
      <c r="K284" s="157">
        <f t="shared" si="187"/>
        <v>0</v>
      </c>
      <c r="L284" s="157">
        <f t="shared" si="188"/>
        <v>0</v>
      </c>
      <c r="M284" s="157">
        <f t="shared" si="189"/>
        <v>0</v>
      </c>
      <c r="N284" s="157">
        <f t="shared" si="199"/>
        <v>0</v>
      </c>
      <c r="O284" s="157">
        <f t="shared" si="200"/>
        <v>0</v>
      </c>
      <c r="P284" s="157">
        <f t="shared" si="201"/>
        <v>0</v>
      </c>
      <c r="Q284" s="157">
        <f t="shared" si="202"/>
        <v>0</v>
      </c>
      <c r="R284" s="158">
        <f t="shared" si="203"/>
        <v>0</v>
      </c>
      <c r="S284" s="210">
        <f t="shared" si="195"/>
        <v>275</v>
      </c>
    </row>
    <row r="285" spans="1:22" s="164" customFormat="1" ht="15.75" thickBot="1" x14ac:dyDescent="0.3">
      <c r="A285" s="159"/>
      <c r="B285" s="160"/>
      <c r="C285" s="161" t="s">
        <v>39</v>
      </c>
      <c r="D285" s="162"/>
      <c r="E285" s="83"/>
      <c r="F285" s="157">
        <f>553322-SUM(F277:F284)</f>
        <v>553322</v>
      </c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8">
        <f>F285</f>
        <v>553322</v>
      </c>
      <c r="S285" s="210"/>
    </row>
    <row r="286" spans="1:22" ht="15.75" hidden="1" thickBot="1" x14ac:dyDescent="0.3">
      <c r="A286" s="41"/>
      <c r="B286" s="301"/>
      <c r="C286" s="322" t="s">
        <v>78</v>
      </c>
      <c r="D286" s="251"/>
      <c r="E286" s="252">
        <f>E288+E299</f>
        <v>0</v>
      </c>
      <c r="F286" s="253">
        <f>F288+F299</f>
        <v>0</v>
      </c>
      <c r="G286" s="253">
        <f t="shared" ref="G286:R286" si="204">G288+G299</f>
        <v>0</v>
      </c>
      <c r="H286" s="253">
        <f t="shared" si="204"/>
        <v>0</v>
      </c>
      <c r="I286" s="253">
        <f t="shared" si="204"/>
        <v>0</v>
      </c>
      <c r="J286" s="253">
        <f t="shared" si="204"/>
        <v>0</v>
      </c>
      <c r="K286" s="253">
        <f t="shared" si="204"/>
        <v>0</v>
      </c>
      <c r="L286" s="253">
        <f t="shared" si="204"/>
        <v>0</v>
      </c>
      <c r="M286" s="253">
        <f t="shared" si="204"/>
        <v>0</v>
      </c>
      <c r="N286" s="253">
        <f t="shared" si="204"/>
        <v>0</v>
      </c>
      <c r="O286" s="253">
        <f t="shared" si="204"/>
        <v>0</v>
      </c>
      <c r="P286" s="253">
        <f t="shared" si="204"/>
        <v>0</v>
      </c>
      <c r="Q286" s="253">
        <f t="shared" si="204"/>
        <v>0</v>
      </c>
      <c r="R286" s="254">
        <f t="shared" si="204"/>
        <v>0</v>
      </c>
    </row>
    <row r="287" spans="1:22" ht="15" hidden="1" customHeight="1" x14ac:dyDescent="0.3">
      <c r="A287" s="41"/>
      <c r="B287" s="98"/>
      <c r="C287" s="382" t="s">
        <v>42</v>
      </c>
      <c r="D287" s="383"/>
      <c r="E287" s="255"/>
      <c r="F287" s="256"/>
      <c r="G287" s="256"/>
      <c r="H287" s="256"/>
      <c r="I287" s="256"/>
      <c r="J287" s="256"/>
      <c r="K287" s="256"/>
      <c r="L287" s="256"/>
      <c r="M287" s="256"/>
      <c r="N287" s="256"/>
      <c r="O287" s="256"/>
      <c r="P287" s="256"/>
      <c r="Q287" s="256"/>
      <c r="R287" s="257"/>
    </row>
    <row r="288" spans="1:22" ht="34.5" hidden="1" customHeight="1" thickBot="1" x14ac:dyDescent="0.3">
      <c r="A288" s="41"/>
      <c r="B288" s="235"/>
      <c r="C288" s="384" t="s">
        <v>79</v>
      </c>
      <c r="D288" s="385"/>
      <c r="E288" s="258">
        <f t="shared" ref="E288:R288" si="205">E289+E293+E297+E301+E305+E309</f>
        <v>0</v>
      </c>
      <c r="F288" s="237">
        <f>F289+F293+F297+F301+F305+F309</f>
        <v>0</v>
      </c>
      <c r="G288" s="237">
        <f>G289+G293+G297+G301+G305+G309</f>
        <v>0</v>
      </c>
      <c r="H288" s="237">
        <f t="shared" si="205"/>
        <v>0</v>
      </c>
      <c r="I288" s="237">
        <f t="shared" si="205"/>
        <v>0</v>
      </c>
      <c r="J288" s="237">
        <f t="shared" si="205"/>
        <v>0</v>
      </c>
      <c r="K288" s="237">
        <f t="shared" si="205"/>
        <v>0</v>
      </c>
      <c r="L288" s="237">
        <f t="shared" si="205"/>
        <v>0</v>
      </c>
      <c r="M288" s="237">
        <f t="shared" si="205"/>
        <v>0</v>
      </c>
      <c r="N288" s="237">
        <f t="shared" si="205"/>
        <v>0</v>
      </c>
      <c r="O288" s="237">
        <f t="shared" si="205"/>
        <v>0</v>
      </c>
      <c r="P288" s="237">
        <f t="shared" si="205"/>
        <v>0</v>
      </c>
      <c r="Q288" s="237">
        <f t="shared" si="205"/>
        <v>0</v>
      </c>
      <c r="R288" s="238">
        <f t="shared" si="205"/>
        <v>0</v>
      </c>
    </row>
    <row r="289" spans="1:19" ht="15" hidden="1" customHeight="1" x14ac:dyDescent="0.3">
      <c r="A289" s="41"/>
      <c r="B289" s="259"/>
      <c r="C289" s="386" t="s">
        <v>80</v>
      </c>
      <c r="D289" s="387"/>
      <c r="E289" s="260">
        <f t="shared" ref="E289:R289" si="206">SUM(E291:E291)</f>
        <v>0</v>
      </c>
      <c r="F289" s="261">
        <f t="shared" si="206"/>
        <v>0</v>
      </c>
      <c r="G289" s="261">
        <f t="shared" si="206"/>
        <v>0</v>
      </c>
      <c r="H289" s="261">
        <f t="shared" si="206"/>
        <v>0</v>
      </c>
      <c r="I289" s="261">
        <f t="shared" si="206"/>
        <v>0</v>
      </c>
      <c r="J289" s="261">
        <f t="shared" si="206"/>
        <v>0</v>
      </c>
      <c r="K289" s="261">
        <f t="shared" si="206"/>
        <v>0</v>
      </c>
      <c r="L289" s="261">
        <f t="shared" si="206"/>
        <v>0</v>
      </c>
      <c r="M289" s="261">
        <f t="shared" si="206"/>
        <v>0</v>
      </c>
      <c r="N289" s="261">
        <f t="shared" si="206"/>
        <v>0</v>
      </c>
      <c r="O289" s="261">
        <f t="shared" si="206"/>
        <v>0</v>
      </c>
      <c r="P289" s="261">
        <f t="shared" si="206"/>
        <v>0</v>
      </c>
      <c r="Q289" s="261">
        <f t="shared" si="206"/>
        <v>0</v>
      </c>
      <c r="R289" s="262">
        <f t="shared" si="206"/>
        <v>0</v>
      </c>
    </row>
    <row r="290" spans="1:19" ht="15.75" hidden="1" thickBot="1" x14ac:dyDescent="0.3">
      <c r="A290" s="41"/>
      <c r="B290" s="263"/>
      <c r="C290" s="264"/>
      <c r="D290" s="265"/>
      <c r="E290" s="266"/>
      <c r="F290" s="267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2"/>
    </row>
    <row r="291" spans="1:19" ht="15.75" hidden="1" thickBot="1" x14ac:dyDescent="0.3">
      <c r="A291" s="41"/>
      <c r="B291" s="315"/>
      <c r="C291" s="314" t="s">
        <v>39</v>
      </c>
      <c r="D291" s="82"/>
      <c r="E291" s="116"/>
      <c r="F291" s="85">
        <v>0</v>
      </c>
      <c r="G291" s="118"/>
      <c r="H291" s="86"/>
      <c r="I291" s="85"/>
      <c r="J291" s="85"/>
      <c r="K291" s="85"/>
      <c r="L291" s="85"/>
      <c r="M291" s="85"/>
      <c r="N291" s="85"/>
      <c r="O291" s="85"/>
      <c r="P291" s="85"/>
      <c r="Q291" s="85"/>
      <c r="R291" s="87">
        <v>0</v>
      </c>
      <c r="S291" s="234"/>
    </row>
    <row r="292" spans="1:19" ht="15" hidden="1" customHeight="1" x14ac:dyDescent="0.3">
      <c r="A292" s="41"/>
      <c r="B292" s="315"/>
      <c r="C292" s="370" t="s">
        <v>81</v>
      </c>
      <c r="D292" s="371"/>
      <c r="E292" s="116"/>
      <c r="F292" s="85"/>
      <c r="G292" s="85"/>
      <c r="H292" s="86"/>
      <c r="I292" s="85"/>
      <c r="J292" s="85"/>
      <c r="K292" s="85"/>
      <c r="L292" s="85"/>
      <c r="M292" s="85"/>
      <c r="N292" s="85"/>
      <c r="O292" s="85"/>
      <c r="P292" s="85"/>
      <c r="Q292" s="85"/>
      <c r="R292" s="87"/>
    </row>
    <row r="293" spans="1:19" ht="15" hidden="1" customHeight="1" x14ac:dyDescent="0.3">
      <c r="A293" s="41"/>
      <c r="B293" s="150"/>
      <c r="C293" s="372"/>
      <c r="D293" s="373"/>
      <c r="E293" s="269">
        <f t="shared" ref="E293:R293" si="207">SUM(E295:E295)</f>
        <v>0</v>
      </c>
      <c r="F293" s="270">
        <f t="shared" si="207"/>
        <v>0</v>
      </c>
      <c r="G293" s="270">
        <f t="shared" si="207"/>
        <v>0</v>
      </c>
      <c r="H293" s="270">
        <f t="shared" si="207"/>
        <v>0</v>
      </c>
      <c r="I293" s="270">
        <f t="shared" si="207"/>
        <v>0</v>
      </c>
      <c r="J293" s="270">
        <f t="shared" si="207"/>
        <v>0</v>
      </c>
      <c r="K293" s="270">
        <f t="shared" si="207"/>
        <v>0</v>
      </c>
      <c r="L293" s="270">
        <f t="shared" si="207"/>
        <v>0</v>
      </c>
      <c r="M293" s="270">
        <f t="shared" si="207"/>
        <v>0</v>
      </c>
      <c r="N293" s="270">
        <f t="shared" si="207"/>
        <v>0</v>
      </c>
      <c r="O293" s="270">
        <f t="shared" si="207"/>
        <v>0</v>
      </c>
      <c r="P293" s="270">
        <f t="shared" si="207"/>
        <v>0</v>
      </c>
      <c r="Q293" s="270">
        <f t="shared" si="207"/>
        <v>0</v>
      </c>
      <c r="R293" s="271">
        <f t="shared" si="207"/>
        <v>0</v>
      </c>
    </row>
    <row r="294" spans="1:19" ht="27" hidden="1" customHeight="1" x14ac:dyDescent="0.3">
      <c r="A294" s="41"/>
      <c r="B294" s="80"/>
      <c r="C294" s="264"/>
      <c r="D294" s="265"/>
      <c r="E294" s="266"/>
      <c r="F294" s="267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2"/>
    </row>
    <row r="295" spans="1:19" ht="15.75" hidden="1" thickBot="1" x14ac:dyDescent="0.3">
      <c r="A295" s="41"/>
      <c r="B295" s="80"/>
      <c r="C295" s="268" t="s">
        <v>39</v>
      </c>
      <c r="D295" s="82"/>
      <c r="E295" s="116"/>
      <c r="F295" s="85">
        <v>0</v>
      </c>
      <c r="G295" s="118"/>
      <c r="H295" s="86"/>
      <c r="I295" s="85"/>
      <c r="J295" s="85"/>
      <c r="K295" s="85"/>
      <c r="L295" s="85"/>
      <c r="M295" s="85"/>
      <c r="N295" s="85"/>
      <c r="O295" s="85"/>
      <c r="P295" s="85"/>
      <c r="Q295" s="85"/>
      <c r="R295" s="87">
        <v>0</v>
      </c>
    </row>
    <row r="296" spans="1:19" ht="15" hidden="1" customHeight="1" x14ac:dyDescent="0.3">
      <c r="A296" s="41"/>
      <c r="B296" s="110"/>
      <c r="C296" s="370" t="s">
        <v>82</v>
      </c>
      <c r="D296" s="371"/>
      <c r="E296" s="272"/>
      <c r="F296" s="211"/>
      <c r="G296" s="211"/>
      <c r="H296" s="212"/>
      <c r="I296" s="211"/>
      <c r="J296" s="211"/>
      <c r="K296" s="211"/>
      <c r="L296" s="211"/>
      <c r="M296" s="211"/>
      <c r="N296" s="211"/>
      <c r="O296" s="211"/>
      <c r="P296" s="211"/>
      <c r="Q296" s="211"/>
      <c r="R296" s="273"/>
    </row>
    <row r="297" spans="1:19" ht="15" hidden="1" customHeight="1" x14ac:dyDescent="0.3">
      <c r="A297" s="41"/>
      <c r="B297" s="110"/>
      <c r="C297" s="372"/>
      <c r="D297" s="373"/>
      <c r="E297" s="274">
        <f t="shared" ref="E297:R297" si="208">SUM(E299:E299)</f>
        <v>0</v>
      </c>
      <c r="F297" s="270">
        <f t="shared" si="208"/>
        <v>0</v>
      </c>
      <c r="G297" s="270">
        <f t="shared" si="208"/>
        <v>0</v>
      </c>
      <c r="H297" s="270">
        <f t="shared" si="208"/>
        <v>0</v>
      </c>
      <c r="I297" s="270">
        <f t="shared" si="208"/>
        <v>0</v>
      </c>
      <c r="J297" s="270">
        <f t="shared" si="208"/>
        <v>0</v>
      </c>
      <c r="K297" s="270">
        <f t="shared" si="208"/>
        <v>0</v>
      </c>
      <c r="L297" s="270">
        <f t="shared" si="208"/>
        <v>0</v>
      </c>
      <c r="M297" s="270">
        <f t="shared" si="208"/>
        <v>0</v>
      </c>
      <c r="N297" s="270">
        <f t="shared" si="208"/>
        <v>0</v>
      </c>
      <c r="O297" s="270">
        <f t="shared" si="208"/>
        <v>0</v>
      </c>
      <c r="P297" s="270">
        <f t="shared" si="208"/>
        <v>0</v>
      </c>
      <c r="Q297" s="270">
        <f t="shared" si="208"/>
        <v>0</v>
      </c>
      <c r="R297" s="271">
        <f t="shared" si="208"/>
        <v>0</v>
      </c>
    </row>
    <row r="298" spans="1:19" ht="15.75" hidden="1" thickBot="1" x14ac:dyDescent="0.3">
      <c r="A298" s="41"/>
      <c r="B298" s="80"/>
      <c r="C298" s="264"/>
      <c r="D298" s="265"/>
      <c r="E298" s="266"/>
      <c r="F298" s="267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2"/>
    </row>
    <row r="299" spans="1:19" ht="15.75" hidden="1" thickBot="1" x14ac:dyDescent="0.3">
      <c r="A299" s="41"/>
      <c r="B299" s="80"/>
      <c r="C299" s="268" t="s">
        <v>39</v>
      </c>
      <c r="D299" s="82"/>
      <c r="E299" s="116"/>
      <c r="F299" s="85">
        <v>0</v>
      </c>
      <c r="G299" s="118"/>
      <c r="H299" s="126"/>
      <c r="I299" s="85"/>
      <c r="J299" s="85"/>
      <c r="K299" s="85"/>
      <c r="L299" s="88"/>
      <c r="M299" s="85"/>
      <c r="N299" s="85"/>
      <c r="O299" s="85"/>
      <c r="P299" s="85"/>
      <c r="Q299" s="85"/>
      <c r="R299" s="87">
        <v>0</v>
      </c>
    </row>
    <row r="300" spans="1:19" ht="15.75" hidden="1" thickBot="1" x14ac:dyDescent="0.3">
      <c r="A300" s="41"/>
      <c r="B300" s="110"/>
      <c r="C300" s="275"/>
      <c r="D300" s="276"/>
      <c r="E300" s="272"/>
      <c r="F300" s="211"/>
      <c r="G300" s="211"/>
      <c r="H300" s="277"/>
      <c r="I300" s="211"/>
      <c r="J300" s="211"/>
      <c r="K300" s="211"/>
      <c r="L300" s="278"/>
      <c r="M300" s="211"/>
      <c r="N300" s="211"/>
      <c r="O300" s="211"/>
      <c r="P300" s="211"/>
      <c r="Q300" s="211"/>
      <c r="R300" s="273"/>
    </row>
    <row r="301" spans="1:19" ht="31.5" hidden="1" customHeight="1" x14ac:dyDescent="0.3">
      <c r="A301" s="41"/>
      <c r="B301" s="110"/>
      <c r="C301" s="364" t="s">
        <v>83</v>
      </c>
      <c r="D301" s="365"/>
      <c r="E301" s="274">
        <v>0</v>
      </c>
      <c r="F301" s="270">
        <f t="shared" ref="F301:R301" si="209">SUM(F303:F303)</f>
        <v>0</v>
      </c>
      <c r="G301" s="270">
        <f t="shared" si="209"/>
        <v>0</v>
      </c>
      <c r="H301" s="270">
        <f t="shared" si="209"/>
        <v>0</v>
      </c>
      <c r="I301" s="270">
        <f t="shared" si="209"/>
        <v>0</v>
      </c>
      <c r="J301" s="270">
        <f t="shared" si="209"/>
        <v>0</v>
      </c>
      <c r="K301" s="270">
        <f t="shared" si="209"/>
        <v>0</v>
      </c>
      <c r="L301" s="270">
        <f t="shared" si="209"/>
        <v>0</v>
      </c>
      <c r="M301" s="270">
        <f t="shared" si="209"/>
        <v>0</v>
      </c>
      <c r="N301" s="270">
        <f t="shared" si="209"/>
        <v>0</v>
      </c>
      <c r="O301" s="270">
        <f t="shared" si="209"/>
        <v>0</v>
      </c>
      <c r="P301" s="270">
        <f t="shared" si="209"/>
        <v>0</v>
      </c>
      <c r="Q301" s="270">
        <f t="shared" si="209"/>
        <v>0</v>
      </c>
      <c r="R301" s="271">
        <f t="shared" si="209"/>
        <v>0</v>
      </c>
    </row>
    <row r="302" spans="1:19" ht="15.75" hidden="1" thickBot="1" x14ac:dyDescent="0.3">
      <c r="A302" s="41"/>
      <c r="B302" s="80"/>
      <c r="C302" s="264"/>
      <c r="D302" s="265"/>
      <c r="E302" s="266"/>
      <c r="F302" s="267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2"/>
    </row>
    <row r="303" spans="1:19" ht="15.75" hidden="1" thickBot="1" x14ac:dyDescent="0.3">
      <c r="A303" s="41"/>
      <c r="B303" s="80"/>
      <c r="C303" s="268" t="s">
        <v>39</v>
      </c>
      <c r="D303" s="82"/>
      <c r="E303" s="116"/>
      <c r="F303" s="85">
        <v>0</v>
      </c>
      <c r="G303" s="118"/>
      <c r="H303" s="126"/>
      <c r="I303" s="85"/>
      <c r="J303" s="85"/>
      <c r="K303" s="85"/>
      <c r="L303" s="88"/>
      <c r="M303" s="85"/>
      <c r="N303" s="85"/>
      <c r="O303" s="85"/>
      <c r="P303" s="85"/>
      <c r="Q303" s="85"/>
      <c r="R303" s="87">
        <v>0</v>
      </c>
    </row>
    <row r="304" spans="1:19" ht="15" hidden="1" customHeight="1" x14ac:dyDescent="0.3">
      <c r="A304" s="41"/>
      <c r="B304" s="110"/>
      <c r="C304" s="366" t="s">
        <v>84</v>
      </c>
      <c r="D304" s="367"/>
      <c r="E304" s="272"/>
      <c r="F304" s="211"/>
      <c r="G304" s="278"/>
      <c r="H304" s="277"/>
      <c r="I304" s="211"/>
      <c r="J304" s="211"/>
      <c r="K304" s="211"/>
      <c r="L304" s="278"/>
      <c r="M304" s="211"/>
      <c r="N304" s="211"/>
      <c r="O304" s="211"/>
      <c r="P304" s="211"/>
      <c r="Q304" s="211"/>
      <c r="R304" s="273"/>
    </row>
    <row r="305" spans="1:18" ht="15" hidden="1" customHeight="1" x14ac:dyDescent="0.3">
      <c r="A305" s="41"/>
      <c r="B305" s="110"/>
      <c r="C305" s="368"/>
      <c r="D305" s="369"/>
      <c r="E305" s="269">
        <f t="shared" ref="E305:R305" si="210">SUM(E307:E307)</f>
        <v>0</v>
      </c>
      <c r="F305" s="270">
        <f t="shared" si="210"/>
        <v>0</v>
      </c>
      <c r="G305" s="270">
        <f t="shared" si="210"/>
        <v>0</v>
      </c>
      <c r="H305" s="270">
        <f t="shared" si="210"/>
        <v>0</v>
      </c>
      <c r="I305" s="270">
        <f t="shared" si="210"/>
        <v>0</v>
      </c>
      <c r="J305" s="270">
        <f t="shared" si="210"/>
        <v>0</v>
      </c>
      <c r="K305" s="270">
        <f t="shared" si="210"/>
        <v>0</v>
      </c>
      <c r="L305" s="270">
        <f t="shared" si="210"/>
        <v>0</v>
      </c>
      <c r="M305" s="270">
        <f t="shared" si="210"/>
        <v>0</v>
      </c>
      <c r="N305" s="270">
        <f t="shared" si="210"/>
        <v>0</v>
      </c>
      <c r="O305" s="270">
        <f t="shared" si="210"/>
        <v>0</v>
      </c>
      <c r="P305" s="270">
        <f t="shared" si="210"/>
        <v>0</v>
      </c>
      <c r="Q305" s="270">
        <f t="shared" si="210"/>
        <v>0</v>
      </c>
      <c r="R305" s="271">
        <f t="shared" si="210"/>
        <v>0</v>
      </c>
    </row>
    <row r="306" spans="1:18" ht="15.75" hidden="1" thickBot="1" x14ac:dyDescent="0.3">
      <c r="A306" s="41"/>
      <c r="B306" s="80"/>
      <c r="C306" s="264"/>
      <c r="D306" s="265"/>
      <c r="E306" s="266"/>
      <c r="F306" s="267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2"/>
    </row>
    <row r="307" spans="1:18" ht="15.75" hidden="1" thickBot="1" x14ac:dyDescent="0.3">
      <c r="A307" s="41"/>
      <c r="B307" s="80"/>
      <c r="C307" s="268" t="s">
        <v>39</v>
      </c>
      <c r="D307" s="82"/>
      <c r="E307" s="116"/>
      <c r="F307" s="85">
        <v>0</v>
      </c>
      <c r="G307" s="118"/>
      <c r="H307" s="86"/>
      <c r="I307" s="85"/>
      <c r="J307" s="85"/>
      <c r="K307" s="85"/>
      <c r="L307" s="85"/>
      <c r="M307" s="85"/>
      <c r="N307" s="85"/>
      <c r="O307" s="85"/>
      <c r="P307" s="85"/>
      <c r="Q307" s="85"/>
      <c r="R307" s="87">
        <v>0</v>
      </c>
    </row>
    <row r="308" spans="1:18" ht="15" hidden="1" customHeight="1" x14ac:dyDescent="0.3">
      <c r="A308" s="41"/>
      <c r="B308" s="110"/>
      <c r="C308" s="370" t="s">
        <v>85</v>
      </c>
      <c r="D308" s="371"/>
      <c r="E308" s="272"/>
      <c r="F308" s="278"/>
      <c r="G308" s="278"/>
      <c r="H308" s="277"/>
      <c r="I308" s="211"/>
      <c r="J308" s="211"/>
      <c r="K308" s="211"/>
      <c r="L308" s="211"/>
      <c r="M308" s="211"/>
      <c r="N308" s="211"/>
      <c r="O308" s="211"/>
      <c r="P308" s="211"/>
      <c r="Q308" s="211"/>
      <c r="R308" s="273"/>
    </row>
    <row r="309" spans="1:18" ht="15" hidden="1" customHeight="1" x14ac:dyDescent="0.3">
      <c r="A309" s="41"/>
      <c r="B309" s="110"/>
      <c r="C309" s="372"/>
      <c r="D309" s="373"/>
      <c r="E309" s="274">
        <v>0</v>
      </c>
      <c r="F309" s="270">
        <f t="shared" ref="F309:R309" si="211">SUM(F311:F311)</f>
        <v>0</v>
      </c>
      <c r="G309" s="270">
        <f t="shared" si="211"/>
        <v>0</v>
      </c>
      <c r="H309" s="270">
        <f t="shared" si="211"/>
        <v>0</v>
      </c>
      <c r="I309" s="270">
        <f t="shared" si="211"/>
        <v>0</v>
      </c>
      <c r="J309" s="270">
        <f t="shared" si="211"/>
        <v>0</v>
      </c>
      <c r="K309" s="270">
        <f t="shared" si="211"/>
        <v>0</v>
      </c>
      <c r="L309" s="270">
        <f t="shared" si="211"/>
        <v>0</v>
      </c>
      <c r="M309" s="270">
        <f t="shared" si="211"/>
        <v>0</v>
      </c>
      <c r="N309" s="270">
        <f t="shared" si="211"/>
        <v>0</v>
      </c>
      <c r="O309" s="270">
        <f t="shared" si="211"/>
        <v>0</v>
      </c>
      <c r="P309" s="270">
        <f t="shared" si="211"/>
        <v>0</v>
      </c>
      <c r="Q309" s="270">
        <f t="shared" si="211"/>
        <v>0</v>
      </c>
      <c r="R309" s="271">
        <f t="shared" si="211"/>
        <v>0</v>
      </c>
    </row>
    <row r="310" spans="1:18" ht="15.75" hidden="1" thickBot="1" x14ac:dyDescent="0.3">
      <c r="A310" s="41"/>
      <c r="B310" s="80"/>
      <c r="C310" s="264"/>
      <c r="D310" s="265"/>
      <c r="E310" s="266"/>
      <c r="F310" s="267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2"/>
    </row>
    <row r="311" spans="1:18" ht="15.75" hidden="1" thickBot="1" x14ac:dyDescent="0.3">
      <c r="A311" s="41"/>
      <c r="B311" s="225"/>
      <c r="C311" s="268" t="s">
        <v>39</v>
      </c>
      <c r="D311" s="82"/>
      <c r="E311" s="116"/>
      <c r="F311" s="85">
        <v>0</v>
      </c>
      <c r="G311" s="118"/>
      <c r="H311" s="86"/>
      <c r="I311" s="85"/>
      <c r="J311" s="85"/>
      <c r="K311" s="85"/>
      <c r="L311" s="85"/>
      <c r="M311" s="85"/>
      <c r="N311" s="85"/>
      <c r="O311" s="85"/>
      <c r="P311" s="85"/>
      <c r="Q311" s="85"/>
      <c r="R311" s="87">
        <v>0</v>
      </c>
    </row>
    <row r="312" spans="1:18" ht="39.75" hidden="1" thickBot="1" x14ac:dyDescent="0.3">
      <c r="A312" s="41"/>
      <c r="B312" s="192"/>
      <c r="C312" s="243" t="s">
        <v>56</v>
      </c>
      <c r="D312" s="279"/>
      <c r="E312" s="280"/>
      <c r="F312" s="281"/>
      <c r="G312" s="281"/>
      <c r="H312" s="282"/>
      <c r="I312" s="195"/>
      <c r="J312" s="195"/>
      <c r="K312" s="195"/>
      <c r="L312" s="195"/>
      <c r="M312" s="195"/>
      <c r="N312" s="195"/>
      <c r="O312" s="195"/>
      <c r="P312" s="195"/>
      <c r="Q312" s="195"/>
      <c r="R312" s="197"/>
    </row>
    <row r="313" spans="1:18" ht="27" hidden="1" customHeight="1" thickBot="1" x14ac:dyDescent="0.3">
      <c r="A313" s="41"/>
      <c r="B313" s="283"/>
      <c r="C313" s="363" t="s">
        <v>86</v>
      </c>
      <c r="D313" s="363"/>
      <c r="E313" s="284">
        <f t="shared" ref="E313:R313" si="212">SUM(E315:E315)</f>
        <v>0</v>
      </c>
      <c r="F313" s="220">
        <f t="shared" si="212"/>
        <v>0</v>
      </c>
      <c r="G313" s="220">
        <f t="shared" si="212"/>
        <v>0</v>
      </c>
      <c r="H313" s="220">
        <f t="shared" si="212"/>
        <v>0</v>
      </c>
      <c r="I313" s="220">
        <f t="shared" si="212"/>
        <v>0</v>
      </c>
      <c r="J313" s="220">
        <f t="shared" si="212"/>
        <v>0</v>
      </c>
      <c r="K313" s="220">
        <f t="shared" si="212"/>
        <v>0</v>
      </c>
      <c r="L313" s="220">
        <f t="shared" si="212"/>
        <v>0</v>
      </c>
      <c r="M313" s="220">
        <f t="shared" si="212"/>
        <v>0</v>
      </c>
      <c r="N313" s="220">
        <f t="shared" si="212"/>
        <v>0</v>
      </c>
      <c r="O313" s="220">
        <f t="shared" si="212"/>
        <v>0</v>
      </c>
      <c r="P313" s="220">
        <f t="shared" si="212"/>
        <v>0</v>
      </c>
      <c r="Q313" s="220">
        <f t="shared" si="212"/>
        <v>0</v>
      </c>
      <c r="R313" s="285">
        <f t="shared" si="212"/>
        <v>0</v>
      </c>
    </row>
    <row r="314" spans="1:18" ht="15.75" hidden="1" thickBot="1" x14ac:dyDescent="0.3">
      <c r="A314" s="41"/>
      <c r="B314" s="259"/>
      <c r="C314" s="286"/>
      <c r="D314" s="287"/>
      <c r="E314" s="288"/>
      <c r="F314" s="289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3"/>
    </row>
    <row r="315" spans="1:18" ht="15.75" hidden="1" thickBot="1" x14ac:dyDescent="0.3">
      <c r="A315" s="41"/>
      <c r="B315" s="290"/>
      <c r="C315" s="226" t="s">
        <v>39</v>
      </c>
      <c r="D315" s="82"/>
      <c r="E315" s="116"/>
      <c r="F315" s="85">
        <v>0</v>
      </c>
      <c r="G315" s="118"/>
      <c r="H315" s="86"/>
      <c r="I315" s="85"/>
      <c r="J315" s="85"/>
      <c r="K315" s="85"/>
      <c r="L315" s="85"/>
      <c r="M315" s="85"/>
      <c r="N315" s="85"/>
      <c r="O315" s="85"/>
      <c r="P315" s="85"/>
      <c r="Q315" s="85"/>
      <c r="R315" s="87">
        <v>0</v>
      </c>
    </row>
    <row r="316" spans="1:18" ht="15.75" hidden="1" thickBot="1" x14ac:dyDescent="0.3">
      <c r="A316" s="41"/>
      <c r="B316" s="291"/>
      <c r="C316" s="292" t="s">
        <v>87</v>
      </c>
      <c r="D316" s="251"/>
      <c r="E316" s="252">
        <f t="shared" ref="E316:R316" si="213">+SUM(E318,E322,E326)</f>
        <v>0</v>
      </c>
      <c r="F316" s="253">
        <f t="shared" si="213"/>
        <v>0</v>
      </c>
      <c r="G316" s="253">
        <f t="shared" si="213"/>
        <v>0</v>
      </c>
      <c r="H316" s="253">
        <f t="shared" si="213"/>
        <v>0</v>
      </c>
      <c r="I316" s="253">
        <f t="shared" si="213"/>
        <v>0</v>
      </c>
      <c r="J316" s="253">
        <f t="shared" si="213"/>
        <v>0</v>
      </c>
      <c r="K316" s="253">
        <f t="shared" si="213"/>
        <v>0</v>
      </c>
      <c r="L316" s="253">
        <f t="shared" si="213"/>
        <v>0</v>
      </c>
      <c r="M316" s="253">
        <f t="shared" si="213"/>
        <v>0</v>
      </c>
      <c r="N316" s="253">
        <f t="shared" si="213"/>
        <v>0</v>
      </c>
      <c r="O316" s="253">
        <f t="shared" si="213"/>
        <v>0</v>
      </c>
      <c r="P316" s="253">
        <f t="shared" si="213"/>
        <v>0</v>
      </c>
      <c r="Q316" s="253">
        <f t="shared" si="213"/>
        <v>0</v>
      </c>
      <c r="R316" s="254">
        <f t="shared" si="213"/>
        <v>0</v>
      </c>
    </row>
    <row r="317" spans="1:18" ht="15.75" hidden="1" thickBot="1" x14ac:dyDescent="0.3">
      <c r="A317" s="41"/>
      <c r="B317" s="192"/>
      <c r="C317" s="382" t="s">
        <v>42</v>
      </c>
      <c r="D317" s="383"/>
      <c r="E317" s="293"/>
      <c r="F317" s="294"/>
      <c r="G317" s="294"/>
      <c r="H317" s="294"/>
      <c r="I317" s="294"/>
      <c r="J317" s="294"/>
      <c r="K317" s="294"/>
      <c r="L317" s="294"/>
      <c r="M317" s="294"/>
      <c r="N317" s="294"/>
      <c r="O317" s="294"/>
      <c r="P317" s="294"/>
      <c r="Q317" s="294"/>
      <c r="R317" s="295"/>
    </row>
    <row r="318" spans="1:18" ht="32.25" hidden="1" customHeight="1" thickBot="1" x14ac:dyDescent="0.3">
      <c r="A318" s="41"/>
      <c r="B318" s="235"/>
      <c r="C318" s="363" t="s">
        <v>88</v>
      </c>
      <c r="D318" s="363"/>
      <c r="E318" s="284">
        <f t="shared" ref="E318:R318" si="214">SUM(E320:E320)</f>
        <v>0</v>
      </c>
      <c r="F318" s="220">
        <f>F320</f>
        <v>0</v>
      </c>
      <c r="G318" s="220">
        <f t="shared" si="214"/>
        <v>0</v>
      </c>
      <c r="H318" s="220">
        <f t="shared" si="214"/>
        <v>0</v>
      </c>
      <c r="I318" s="220">
        <f t="shared" si="214"/>
        <v>0</v>
      </c>
      <c r="J318" s="220">
        <f t="shared" si="214"/>
        <v>0</v>
      </c>
      <c r="K318" s="220">
        <f t="shared" si="214"/>
        <v>0</v>
      </c>
      <c r="L318" s="220">
        <f t="shared" si="214"/>
        <v>0</v>
      </c>
      <c r="M318" s="220">
        <f t="shared" si="214"/>
        <v>0</v>
      </c>
      <c r="N318" s="220">
        <f t="shared" si="214"/>
        <v>0</v>
      </c>
      <c r="O318" s="220">
        <f t="shared" si="214"/>
        <v>0</v>
      </c>
      <c r="P318" s="220">
        <f t="shared" si="214"/>
        <v>0</v>
      </c>
      <c r="Q318" s="220">
        <f t="shared" si="214"/>
        <v>0</v>
      </c>
      <c r="R318" s="285">
        <f t="shared" si="214"/>
        <v>0</v>
      </c>
    </row>
    <row r="319" spans="1:18" ht="15.75" hidden="1" thickBot="1" x14ac:dyDescent="0.3">
      <c r="A319" s="41"/>
      <c r="B319" s="150"/>
      <c r="C319" s="296" t="s">
        <v>89</v>
      </c>
      <c r="D319" s="297"/>
      <c r="E319" s="298"/>
      <c r="F319" s="299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9"/>
    </row>
    <row r="320" spans="1:18" ht="15.75" hidden="1" thickBot="1" x14ac:dyDescent="0.3">
      <c r="A320" s="41"/>
      <c r="B320" s="80"/>
      <c r="C320" s="81" t="s">
        <v>39</v>
      </c>
      <c r="D320" s="82"/>
      <c r="E320" s="116"/>
      <c r="F320" s="85">
        <v>0</v>
      </c>
      <c r="G320" s="118"/>
      <c r="H320" s="86"/>
      <c r="I320" s="85"/>
      <c r="J320" s="85"/>
      <c r="K320" s="85"/>
      <c r="L320" s="85"/>
      <c r="M320" s="85"/>
      <c r="N320" s="85"/>
      <c r="O320" s="85"/>
      <c r="P320" s="85"/>
      <c r="Q320" s="85"/>
      <c r="R320" s="87">
        <v>0</v>
      </c>
    </row>
    <row r="321" spans="1:19" ht="39.75" hidden="1" thickBot="1" x14ac:dyDescent="0.3">
      <c r="A321" s="41"/>
      <c r="B321" s="192"/>
      <c r="C321" s="243" t="s">
        <v>56</v>
      </c>
      <c r="D321" s="279"/>
      <c r="E321" s="280"/>
      <c r="F321" s="281"/>
      <c r="G321" s="281"/>
      <c r="H321" s="282"/>
      <c r="I321" s="195"/>
      <c r="J321" s="195"/>
      <c r="K321" s="195"/>
      <c r="L321" s="195"/>
      <c r="M321" s="195"/>
      <c r="N321" s="195"/>
      <c r="O321" s="195"/>
      <c r="P321" s="195"/>
      <c r="Q321" s="195"/>
      <c r="R321" s="197"/>
    </row>
    <row r="322" spans="1:19" ht="32.25" hidden="1" customHeight="1" thickBot="1" x14ac:dyDescent="0.3">
      <c r="A322" s="41"/>
      <c r="B322" s="235"/>
      <c r="C322" s="363" t="s">
        <v>90</v>
      </c>
      <c r="D322" s="363"/>
      <c r="E322" s="284">
        <v>0</v>
      </c>
      <c r="F322" s="220">
        <f t="shared" ref="F322:R322" si="215">SUM(F324:F324)</f>
        <v>0</v>
      </c>
      <c r="G322" s="220">
        <f t="shared" si="215"/>
        <v>0</v>
      </c>
      <c r="H322" s="220">
        <f t="shared" si="215"/>
        <v>0</v>
      </c>
      <c r="I322" s="220">
        <f t="shared" si="215"/>
        <v>0</v>
      </c>
      <c r="J322" s="220">
        <f t="shared" si="215"/>
        <v>0</v>
      </c>
      <c r="K322" s="220">
        <f t="shared" si="215"/>
        <v>0</v>
      </c>
      <c r="L322" s="220">
        <f t="shared" si="215"/>
        <v>0</v>
      </c>
      <c r="M322" s="220">
        <f t="shared" si="215"/>
        <v>0</v>
      </c>
      <c r="N322" s="220">
        <f t="shared" si="215"/>
        <v>0</v>
      </c>
      <c r="O322" s="220">
        <f t="shared" si="215"/>
        <v>0</v>
      </c>
      <c r="P322" s="220">
        <f t="shared" si="215"/>
        <v>0</v>
      </c>
      <c r="Q322" s="220">
        <f t="shared" si="215"/>
        <v>0</v>
      </c>
      <c r="R322" s="285">
        <f t="shared" si="215"/>
        <v>0</v>
      </c>
    </row>
    <row r="323" spans="1:19" ht="15.75" hidden="1" thickBot="1" x14ac:dyDescent="0.3">
      <c r="A323" s="41"/>
      <c r="B323" s="150"/>
      <c r="C323" s="296"/>
      <c r="D323" s="297"/>
      <c r="E323" s="298"/>
      <c r="F323" s="299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9"/>
    </row>
    <row r="324" spans="1:19" ht="15.75" hidden="1" thickBot="1" x14ac:dyDescent="0.3">
      <c r="A324" s="41"/>
      <c r="B324" s="80"/>
      <c r="C324" s="81" t="s">
        <v>39</v>
      </c>
      <c r="D324" s="82"/>
      <c r="E324" s="116"/>
      <c r="F324" s="88">
        <v>0</v>
      </c>
      <c r="G324" s="118"/>
      <c r="H324" s="86"/>
      <c r="I324" s="85"/>
      <c r="J324" s="85"/>
      <c r="K324" s="85"/>
      <c r="L324" s="85"/>
      <c r="M324" s="85"/>
      <c r="N324" s="85"/>
      <c r="O324" s="85"/>
      <c r="P324" s="85"/>
      <c r="Q324" s="85"/>
      <c r="R324" s="127">
        <v>0</v>
      </c>
    </row>
    <row r="325" spans="1:19" ht="27" hidden="1" thickBot="1" x14ac:dyDescent="0.3">
      <c r="A325" s="41"/>
      <c r="B325" s="98"/>
      <c r="C325" s="300" t="s">
        <v>91</v>
      </c>
      <c r="D325" s="194"/>
      <c r="E325" s="194"/>
      <c r="F325" s="195"/>
      <c r="G325" s="195"/>
      <c r="H325" s="196"/>
      <c r="I325" s="195"/>
      <c r="J325" s="195"/>
      <c r="K325" s="195"/>
      <c r="L325" s="195"/>
      <c r="M325" s="195"/>
      <c r="N325" s="195"/>
      <c r="O325" s="195"/>
      <c r="P325" s="195"/>
      <c r="Q325" s="195"/>
      <c r="R325" s="197"/>
    </row>
    <row r="326" spans="1:19" ht="27" hidden="1" customHeight="1" thickBot="1" x14ac:dyDescent="0.3">
      <c r="A326" s="41"/>
      <c r="B326" s="235"/>
      <c r="C326" s="363" t="s">
        <v>92</v>
      </c>
      <c r="D326" s="363"/>
      <c r="E326" s="284">
        <v>0</v>
      </c>
      <c r="F326" s="220">
        <f>SUM(F328:F328)</f>
        <v>0</v>
      </c>
      <c r="G326" s="220">
        <f t="shared" ref="G326:R326" si="216">SUM(G328:G328)</f>
        <v>0</v>
      </c>
      <c r="H326" s="220">
        <f t="shared" si="216"/>
        <v>0</v>
      </c>
      <c r="I326" s="220">
        <f t="shared" si="216"/>
        <v>0</v>
      </c>
      <c r="J326" s="220">
        <f t="shared" si="216"/>
        <v>0</v>
      </c>
      <c r="K326" s="220">
        <f t="shared" si="216"/>
        <v>0</v>
      </c>
      <c r="L326" s="220">
        <f t="shared" si="216"/>
        <v>0</v>
      </c>
      <c r="M326" s="220">
        <f t="shared" si="216"/>
        <v>0</v>
      </c>
      <c r="N326" s="220">
        <f t="shared" si="216"/>
        <v>0</v>
      </c>
      <c r="O326" s="220">
        <f t="shared" si="216"/>
        <v>0</v>
      </c>
      <c r="P326" s="220">
        <f t="shared" si="216"/>
        <v>0</v>
      </c>
      <c r="Q326" s="220">
        <f t="shared" si="216"/>
        <v>0</v>
      </c>
      <c r="R326" s="285">
        <f t="shared" si="216"/>
        <v>0</v>
      </c>
    </row>
    <row r="327" spans="1:19" ht="15.75" hidden="1" thickBot="1" x14ac:dyDescent="0.3">
      <c r="A327" s="41"/>
      <c r="B327" s="150"/>
      <c r="C327" s="296"/>
      <c r="D327" s="297"/>
      <c r="E327" s="298"/>
      <c r="F327" s="299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9"/>
    </row>
    <row r="328" spans="1:19" ht="15.75" hidden="1" thickBot="1" x14ac:dyDescent="0.3">
      <c r="A328" s="41"/>
      <c r="B328" s="80"/>
      <c r="C328" s="81" t="s">
        <v>39</v>
      </c>
      <c r="D328" s="82"/>
      <c r="E328" s="116"/>
      <c r="F328" s="85">
        <v>0</v>
      </c>
      <c r="G328" s="118"/>
      <c r="H328" s="86"/>
      <c r="I328" s="85"/>
      <c r="J328" s="85"/>
      <c r="K328" s="85"/>
      <c r="L328" s="85"/>
      <c r="M328" s="85"/>
      <c r="N328" s="85"/>
      <c r="O328" s="85"/>
      <c r="P328" s="85"/>
      <c r="Q328" s="85"/>
      <c r="R328" s="87">
        <v>0</v>
      </c>
    </row>
    <row r="329" spans="1:19" ht="15.75" thickBot="1" x14ac:dyDescent="0.3">
      <c r="A329" s="41"/>
      <c r="B329" s="301"/>
      <c r="C329" s="292" t="s">
        <v>87</v>
      </c>
      <c r="D329" s="251"/>
      <c r="E329" s="252">
        <f>E331+E342</f>
        <v>0</v>
      </c>
      <c r="F329" s="253">
        <f>F331+F342</f>
        <v>4712664</v>
      </c>
      <c r="G329" s="253">
        <f t="shared" ref="G329:R329" si="217">G331+G342</f>
        <v>0</v>
      </c>
      <c r="H329" s="253">
        <f t="shared" si="217"/>
        <v>0</v>
      </c>
      <c r="I329" s="253">
        <f t="shared" si="217"/>
        <v>0</v>
      </c>
      <c r="J329" s="253">
        <f t="shared" si="217"/>
        <v>0</v>
      </c>
      <c r="K329" s="253">
        <f t="shared" si="217"/>
        <v>0</v>
      </c>
      <c r="L329" s="253">
        <f t="shared" si="217"/>
        <v>0</v>
      </c>
      <c r="M329" s="253">
        <f t="shared" si="217"/>
        <v>0</v>
      </c>
      <c r="N329" s="253">
        <f t="shared" si="217"/>
        <v>0</v>
      </c>
      <c r="O329" s="253">
        <f t="shared" si="217"/>
        <v>0</v>
      </c>
      <c r="P329" s="253">
        <f t="shared" si="217"/>
        <v>0</v>
      </c>
      <c r="Q329" s="253">
        <f t="shared" si="217"/>
        <v>0</v>
      </c>
      <c r="R329" s="254">
        <f t="shared" si="217"/>
        <v>4712664</v>
      </c>
      <c r="S329" s="326">
        <f>F329-SUM(G329:R329)</f>
        <v>0</v>
      </c>
    </row>
    <row r="330" spans="1:19" x14ac:dyDescent="0.25">
      <c r="A330" s="41"/>
      <c r="B330" s="98"/>
      <c r="C330" s="388" t="s">
        <v>42</v>
      </c>
      <c r="D330" s="380"/>
      <c r="E330" s="293"/>
      <c r="F330" s="294"/>
      <c r="G330" s="294"/>
      <c r="H330" s="294"/>
      <c r="I330" s="294"/>
      <c r="J330" s="294"/>
      <c r="K330" s="294"/>
      <c r="L330" s="294"/>
      <c r="M330" s="294"/>
      <c r="N330" s="294"/>
      <c r="O330" s="294"/>
      <c r="P330" s="294"/>
      <c r="Q330" s="294"/>
      <c r="R330" s="295"/>
      <c r="S330" s="25"/>
    </row>
    <row r="331" spans="1:19" ht="31.5" customHeight="1" thickBot="1" x14ac:dyDescent="0.3">
      <c r="A331" s="41"/>
      <c r="B331" s="235"/>
      <c r="C331" s="363" t="s">
        <v>125</v>
      </c>
      <c r="D331" s="363"/>
      <c r="E331" s="284">
        <v>0</v>
      </c>
      <c r="F331" s="220">
        <f t="shared" ref="F331:R331" si="218">SUM(F333:F340)</f>
        <v>417030</v>
      </c>
      <c r="G331" s="220">
        <f t="shared" si="218"/>
        <v>0</v>
      </c>
      <c r="H331" s="220">
        <f t="shared" si="218"/>
        <v>0</v>
      </c>
      <c r="I331" s="220">
        <f t="shared" si="218"/>
        <v>0</v>
      </c>
      <c r="J331" s="220">
        <f t="shared" si="218"/>
        <v>0</v>
      </c>
      <c r="K331" s="220">
        <f t="shared" si="218"/>
        <v>0</v>
      </c>
      <c r="L331" s="220">
        <f t="shared" si="218"/>
        <v>0</v>
      </c>
      <c r="M331" s="220">
        <f t="shared" si="218"/>
        <v>0</v>
      </c>
      <c r="N331" s="220">
        <f t="shared" si="218"/>
        <v>0</v>
      </c>
      <c r="O331" s="220">
        <f t="shared" si="218"/>
        <v>0</v>
      </c>
      <c r="P331" s="220">
        <f t="shared" si="218"/>
        <v>0</v>
      </c>
      <c r="Q331" s="220">
        <f t="shared" si="218"/>
        <v>0</v>
      </c>
      <c r="R331" s="285">
        <f t="shared" si="218"/>
        <v>417030</v>
      </c>
      <c r="S331" s="326"/>
    </row>
    <row r="332" spans="1:19" x14ac:dyDescent="0.25">
      <c r="A332" s="41"/>
      <c r="B332" s="150"/>
      <c r="C332" s="9"/>
      <c r="D332" s="297"/>
      <c r="E332" s="317" t="s">
        <v>29</v>
      </c>
      <c r="F332" s="299">
        <v>0</v>
      </c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9"/>
    </row>
    <row r="333" spans="1:19" hidden="1" x14ac:dyDescent="0.25">
      <c r="A333" s="41"/>
      <c r="B333" s="80">
        <v>1</v>
      </c>
      <c r="C333" s="81" t="s">
        <v>41</v>
      </c>
      <c r="D333" s="82">
        <v>72.540000000000006</v>
      </c>
      <c r="E333" s="83">
        <v>3</v>
      </c>
      <c r="F333" s="85">
        <f t="shared" ref="F333:F339" si="219">+E333*S333*D333</f>
        <v>0</v>
      </c>
      <c r="G333" s="85"/>
      <c r="H333" s="86"/>
      <c r="I333" s="85"/>
      <c r="J333" s="85"/>
      <c r="K333" s="85"/>
      <c r="L333" s="85"/>
      <c r="M333" s="85"/>
      <c r="N333" s="85">
        <v>0</v>
      </c>
      <c r="O333" s="85">
        <v>0</v>
      </c>
      <c r="P333" s="85">
        <v>0</v>
      </c>
      <c r="Q333" s="85">
        <v>0</v>
      </c>
      <c r="R333" s="87">
        <v>0</v>
      </c>
    </row>
    <row r="334" spans="1:19" hidden="1" x14ac:dyDescent="0.25">
      <c r="A334" s="41"/>
      <c r="B334" s="80">
        <v>2</v>
      </c>
      <c r="C334" s="81" t="s">
        <v>71</v>
      </c>
      <c r="D334" s="82">
        <v>71.400000000000006</v>
      </c>
      <c r="E334" s="83">
        <v>7</v>
      </c>
      <c r="F334" s="85">
        <f t="shared" si="219"/>
        <v>0</v>
      </c>
      <c r="G334" s="85"/>
      <c r="H334" s="86"/>
      <c r="I334" s="85"/>
      <c r="J334" s="85"/>
      <c r="K334" s="85"/>
      <c r="L334" s="85"/>
      <c r="M334" s="85"/>
      <c r="N334" s="85">
        <v>0</v>
      </c>
      <c r="O334" s="85">
        <v>0</v>
      </c>
      <c r="P334" s="85">
        <v>0</v>
      </c>
      <c r="Q334" s="85">
        <v>0</v>
      </c>
      <c r="R334" s="87">
        <v>0</v>
      </c>
    </row>
    <row r="335" spans="1:19" hidden="1" x14ac:dyDescent="0.25">
      <c r="A335" s="41"/>
      <c r="B335" s="80">
        <v>3</v>
      </c>
      <c r="C335" s="81" t="s">
        <v>30</v>
      </c>
      <c r="D335" s="82">
        <v>71.400000000000006</v>
      </c>
      <c r="E335" s="83">
        <v>3</v>
      </c>
      <c r="F335" s="85">
        <f t="shared" si="219"/>
        <v>0</v>
      </c>
      <c r="G335" s="85"/>
      <c r="H335" s="86"/>
      <c r="I335" s="85"/>
      <c r="J335" s="85"/>
      <c r="K335" s="85"/>
      <c r="L335" s="85"/>
      <c r="M335" s="85"/>
      <c r="N335" s="85">
        <v>0</v>
      </c>
      <c r="O335" s="85">
        <v>0</v>
      </c>
      <c r="P335" s="85">
        <v>0</v>
      </c>
      <c r="Q335" s="85">
        <v>0</v>
      </c>
      <c r="R335" s="87">
        <v>0</v>
      </c>
    </row>
    <row r="336" spans="1:19" hidden="1" x14ac:dyDescent="0.25">
      <c r="A336" s="41"/>
      <c r="B336" s="80">
        <v>4</v>
      </c>
      <c r="C336" s="81" t="s">
        <v>66</v>
      </c>
      <c r="D336" s="82">
        <v>73.59</v>
      </c>
      <c r="E336" s="83">
        <v>1</v>
      </c>
      <c r="F336" s="85">
        <f t="shared" si="219"/>
        <v>0</v>
      </c>
      <c r="G336" s="85"/>
      <c r="H336" s="86"/>
      <c r="I336" s="85"/>
      <c r="J336" s="85"/>
      <c r="K336" s="85"/>
      <c r="L336" s="85"/>
      <c r="M336" s="85"/>
      <c r="N336" s="85">
        <v>0</v>
      </c>
      <c r="O336" s="85">
        <v>0</v>
      </c>
      <c r="P336" s="85">
        <v>0</v>
      </c>
      <c r="Q336" s="85">
        <v>0</v>
      </c>
      <c r="R336" s="87">
        <v>0</v>
      </c>
    </row>
    <row r="337" spans="1:23" hidden="1" x14ac:dyDescent="0.25">
      <c r="A337" s="41"/>
      <c r="B337" s="80">
        <v>5</v>
      </c>
      <c r="C337" s="81" t="s">
        <v>34</v>
      </c>
      <c r="D337" s="82">
        <v>78.25</v>
      </c>
      <c r="E337" s="83">
        <v>1</v>
      </c>
      <c r="F337" s="85">
        <f t="shared" si="219"/>
        <v>0</v>
      </c>
      <c r="G337" s="85"/>
      <c r="H337" s="86"/>
      <c r="I337" s="85"/>
      <c r="J337" s="85"/>
      <c r="K337" s="85"/>
      <c r="L337" s="85"/>
      <c r="M337" s="85"/>
      <c r="N337" s="85">
        <v>0</v>
      </c>
      <c r="O337" s="85">
        <v>0</v>
      </c>
      <c r="P337" s="85">
        <v>0</v>
      </c>
      <c r="Q337" s="85">
        <v>0</v>
      </c>
      <c r="R337" s="87">
        <v>0</v>
      </c>
    </row>
    <row r="338" spans="1:23" s="164" customFormat="1" hidden="1" x14ac:dyDescent="0.25">
      <c r="A338" s="159"/>
      <c r="B338" s="160">
        <v>6</v>
      </c>
      <c r="C338" s="161" t="s">
        <v>48</v>
      </c>
      <c r="D338" s="162">
        <v>71.400000000000006</v>
      </c>
      <c r="E338" s="83">
        <v>8</v>
      </c>
      <c r="F338" s="157">
        <f t="shared" si="219"/>
        <v>0</v>
      </c>
      <c r="G338" s="85"/>
      <c r="H338" s="86"/>
      <c r="I338" s="85"/>
      <c r="J338" s="85"/>
      <c r="K338" s="85"/>
      <c r="L338" s="85"/>
      <c r="M338" s="85"/>
      <c r="N338" s="85">
        <v>0</v>
      </c>
      <c r="O338" s="85">
        <v>0</v>
      </c>
      <c r="P338" s="85">
        <v>0</v>
      </c>
      <c r="Q338" s="85">
        <v>0</v>
      </c>
      <c r="R338" s="87">
        <v>0</v>
      </c>
      <c r="S338" s="2"/>
    </row>
    <row r="339" spans="1:23" hidden="1" x14ac:dyDescent="0.25">
      <c r="A339" s="41"/>
      <c r="B339" s="80">
        <v>7</v>
      </c>
      <c r="C339" s="81" t="s">
        <v>54</v>
      </c>
      <c r="D339" s="82">
        <v>71.400000000000006</v>
      </c>
      <c r="E339" s="83">
        <v>15</v>
      </c>
      <c r="F339" s="85">
        <f t="shared" si="219"/>
        <v>0</v>
      </c>
      <c r="G339" s="85"/>
      <c r="H339" s="86"/>
      <c r="I339" s="85"/>
      <c r="J339" s="85"/>
      <c r="K339" s="85"/>
      <c r="L339" s="85"/>
      <c r="M339" s="85"/>
      <c r="N339" s="85">
        <v>0</v>
      </c>
      <c r="O339" s="85">
        <v>0</v>
      </c>
      <c r="P339" s="85">
        <v>0</v>
      </c>
      <c r="Q339" s="85">
        <v>0</v>
      </c>
      <c r="R339" s="87">
        <v>0</v>
      </c>
    </row>
    <row r="340" spans="1:23" ht="15.75" thickBot="1" x14ac:dyDescent="0.3">
      <c r="A340" s="41"/>
      <c r="B340" s="225"/>
      <c r="C340" s="226" t="s">
        <v>39</v>
      </c>
      <c r="D340" s="227"/>
      <c r="E340" s="228"/>
      <c r="F340" s="232">
        <f xml:space="preserve"> 994870-SUM(F333:F339)-577840</f>
        <v>417030</v>
      </c>
      <c r="G340" s="231"/>
      <c r="H340" s="230"/>
      <c r="I340" s="232"/>
      <c r="J340" s="232"/>
      <c r="K340" s="232"/>
      <c r="L340" s="232"/>
      <c r="M340" s="232"/>
      <c r="N340" s="232"/>
      <c r="O340" s="232"/>
      <c r="P340" s="232"/>
      <c r="Q340" s="232"/>
      <c r="R340" s="302">
        <f>F340</f>
        <v>417030</v>
      </c>
      <c r="S340" s="326"/>
    </row>
    <row r="341" spans="1:23" ht="26.25" x14ac:dyDescent="0.25">
      <c r="A341" s="41"/>
      <c r="B341" s="192"/>
      <c r="C341" s="303" t="s">
        <v>91</v>
      </c>
      <c r="D341" s="194"/>
      <c r="E341" s="194"/>
      <c r="F341" s="195"/>
      <c r="G341" s="195"/>
      <c r="H341" s="196"/>
      <c r="I341" s="195"/>
      <c r="J341" s="195"/>
      <c r="K341" s="195"/>
      <c r="L341" s="195"/>
      <c r="M341" s="195"/>
      <c r="N341" s="195"/>
      <c r="O341" s="195"/>
      <c r="P341" s="195"/>
      <c r="Q341" s="195"/>
      <c r="R341" s="197"/>
      <c r="S341" s="25"/>
    </row>
    <row r="342" spans="1:23" ht="30" customHeight="1" thickBot="1" x14ac:dyDescent="0.3">
      <c r="A342" s="41"/>
      <c r="B342" s="235"/>
      <c r="C342" s="363" t="s">
        <v>126</v>
      </c>
      <c r="D342" s="363"/>
      <c r="E342" s="284">
        <f>SUM(E344:E355)</f>
        <v>0</v>
      </c>
      <c r="F342" s="220">
        <f>SUM(F344:F356)</f>
        <v>4295634</v>
      </c>
      <c r="G342" s="220">
        <f t="shared" ref="G342:Q342" si="220">SUM(G344:G355)</f>
        <v>0</v>
      </c>
      <c r="H342" s="220">
        <f t="shared" si="220"/>
        <v>0</v>
      </c>
      <c r="I342" s="220">
        <f t="shared" si="220"/>
        <v>0</v>
      </c>
      <c r="J342" s="220">
        <f t="shared" si="220"/>
        <v>0</v>
      </c>
      <c r="K342" s="220">
        <f t="shared" si="220"/>
        <v>0</v>
      </c>
      <c r="L342" s="220">
        <f t="shared" si="220"/>
        <v>0</v>
      </c>
      <c r="M342" s="220">
        <f t="shared" si="220"/>
        <v>0</v>
      </c>
      <c r="N342" s="220">
        <f t="shared" si="220"/>
        <v>0</v>
      </c>
      <c r="O342" s="220">
        <f t="shared" si="220"/>
        <v>0</v>
      </c>
      <c r="P342" s="220">
        <f t="shared" si="220"/>
        <v>0</v>
      </c>
      <c r="Q342" s="220">
        <f t="shared" si="220"/>
        <v>0</v>
      </c>
      <c r="R342" s="285">
        <f>SUM(R344:R356)</f>
        <v>4295634</v>
      </c>
      <c r="S342" s="234"/>
      <c r="V342" s="33"/>
    </row>
    <row r="343" spans="1:23" x14ac:dyDescent="0.25">
      <c r="A343" s="41"/>
      <c r="B343" s="80"/>
      <c r="C343" s="123"/>
      <c r="D343" s="123"/>
      <c r="E343" s="75" t="s">
        <v>29</v>
      </c>
      <c r="F343" s="202">
        <v>0</v>
      </c>
      <c r="G343" s="146"/>
      <c r="H343" s="146"/>
      <c r="I343" s="146"/>
      <c r="J343" s="146"/>
      <c r="K343" s="146"/>
      <c r="L343" s="146"/>
      <c r="M343" s="157"/>
      <c r="N343" s="146"/>
      <c r="O343" s="146"/>
      <c r="P343" s="146"/>
      <c r="Q343" s="146"/>
      <c r="R343" s="147"/>
      <c r="S343" s="148"/>
      <c r="V343" s="149"/>
    </row>
    <row r="344" spans="1:23" hidden="1" x14ac:dyDescent="0.25">
      <c r="A344" s="41"/>
      <c r="B344" s="80"/>
      <c r="C344" s="161"/>
      <c r="D344" s="162"/>
      <c r="E344" s="83"/>
      <c r="F344" s="157">
        <f t="shared" ref="F344:F355" si="221">+E344*S344*D344</f>
        <v>0</v>
      </c>
      <c r="G344" s="157"/>
      <c r="H344" s="189"/>
      <c r="I344" s="157"/>
      <c r="J344" s="157"/>
      <c r="K344" s="157"/>
      <c r="L344" s="157"/>
      <c r="M344" s="157"/>
      <c r="N344" s="157"/>
      <c r="O344" s="157"/>
      <c r="P344" s="157"/>
      <c r="Q344" s="157"/>
      <c r="R344" s="158"/>
    </row>
    <row r="345" spans="1:23" s="164" customFormat="1" hidden="1" x14ac:dyDescent="0.25">
      <c r="A345" s="159"/>
      <c r="B345" s="160"/>
      <c r="C345" s="161"/>
      <c r="D345" s="162"/>
      <c r="E345" s="83"/>
      <c r="F345" s="157">
        <f t="shared" si="221"/>
        <v>0</v>
      </c>
      <c r="G345" s="157"/>
      <c r="H345" s="189"/>
      <c r="I345" s="157"/>
      <c r="J345" s="157"/>
      <c r="K345" s="157"/>
      <c r="L345" s="157"/>
      <c r="M345" s="157"/>
      <c r="N345" s="157"/>
      <c r="O345" s="157"/>
      <c r="P345" s="157"/>
      <c r="Q345" s="157"/>
      <c r="R345" s="158"/>
      <c r="S345" s="2"/>
      <c r="T345"/>
      <c r="U345"/>
    </row>
    <row r="346" spans="1:23" s="164" customFormat="1" hidden="1" x14ac:dyDescent="0.25">
      <c r="A346" s="159"/>
      <c r="B346" s="160"/>
      <c r="C346" s="161"/>
      <c r="D346" s="162"/>
      <c r="E346" s="83"/>
      <c r="F346" s="157">
        <f t="shared" si="221"/>
        <v>0</v>
      </c>
      <c r="G346" s="157"/>
      <c r="H346" s="189"/>
      <c r="I346" s="157"/>
      <c r="J346" s="157"/>
      <c r="K346" s="157"/>
      <c r="L346" s="157"/>
      <c r="M346" s="157"/>
      <c r="N346" s="157"/>
      <c r="O346" s="157"/>
      <c r="P346" s="157"/>
      <c r="Q346" s="157"/>
      <c r="R346" s="158"/>
      <c r="S346" s="2"/>
      <c r="T346"/>
      <c r="U346"/>
    </row>
    <row r="347" spans="1:23" s="164" customFormat="1" ht="15.75" hidden="1" customHeight="1" x14ac:dyDescent="0.25">
      <c r="A347" s="159"/>
      <c r="B347" s="160"/>
      <c r="C347" s="161"/>
      <c r="D347" s="162"/>
      <c r="E347" s="239"/>
      <c r="F347" s="157">
        <f t="shared" si="221"/>
        <v>0</v>
      </c>
      <c r="G347" s="157"/>
      <c r="H347" s="189"/>
      <c r="I347" s="157"/>
      <c r="J347" s="157"/>
      <c r="K347" s="157"/>
      <c r="L347" s="157"/>
      <c r="M347" s="157"/>
      <c r="N347" s="157"/>
      <c r="O347" s="157"/>
      <c r="P347" s="157"/>
      <c r="Q347" s="157"/>
      <c r="R347" s="158"/>
      <c r="S347" s="2"/>
      <c r="T347"/>
      <c r="U347"/>
      <c r="W347" s="304"/>
    </row>
    <row r="348" spans="1:23" s="164" customFormat="1" hidden="1" x14ac:dyDescent="0.25">
      <c r="A348" s="159"/>
      <c r="B348" s="160"/>
      <c r="C348" s="161"/>
      <c r="D348" s="162"/>
      <c r="E348" s="83"/>
      <c r="F348" s="157">
        <f t="shared" si="221"/>
        <v>0</v>
      </c>
      <c r="G348" s="157"/>
      <c r="H348" s="189"/>
      <c r="I348" s="157"/>
      <c r="J348" s="157"/>
      <c r="K348" s="157"/>
      <c r="L348" s="157"/>
      <c r="M348" s="157"/>
      <c r="N348" s="157"/>
      <c r="O348" s="157"/>
      <c r="P348" s="157"/>
      <c r="Q348" s="157"/>
      <c r="R348" s="158"/>
      <c r="S348" s="2"/>
      <c r="T348"/>
      <c r="U348"/>
    </row>
    <row r="349" spans="1:23" s="164" customFormat="1" hidden="1" x14ac:dyDescent="0.25">
      <c r="A349" s="159"/>
      <c r="B349" s="160"/>
      <c r="C349" s="161"/>
      <c r="D349" s="162"/>
      <c r="E349" s="83"/>
      <c r="F349" s="157">
        <f t="shared" si="221"/>
        <v>0</v>
      </c>
      <c r="G349" s="157"/>
      <c r="H349" s="189"/>
      <c r="I349" s="157"/>
      <c r="J349" s="157"/>
      <c r="K349" s="157"/>
      <c r="L349" s="157"/>
      <c r="M349" s="157"/>
      <c r="N349" s="157"/>
      <c r="O349" s="157"/>
      <c r="P349" s="157"/>
      <c r="Q349" s="157"/>
      <c r="R349" s="158"/>
      <c r="S349" s="2"/>
      <c r="T349"/>
      <c r="U349"/>
    </row>
    <row r="350" spans="1:23" s="164" customFormat="1" hidden="1" x14ac:dyDescent="0.25">
      <c r="A350" s="159"/>
      <c r="B350" s="160"/>
      <c r="C350" s="161"/>
      <c r="D350" s="162"/>
      <c r="E350" s="83"/>
      <c r="F350" s="157">
        <f t="shared" si="221"/>
        <v>0</v>
      </c>
      <c r="G350" s="157"/>
      <c r="H350" s="189"/>
      <c r="I350" s="157"/>
      <c r="J350" s="157"/>
      <c r="K350" s="157"/>
      <c r="L350" s="157"/>
      <c r="M350" s="157"/>
      <c r="N350" s="157"/>
      <c r="O350" s="157"/>
      <c r="P350" s="157"/>
      <c r="Q350" s="157"/>
      <c r="R350" s="158"/>
      <c r="S350" s="2"/>
      <c r="T350"/>
      <c r="U350"/>
    </row>
    <row r="351" spans="1:23" s="164" customFormat="1" ht="15.75" hidden="1" customHeight="1" x14ac:dyDescent="0.25">
      <c r="A351" s="159"/>
      <c r="B351" s="160"/>
      <c r="C351" s="305"/>
      <c r="D351" s="162"/>
      <c r="E351" s="83"/>
      <c r="F351" s="157">
        <f t="shared" si="221"/>
        <v>0</v>
      </c>
      <c r="G351" s="157"/>
      <c r="H351" s="189"/>
      <c r="I351" s="157"/>
      <c r="J351" s="157"/>
      <c r="K351" s="157"/>
      <c r="L351" s="157"/>
      <c r="M351" s="157"/>
      <c r="N351" s="157"/>
      <c r="O351" s="157"/>
      <c r="P351" s="157"/>
      <c r="Q351" s="157"/>
      <c r="R351" s="158"/>
      <c r="S351" s="2"/>
      <c r="T351"/>
      <c r="U351"/>
    </row>
    <row r="352" spans="1:23" s="164" customFormat="1" hidden="1" x14ac:dyDescent="0.25">
      <c r="A352" s="159"/>
      <c r="B352" s="160"/>
      <c r="C352" s="161"/>
      <c r="D352" s="162"/>
      <c r="E352" s="83"/>
      <c r="F352" s="157">
        <f t="shared" si="221"/>
        <v>0</v>
      </c>
      <c r="G352" s="157"/>
      <c r="H352" s="189"/>
      <c r="I352" s="157"/>
      <c r="J352" s="157"/>
      <c r="K352" s="157"/>
      <c r="L352" s="157"/>
      <c r="M352" s="157"/>
      <c r="N352" s="157"/>
      <c r="O352" s="157"/>
      <c r="P352" s="157"/>
      <c r="Q352" s="157"/>
      <c r="R352" s="158"/>
      <c r="S352" s="2"/>
      <c r="T352"/>
      <c r="U352"/>
    </row>
    <row r="353" spans="1:21" s="164" customFormat="1" hidden="1" x14ac:dyDescent="0.25">
      <c r="A353" s="159"/>
      <c r="B353" s="160"/>
      <c r="C353" s="161"/>
      <c r="D353" s="162"/>
      <c r="E353" s="83"/>
      <c r="F353" s="157">
        <f t="shared" si="221"/>
        <v>0</v>
      </c>
      <c r="G353" s="157"/>
      <c r="H353" s="189"/>
      <c r="I353" s="157"/>
      <c r="J353" s="157"/>
      <c r="K353" s="157"/>
      <c r="L353" s="157"/>
      <c r="M353" s="157"/>
      <c r="N353" s="157"/>
      <c r="O353" s="157"/>
      <c r="P353" s="157"/>
      <c r="Q353" s="157"/>
      <c r="R353" s="158"/>
      <c r="S353" s="2"/>
      <c r="T353"/>
      <c r="U353"/>
    </row>
    <row r="354" spans="1:21" s="311" customFormat="1" hidden="1" x14ac:dyDescent="0.25">
      <c r="A354" s="306"/>
      <c r="B354" s="307"/>
      <c r="C354" s="308"/>
      <c r="D354" s="309"/>
      <c r="E354" s="165"/>
      <c r="F354" s="310">
        <f t="shared" si="221"/>
        <v>0</v>
      </c>
      <c r="G354" s="157"/>
      <c r="H354" s="189"/>
      <c r="I354" s="157"/>
      <c r="J354" s="157"/>
      <c r="K354" s="157"/>
      <c r="L354" s="157"/>
      <c r="M354" s="157"/>
      <c r="N354" s="157"/>
      <c r="O354" s="157"/>
      <c r="P354" s="157"/>
      <c r="Q354" s="157"/>
      <c r="R354" s="158"/>
      <c r="S354" s="2"/>
      <c r="T354"/>
      <c r="U354"/>
    </row>
    <row r="355" spans="1:21" ht="15" hidden="1" customHeight="1" x14ac:dyDescent="0.25">
      <c r="A355" s="41"/>
      <c r="B355" s="160"/>
      <c r="C355" s="161"/>
      <c r="D355" s="162"/>
      <c r="E355" s="83"/>
      <c r="F355" s="157">
        <f t="shared" si="221"/>
        <v>0</v>
      </c>
      <c r="G355" s="157"/>
      <c r="H355" s="189"/>
      <c r="I355" s="157"/>
      <c r="J355" s="157"/>
      <c r="K355" s="157"/>
      <c r="L355" s="157"/>
      <c r="M355" s="157"/>
      <c r="N355" s="157"/>
      <c r="O355" s="157"/>
      <c r="P355" s="157"/>
      <c r="Q355" s="157"/>
      <c r="R355" s="158"/>
    </row>
    <row r="356" spans="1:21" ht="15.75" thickBot="1" x14ac:dyDescent="0.3">
      <c r="A356" s="41"/>
      <c r="B356" s="80"/>
      <c r="C356" s="81" t="s">
        <v>39</v>
      </c>
      <c r="D356" s="82"/>
      <c r="E356" s="116"/>
      <c r="F356" s="85">
        <f xml:space="preserve"> 5903573-SUM(F344:F355)-1607939</f>
        <v>4295634</v>
      </c>
      <c r="G356" s="118"/>
      <c r="H356" s="86"/>
      <c r="I356" s="85"/>
      <c r="J356" s="85"/>
      <c r="K356" s="85"/>
      <c r="L356" s="85"/>
      <c r="M356" s="85"/>
      <c r="N356" s="85"/>
      <c r="O356" s="85"/>
      <c r="P356" s="85"/>
      <c r="Q356" s="85"/>
      <c r="R356" s="158">
        <f>F356</f>
        <v>4295634</v>
      </c>
      <c r="S356" s="312"/>
      <c r="T356" s="7"/>
    </row>
    <row r="357" spans="1:21" ht="15.75" thickBot="1" x14ac:dyDescent="0.3">
      <c r="A357" s="41"/>
      <c r="B357" s="301"/>
      <c r="C357" s="292" t="s">
        <v>93</v>
      </c>
      <c r="D357" s="251"/>
      <c r="E357" s="252">
        <f t="shared" ref="E357:R357" si="222">E359+E371</f>
        <v>250</v>
      </c>
      <c r="F357" s="253">
        <f t="shared" si="222"/>
        <v>3801905</v>
      </c>
      <c r="G357" s="253">
        <f t="shared" si="222"/>
        <v>547085.21000000008</v>
      </c>
      <c r="H357" s="253">
        <f t="shared" si="222"/>
        <v>497211.68000000005</v>
      </c>
      <c r="I357" s="253">
        <f t="shared" si="222"/>
        <v>554653.6100000001</v>
      </c>
      <c r="J357" s="253">
        <f t="shared" si="222"/>
        <v>533721.30000000005</v>
      </c>
      <c r="K357" s="253">
        <f t="shared" si="222"/>
        <v>551512.01</v>
      </c>
      <c r="L357" s="253">
        <f t="shared" si="222"/>
        <v>533721.30000000005</v>
      </c>
      <c r="M357" s="253">
        <f t="shared" si="222"/>
        <v>551512.01</v>
      </c>
      <c r="N357" s="253">
        <f t="shared" si="222"/>
        <v>0</v>
      </c>
      <c r="O357" s="253">
        <f t="shared" si="222"/>
        <v>0</v>
      </c>
      <c r="P357" s="253">
        <f t="shared" si="222"/>
        <v>0</v>
      </c>
      <c r="Q357" s="253">
        <f t="shared" si="222"/>
        <v>0</v>
      </c>
      <c r="R357" s="254">
        <f t="shared" si="222"/>
        <v>32487.880000000121</v>
      </c>
      <c r="S357" s="326">
        <f>F357-SUM(G357:R357)</f>
        <v>0</v>
      </c>
    </row>
    <row r="358" spans="1:21" x14ac:dyDescent="0.25">
      <c r="A358" s="41"/>
      <c r="B358" s="98"/>
      <c r="C358" s="388" t="s">
        <v>42</v>
      </c>
      <c r="D358" s="380"/>
      <c r="E358" s="293"/>
      <c r="F358" s="294"/>
      <c r="G358" s="294"/>
      <c r="H358" s="294"/>
      <c r="I358" s="294"/>
      <c r="J358" s="294"/>
      <c r="K358" s="294"/>
      <c r="L358" s="294"/>
      <c r="M358" s="294"/>
      <c r="N358" s="294"/>
      <c r="O358" s="294"/>
      <c r="P358" s="294"/>
      <c r="Q358" s="294"/>
      <c r="R358" s="295"/>
      <c r="S358" s="25"/>
    </row>
    <row r="359" spans="1:21" ht="31.5" customHeight="1" thickBot="1" x14ac:dyDescent="0.3">
      <c r="A359" s="41"/>
      <c r="B359" s="235"/>
      <c r="C359" s="363" t="s">
        <v>125</v>
      </c>
      <c r="D359" s="363"/>
      <c r="E359" s="284">
        <f>SUM(E361:E368)</f>
        <v>38</v>
      </c>
      <c r="F359" s="220">
        <f t="shared" ref="F359:R359" si="223">SUM(F361:F369)</f>
        <v>577840</v>
      </c>
      <c r="G359" s="220">
        <f t="shared" si="223"/>
        <v>82282.060000000012</v>
      </c>
      <c r="H359" s="220">
        <f t="shared" si="223"/>
        <v>74319.28</v>
      </c>
      <c r="I359" s="220">
        <f t="shared" si="223"/>
        <v>84495.460000000021</v>
      </c>
      <c r="J359" s="220">
        <f t="shared" si="223"/>
        <v>81769.8</v>
      </c>
      <c r="K359" s="220">
        <f t="shared" si="223"/>
        <v>84495.460000000021</v>
      </c>
      <c r="L359" s="220">
        <f t="shared" si="223"/>
        <v>81769.8</v>
      </c>
      <c r="M359" s="220">
        <f t="shared" si="223"/>
        <v>84495.460000000021</v>
      </c>
      <c r="N359" s="220">
        <f t="shared" si="223"/>
        <v>0</v>
      </c>
      <c r="O359" s="220">
        <f t="shared" si="223"/>
        <v>0</v>
      </c>
      <c r="P359" s="220">
        <f t="shared" si="223"/>
        <v>0</v>
      </c>
      <c r="Q359" s="220">
        <f t="shared" si="223"/>
        <v>0</v>
      </c>
      <c r="R359" s="285">
        <f t="shared" si="223"/>
        <v>4212.6799999999348</v>
      </c>
      <c r="S359" s="326">
        <f>F359-SUM(G359:R359)</f>
        <v>0</v>
      </c>
    </row>
    <row r="360" spans="1:21" x14ac:dyDescent="0.25">
      <c r="A360" s="41"/>
      <c r="B360" s="150"/>
      <c r="C360" s="9"/>
      <c r="D360" s="297"/>
      <c r="E360" s="317" t="s">
        <v>29</v>
      </c>
      <c r="F360" s="299">
        <v>0</v>
      </c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9"/>
    </row>
    <row r="361" spans="1:21" x14ac:dyDescent="0.25">
      <c r="A361" s="41"/>
      <c r="B361" s="80">
        <v>1</v>
      </c>
      <c r="C361" s="81" t="s">
        <v>41</v>
      </c>
      <c r="D361" s="82">
        <v>72.540000000000006</v>
      </c>
      <c r="E361" s="83">
        <v>3</v>
      </c>
      <c r="F361" s="85">
        <f t="shared" ref="F361:F368" si="224">+E361*S361*D361</f>
        <v>46135.44</v>
      </c>
      <c r="G361" s="85">
        <f t="shared" ref="G361" si="225">E361*D361*31</f>
        <v>6746.22</v>
      </c>
      <c r="H361" s="86">
        <f t="shared" ref="H361" si="226">E361*D361*28</f>
        <v>6093.3600000000006</v>
      </c>
      <c r="I361" s="85">
        <f t="shared" ref="I361" si="227">E361*D361*31</f>
        <v>6746.22</v>
      </c>
      <c r="J361" s="85">
        <f>E361*D361*30</f>
        <v>6528.6</v>
      </c>
      <c r="K361" s="85">
        <f>E361*D361*31</f>
        <v>6746.22</v>
      </c>
      <c r="L361" s="85">
        <f>E361*D361*30</f>
        <v>6528.6</v>
      </c>
      <c r="M361" s="85">
        <f t="shared" ref="M361" si="228">E361*D361*31</f>
        <v>6746.22</v>
      </c>
      <c r="N361" s="85">
        <v>0</v>
      </c>
      <c r="O361" s="85">
        <v>0</v>
      </c>
      <c r="P361" s="85">
        <v>0</v>
      </c>
      <c r="Q361" s="85">
        <v>0</v>
      </c>
      <c r="R361" s="87">
        <v>0</v>
      </c>
      <c r="S361" s="2">
        <v>212</v>
      </c>
    </row>
    <row r="362" spans="1:21" x14ac:dyDescent="0.25">
      <c r="A362" s="41"/>
      <c r="B362" s="80">
        <v>2</v>
      </c>
      <c r="C362" s="81" t="s">
        <v>71</v>
      </c>
      <c r="D362" s="82">
        <v>71.400000000000006</v>
      </c>
      <c r="E362" s="83">
        <v>7</v>
      </c>
      <c r="F362" s="85">
        <f t="shared" si="224"/>
        <v>105957.6</v>
      </c>
      <c r="G362" s="85">
        <f t="shared" ref="G362:G368" si="229">E362*D362*31</f>
        <v>15493.800000000003</v>
      </c>
      <c r="H362" s="86">
        <f t="shared" ref="H362:H368" si="230">E362*D362*28</f>
        <v>13994.400000000001</v>
      </c>
      <c r="I362" s="85">
        <f t="shared" ref="I362:I368" si="231">E362*D362*31</f>
        <v>15493.800000000003</v>
      </c>
      <c r="J362" s="85">
        <f t="shared" ref="J362:J368" si="232">E362*D362*30</f>
        <v>14994.000000000002</v>
      </c>
      <c r="K362" s="85">
        <f t="shared" ref="K362:K368" si="233">E362*D362*31</f>
        <v>15493.800000000003</v>
      </c>
      <c r="L362" s="85">
        <f t="shared" ref="L362:L368" si="234">E362*D362*30</f>
        <v>14994.000000000002</v>
      </c>
      <c r="M362" s="85">
        <f t="shared" ref="M362:M368" si="235">E362*D362*31</f>
        <v>15493.800000000003</v>
      </c>
      <c r="N362" s="85">
        <v>0</v>
      </c>
      <c r="O362" s="85">
        <v>0</v>
      </c>
      <c r="P362" s="85">
        <v>0</v>
      </c>
      <c r="Q362" s="85">
        <v>0</v>
      </c>
      <c r="R362" s="87">
        <v>0</v>
      </c>
      <c r="S362" s="2">
        <v>212</v>
      </c>
    </row>
    <row r="363" spans="1:21" x14ac:dyDescent="0.25">
      <c r="A363" s="41"/>
      <c r="B363" s="80">
        <v>3</v>
      </c>
      <c r="C363" s="81" t="s">
        <v>30</v>
      </c>
      <c r="D363" s="82">
        <v>71.400000000000006</v>
      </c>
      <c r="E363" s="83">
        <v>3</v>
      </c>
      <c r="F363" s="85">
        <f t="shared" si="224"/>
        <v>45410.400000000001</v>
      </c>
      <c r="G363" s="85">
        <f t="shared" si="229"/>
        <v>6640.2000000000007</v>
      </c>
      <c r="H363" s="86">
        <f t="shared" si="230"/>
        <v>5997.6</v>
      </c>
      <c r="I363" s="85">
        <f t="shared" si="231"/>
        <v>6640.2000000000007</v>
      </c>
      <c r="J363" s="85">
        <f t="shared" si="232"/>
        <v>6426.0000000000009</v>
      </c>
      <c r="K363" s="85">
        <f t="shared" si="233"/>
        <v>6640.2000000000007</v>
      </c>
      <c r="L363" s="85">
        <f t="shared" si="234"/>
        <v>6426.0000000000009</v>
      </c>
      <c r="M363" s="85">
        <f t="shared" si="235"/>
        <v>6640.2000000000007</v>
      </c>
      <c r="N363" s="85">
        <v>0</v>
      </c>
      <c r="O363" s="85">
        <v>0</v>
      </c>
      <c r="P363" s="85">
        <v>0</v>
      </c>
      <c r="Q363" s="85">
        <v>0</v>
      </c>
      <c r="R363" s="87">
        <v>0</v>
      </c>
      <c r="S363" s="2">
        <v>212</v>
      </c>
    </row>
    <row r="364" spans="1:21" x14ac:dyDescent="0.25">
      <c r="A364" s="41"/>
      <c r="B364" s="80">
        <v>4</v>
      </c>
      <c r="C364" s="81" t="s">
        <v>66</v>
      </c>
      <c r="D364" s="82">
        <v>73.59</v>
      </c>
      <c r="E364" s="83">
        <v>1</v>
      </c>
      <c r="F364" s="85">
        <f t="shared" si="224"/>
        <v>15601.08</v>
      </c>
      <c r="G364" s="85">
        <f t="shared" si="229"/>
        <v>2281.29</v>
      </c>
      <c r="H364" s="86">
        <f t="shared" si="230"/>
        <v>2060.52</v>
      </c>
      <c r="I364" s="85">
        <f t="shared" si="231"/>
        <v>2281.29</v>
      </c>
      <c r="J364" s="85">
        <f t="shared" si="232"/>
        <v>2207.7000000000003</v>
      </c>
      <c r="K364" s="85">
        <f t="shared" si="233"/>
        <v>2281.29</v>
      </c>
      <c r="L364" s="85">
        <f t="shared" si="234"/>
        <v>2207.7000000000003</v>
      </c>
      <c r="M364" s="85">
        <f t="shared" si="235"/>
        <v>2281.29</v>
      </c>
      <c r="N364" s="85">
        <v>0</v>
      </c>
      <c r="O364" s="85">
        <v>0</v>
      </c>
      <c r="P364" s="85">
        <v>0</v>
      </c>
      <c r="Q364" s="85">
        <v>0</v>
      </c>
      <c r="R364" s="87">
        <v>0</v>
      </c>
      <c r="S364" s="2">
        <v>212</v>
      </c>
    </row>
    <row r="365" spans="1:21" x14ac:dyDescent="0.25">
      <c r="A365" s="41"/>
      <c r="B365" s="80">
        <v>5</v>
      </c>
      <c r="C365" s="81" t="s">
        <v>34</v>
      </c>
      <c r="D365" s="82">
        <v>78.25</v>
      </c>
      <c r="E365" s="83">
        <v>1</v>
      </c>
      <c r="F365" s="85">
        <f t="shared" si="224"/>
        <v>16589</v>
      </c>
      <c r="G365" s="85">
        <f t="shared" si="229"/>
        <v>2425.75</v>
      </c>
      <c r="H365" s="86">
        <f t="shared" si="230"/>
        <v>2191</v>
      </c>
      <c r="I365" s="85">
        <f t="shared" si="231"/>
        <v>2425.75</v>
      </c>
      <c r="J365" s="85">
        <f t="shared" si="232"/>
        <v>2347.5</v>
      </c>
      <c r="K365" s="85">
        <f t="shared" si="233"/>
        <v>2425.75</v>
      </c>
      <c r="L365" s="85">
        <f t="shared" si="234"/>
        <v>2347.5</v>
      </c>
      <c r="M365" s="85">
        <f t="shared" si="235"/>
        <v>2425.75</v>
      </c>
      <c r="N365" s="85">
        <v>0</v>
      </c>
      <c r="O365" s="85">
        <v>0</v>
      </c>
      <c r="P365" s="85">
        <v>0</v>
      </c>
      <c r="Q365" s="85">
        <v>0</v>
      </c>
      <c r="R365" s="87">
        <v>0</v>
      </c>
      <c r="S365" s="2">
        <v>212</v>
      </c>
    </row>
    <row r="366" spans="1:21" s="164" customFormat="1" x14ac:dyDescent="0.25">
      <c r="A366" s="159"/>
      <c r="B366" s="160">
        <v>6</v>
      </c>
      <c r="C366" s="161" t="s">
        <v>48</v>
      </c>
      <c r="D366" s="162">
        <v>71.400000000000006</v>
      </c>
      <c r="E366" s="83">
        <v>7</v>
      </c>
      <c r="F366" s="157">
        <f t="shared" si="224"/>
        <v>105957.6</v>
      </c>
      <c r="G366" s="85">
        <f t="shared" si="229"/>
        <v>15493.800000000003</v>
      </c>
      <c r="H366" s="86">
        <f t="shared" si="230"/>
        <v>13994.400000000001</v>
      </c>
      <c r="I366" s="85">
        <f t="shared" si="231"/>
        <v>15493.800000000003</v>
      </c>
      <c r="J366" s="85">
        <f t="shared" si="232"/>
        <v>14994.000000000002</v>
      </c>
      <c r="K366" s="85">
        <f t="shared" si="233"/>
        <v>15493.800000000003</v>
      </c>
      <c r="L366" s="85">
        <f t="shared" si="234"/>
        <v>14994.000000000002</v>
      </c>
      <c r="M366" s="85">
        <f t="shared" si="235"/>
        <v>15493.800000000003</v>
      </c>
      <c r="N366" s="85">
        <v>0</v>
      </c>
      <c r="O366" s="85">
        <v>0</v>
      </c>
      <c r="P366" s="85">
        <v>0</v>
      </c>
      <c r="Q366" s="85">
        <v>0</v>
      </c>
      <c r="R366" s="87">
        <v>0</v>
      </c>
      <c r="S366" s="2">
        <v>212</v>
      </c>
    </row>
    <row r="367" spans="1:21" s="164" customFormat="1" x14ac:dyDescent="0.25">
      <c r="A367" s="159"/>
      <c r="B367" s="160">
        <v>6</v>
      </c>
      <c r="C367" s="325" t="s">
        <v>48</v>
      </c>
      <c r="D367" s="162">
        <v>71.400000000000006</v>
      </c>
      <c r="E367" s="83">
        <v>1</v>
      </c>
      <c r="F367" s="157">
        <f t="shared" ref="F367" si="236">+E367*S367*D367</f>
        <v>10924.2</v>
      </c>
      <c r="G367" s="85">
        <v>0</v>
      </c>
      <c r="H367" s="86">
        <v>0</v>
      </c>
      <c r="I367" s="85">
        <f t="shared" ref="I367" si="237">E367*D367*31</f>
        <v>2213.4</v>
      </c>
      <c r="J367" s="85">
        <f t="shared" ref="J367" si="238">E367*D367*30</f>
        <v>2142</v>
      </c>
      <c r="K367" s="85">
        <f t="shared" ref="K367" si="239">E367*D367*31</f>
        <v>2213.4</v>
      </c>
      <c r="L367" s="85">
        <f t="shared" ref="L367" si="240">E367*D367*30</f>
        <v>2142</v>
      </c>
      <c r="M367" s="85">
        <f t="shared" ref="M367" si="241">E367*D367*31</f>
        <v>2213.4</v>
      </c>
      <c r="N367" s="85">
        <v>0</v>
      </c>
      <c r="O367" s="85">
        <v>0</v>
      </c>
      <c r="P367" s="85">
        <v>0</v>
      </c>
      <c r="Q367" s="85">
        <v>0</v>
      </c>
      <c r="R367" s="87">
        <v>0</v>
      </c>
      <c r="S367" s="2">
        <f>212-31-28</f>
        <v>153</v>
      </c>
    </row>
    <row r="368" spans="1:21" x14ac:dyDescent="0.25">
      <c r="A368" s="41"/>
      <c r="B368" s="80">
        <v>7</v>
      </c>
      <c r="C368" s="81" t="s">
        <v>54</v>
      </c>
      <c r="D368" s="82">
        <v>71.400000000000006</v>
      </c>
      <c r="E368" s="83">
        <v>15</v>
      </c>
      <c r="F368" s="85">
        <f t="shared" si="224"/>
        <v>227052.00000000003</v>
      </c>
      <c r="G368" s="85">
        <f t="shared" si="229"/>
        <v>33201</v>
      </c>
      <c r="H368" s="86">
        <f t="shared" si="230"/>
        <v>29988</v>
      </c>
      <c r="I368" s="85">
        <f t="shared" si="231"/>
        <v>33201</v>
      </c>
      <c r="J368" s="85">
        <f t="shared" si="232"/>
        <v>32130</v>
      </c>
      <c r="K368" s="85">
        <f t="shared" si="233"/>
        <v>33201</v>
      </c>
      <c r="L368" s="85">
        <f t="shared" si="234"/>
        <v>32130</v>
      </c>
      <c r="M368" s="85">
        <f t="shared" si="235"/>
        <v>33201</v>
      </c>
      <c r="N368" s="85">
        <v>0</v>
      </c>
      <c r="O368" s="85">
        <v>0</v>
      </c>
      <c r="P368" s="85">
        <v>0</v>
      </c>
      <c r="Q368" s="85">
        <v>0</v>
      </c>
      <c r="R368" s="87">
        <v>0</v>
      </c>
      <c r="S368" s="2">
        <v>212</v>
      </c>
    </row>
    <row r="369" spans="1:23" ht="15.75" thickBot="1" x14ac:dyDescent="0.3">
      <c r="A369" s="41"/>
      <c r="B369" s="225"/>
      <c r="C369" s="226" t="s">
        <v>39</v>
      </c>
      <c r="D369" s="227"/>
      <c r="E369" s="228"/>
      <c r="F369" s="232">
        <f xml:space="preserve"> 577840-SUM(F361:F368)</f>
        <v>4212.6799999999348</v>
      </c>
      <c r="G369" s="231"/>
      <c r="H369" s="230"/>
      <c r="I369" s="232"/>
      <c r="J369" s="232"/>
      <c r="K369" s="232"/>
      <c r="L369" s="232"/>
      <c r="M369" s="232"/>
      <c r="N369" s="232"/>
      <c r="O369" s="232"/>
      <c r="P369" s="232"/>
      <c r="Q369" s="232"/>
      <c r="R369" s="302">
        <f>F369</f>
        <v>4212.6799999999348</v>
      </c>
      <c r="S369" s="25"/>
    </row>
    <row r="370" spans="1:23" ht="26.25" x14ac:dyDescent="0.25">
      <c r="A370" s="41"/>
      <c r="B370" s="192"/>
      <c r="C370" s="303" t="s">
        <v>91</v>
      </c>
      <c r="D370" s="194"/>
      <c r="E370" s="194"/>
      <c r="F370" s="195"/>
      <c r="G370" s="196"/>
      <c r="H370" s="196"/>
      <c r="I370" s="195"/>
      <c r="J370" s="195"/>
      <c r="K370" s="195"/>
      <c r="L370" s="195"/>
      <c r="M370" s="195"/>
      <c r="N370" s="195"/>
      <c r="O370" s="195"/>
      <c r="P370" s="195"/>
      <c r="Q370" s="195"/>
      <c r="R370" s="197"/>
      <c r="S370" s="25"/>
    </row>
    <row r="371" spans="1:23" ht="30" customHeight="1" thickBot="1" x14ac:dyDescent="0.3">
      <c r="A371" s="41"/>
      <c r="B371" s="235"/>
      <c r="C371" s="363" t="s">
        <v>126</v>
      </c>
      <c r="D371" s="363"/>
      <c r="E371" s="284">
        <f>SUM(E373:E387)</f>
        <v>212</v>
      </c>
      <c r="F371" s="220">
        <f>SUM(F373:F388)</f>
        <v>3224065</v>
      </c>
      <c r="G371" s="220">
        <f>SUM(G373:G387)</f>
        <v>464803.15</v>
      </c>
      <c r="H371" s="220">
        <f>SUM(H373:H387)</f>
        <v>422892.40000000008</v>
      </c>
      <c r="I371" s="220">
        <f>SUM(I373:I387)</f>
        <v>470158.15</v>
      </c>
      <c r="J371" s="220">
        <f>SUM(J373:J387)</f>
        <v>451951.5</v>
      </c>
      <c r="K371" s="220">
        <f>SUM(K373:K387)</f>
        <v>467016.55000000005</v>
      </c>
      <c r="L371" s="220">
        <f>SUM(L373:L387)</f>
        <v>451951.5</v>
      </c>
      <c r="M371" s="220">
        <f>SUM(M373:M387)</f>
        <v>467016.55000000005</v>
      </c>
      <c r="N371" s="220">
        <f>SUM(N373:N387)</f>
        <v>0</v>
      </c>
      <c r="O371" s="220">
        <f>SUM(O373:O387)</f>
        <v>0</v>
      </c>
      <c r="P371" s="220">
        <f>SUM(P373:P387)</f>
        <v>0</v>
      </c>
      <c r="Q371" s="220">
        <f>SUM(Q373:Q387)</f>
        <v>0</v>
      </c>
      <c r="R371" s="285">
        <f>SUM(R373:R388)</f>
        <v>28275.200000000186</v>
      </c>
      <c r="S371" s="326">
        <f>F371-SUM(G371:R371)</f>
        <v>0</v>
      </c>
      <c r="V371" s="33"/>
    </row>
    <row r="372" spans="1:23" x14ac:dyDescent="0.25">
      <c r="A372" s="41"/>
      <c r="B372" s="80"/>
      <c r="C372" s="123"/>
      <c r="D372" s="123"/>
      <c r="E372" s="75" t="s">
        <v>29</v>
      </c>
      <c r="F372" s="202">
        <v>0</v>
      </c>
      <c r="G372" s="146"/>
      <c r="H372" s="146"/>
      <c r="I372" s="146"/>
      <c r="J372" s="146"/>
      <c r="K372" s="146"/>
      <c r="L372" s="146"/>
      <c r="M372" s="157"/>
      <c r="N372" s="146"/>
      <c r="O372" s="146"/>
      <c r="P372" s="146"/>
      <c r="Q372" s="146"/>
      <c r="R372" s="147"/>
      <c r="S372" s="148"/>
      <c r="V372" s="149"/>
    </row>
    <row r="373" spans="1:23" x14ac:dyDescent="0.25">
      <c r="A373" s="41"/>
      <c r="B373" s="80">
        <v>1</v>
      </c>
      <c r="C373" s="161" t="s">
        <v>41</v>
      </c>
      <c r="D373" s="162">
        <v>72.540000000000006</v>
      </c>
      <c r="E373" s="83">
        <v>16</v>
      </c>
      <c r="F373" s="157">
        <f t="shared" ref="F373:F387" si="242">+E373*S373*D373</f>
        <v>246055.68000000002</v>
      </c>
      <c r="G373" s="157">
        <f t="shared" ref="G373:G387" si="243">E373*D373*31</f>
        <v>35979.840000000004</v>
      </c>
      <c r="H373" s="189">
        <f t="shared" ref="H373:H387" si="244">E373*D373*28</f>
        <v>32497.920000000002</v>
      </c>
      <c r="I373" s="157">
        <f t="shared" ref="I373:I387" si="245">E373*D373*31</f>
        <v>35979.840000000004</v>
      </c>
      <c r="J373" s="157">
        <f t="shared" ref="J373:J387" si="246">E373*D373*30</f>
        <v>34819.200000000004</v>
      </c>
      <c r="K373" s="157">
        <f t="shared" ref="K373:K387" si="247">E373*D373*31</f>
        <v>35979.840000000004</v>
      </c>
      <c r="L373" s="157">
        <f t="shared" ref="L373:L387" si="248">E373*D373*30</f>
        <v>34819.200000000004</v>
      </c>
      <c r="M373" s="157">
        <f>E373*D373*31</f>
        <v>35979.840000000004</v>
      </c>
      <c r="N373" s="157">
        <v>0</v>
      </c>
      <c r="O373" s="157">
        <v>0</v>
      </c>
      <c r="P373" s="157">
        <v>0</v>
      </c>
      <c r="Q373" s="157">
        <v>0</v>
      </c>
      <c r="R373" s="158">
        <v>0</v>
      </c>
      <c r="S373" s="2">
        <v>212</v>
      </c>
    </row>
    <row r="374" spans="1:23" s="164" customFormat="1" x14ac:dyDescent="0.25">
      <c r="A374" s="159"/>
      <c r="B374" s="160">
        <v>2</v>
      </c>
      <c r="C374" s="161" t="s">
        <v>71</v>
      </c>
      <c r="D374" s="162">
        <v>71.400000000000006</v>
      </c>
      <c r="E374" s="83">
        <v>16</v>
      </c>
      <c r="F374" s="157">
        <f t="shared" si="242"/>
        <v>242188.80000000002</v>
      </c>
      <c r="G374" s="157">
        <f t="shared" si="243"/>
        <v>35414.400000000001</v>
      </c>
      <c r="H374" s="189">
        <f t="shared" si="244"/>
        <v>31987.200000000004</v>
      </c>
      <c r="I374" s="157">
        <f t="shared" si="245"/>
        <v>35414.400000000001</v>
      </c>
      <c r="J374" s="157">
        <f t="shared" si="246"/>
        <v>34272</v>
      </c>
      <c r="K374" s="157">
        <f t="shared" si="247"/>
        <v>35414.400000000001</v>
      </c>
      <c r="L374" s="157">
        <f t="shared" si="248"/>
        <v>34272</v>
      </c>
      <c r="M374" s="157">
        <f t="shared" ref="M374:M387" si="249">E374*D374*31</f>
        <v>35414.400000000001</v>
      </c>
      <c r="N374" s="157">
        <v>0</v>
      </c>
      <c r="O374" s="157">
        <v>0</v>
      </c>
      <c r="P374" s="157">
        <v>0</v>
      </c>
      <c r="Q374" s="157">
        <v>0</v>
      </c>
      <c r="R374" s="158">
        <v>0</v>
      </c>
      <c r="S374" s="2">
        <v>212</v>
      </c>
      <c r="T374"/>
      <c r="U374"/>
    </row>
    <row r="375" spans="1:23" s="164" customFormat="1" x14ac:dyDescent="0.25">
      <c r="A375" s="159"/>
      <c r="B375" s="160">
        <v>3</v>
      </c>
      <c r="C375" s="161" t="s">
        <v>94</v>
      </c>
      <c r="D375" s="162">
        <v>71.400000000000006</v>
      </c>
      <c r="E375" s="83">
        <v>2</v>
      </c>
      <c r="F375" s="157">
        <f t="shared" si="242"/>
        <v>30273.600000000002</v>
      </c>
      <c r="G375" s="157">
        <f t="shared" si="243"/>
        <v>4426.8</v>
      </c>
      <c r="H375" s="189">
        <f t="shared" si="244"/>
        <v>3998.4000000000005</v>
      </c>
      <c r="I375" s="157">
        <f t="shared" si="245"/>
        <v>4426.8</v>
      </c>
      <c r="J375" s="157">
        <f t="shared" si="246"/>
        <v>4284</v>
      </c>
      <c r="K375" s="157">
        <f t="shared" si="247"/>
        <v>4426.8</v>
      </c>
      <c r="L375" s="157">
        <f t="shared" si="248"/>
        <v>4284</v>
      </c>
      <c r="M375" s="157">
        <f t="shared" si="249"/>
        <v>4426.8</v>
      </c>
      <c r="N375" s="157">
        <v>0</v>
      </c>
      <c r="O375" s="157">
        <v>0</v>
      </c>
      <c r="P375" s="157">
        <v>0</v>
      </c>
      <c r="Q375" s="157">
        <v>0</v>
      </c>
      <c r="R375" s="158">
        <v>0</v>
      </c>
      <c r="S375" s="2">
        <v>212</v>
      </c>
      <c r="T375"/>
      <c r="U375"/>
    </row>
    <row r="376" spans="1:23" s="164" customFormat="1" ht="15.75" customHeight="1" x14ac:dyDescent="0.25">
      <c r="A376" s="159"/>
      <c r="B376" s="160">
        <v>4</v>
      </c>
      <c r="C376" s="161" t="s">
        <v>95</v>
      </c>
      <c r="D376" s="162">
        <v>75.64</v>
      </c>
      <c r="E376" s="239">
        <v>1</v>
      </c>
      <c r="F376" s="157">
        <f t="shared" si="242"/>
        <v>16035.68</v>
      </c>
      <c r="G376" s="157">
        <f t="shared" si="243"/>
        <v>2344.84</v>
      </c>
      <c r="H376" s="189">
        <f t="shared" si="244"/>
        <v>2117.92</v>
      </c>
      <c r="I376" s="157">
        <f t="shared" si="245"/>
        <v>2344.84</v>
      </c>
      <c r="J376" s="157">
        <f t="shared" si="246"/>
        <v>2269.1999999999998</v>
      </c>
      <c r="K376" s="157">
        <f t="shared" si="247"/>
        <v>2344.84</v>
      </c>
      <c r="L376" s="157">
        <f t="shared" si="248"/>
        <v>2269.1999999999998</v>
      </c>
      <c r="M376" s="157">
        <f t="shared" si="249"/>
        <v>2344.84</v>
      </c>
      <c r="N376" s="157">
        <v>0</v>
      </c>
      <c r="O376" s="157">
        <v>0</v>
      </c>
      <c r="P376" s="157">
        <v>0</v>
      </c>
      <c r="Q376" s="157">
        <v>0</v>
      </c>
      <c r="R376" s="158">
        <v>0</v>
      </c>
      <c r="S376" s="2">
        <v>212</v>
      </c>
      <c r="T376"/>
      <c r="U376"/>
      <c r="W376" s="304"/>
    </row>
    <row r="377" spans="1:23" s="164" customFormat="1" x14ac:dyDescent="0.25">
      <c r="A377" s="159"/>
      <c r="B377" s="160">
        <v>5</v>
      </c>
      <c r="C377" s="161" t="s">
        <v>30</v>
      </c>
      <c r="D377" s="162">
        <v>71.400000000000006</v>
      </c>
      <c r="E377" s="83">
        <v>16</v>
      </c>
      <c r="F377" s="157">
        <f t="shared" si="242"/>
        <v>242188.80000000002</v>
      </c>
      <c r="G377" s="157">
        <f t="shared" si="243"/>
        <v>35414.400000000001</v>
      </c>
      <c r="H377" s="189">
        <f t="shared" si="244"/>
        <v>31987.200000000004</v>
      </c>
      <c r="I377" s="157">
        <f t="shared" si="245"/>
        <v>35414.400000000001</v>
      </c>
      <c r="J377" s="157">
        <f t="shared" si="246"/>
        <v>34272</v>
      </c>
      <c r="K377" s="157">
        <f t="shared" si="247"/>
        <v>35414.400000000001</v>
      </c>
      <c r="L377" s="157">
        <f t="shared" si="248"/>
        <v>34272</v>
      </c>
      <c r="M377" s="157">
        <f t="shared" si="249"/>
        <v>35414.400000000001</v>
      </c>
      <c r="N377" s="157">
        <v>0</v>
      </c>
      <c r="O377" s="157">
        <v>0</v>
      </c>
      <c r="P377" s="157">
        <v>0</v>
      </c>
      <c r="Q377" s="157">
        <v>0</v>
      </c>
      <c r="R377" s="158">
        <v>0</v>
      </c>
      <c r="S377" s="2">
        <v>212</v>
      </c>
      <c r="T377"/>
      <c r="U377"/>
    </row>
    <row r="378" spans="1:23" s="164" customFormat="1" x14ac:dyDescent="0.25">
      <c r="A378" s="159"/>
      <c r="B378" s="160">
        <v>6</v>
      </c>
      <c r="C378" s="161" t="s">
        <v>96</v>
      </c>
      <c r="D378" s="162">
        <v>76.59</v>
      </c>
      <c r="E378" s="83">
        <v>1</v>
      </c>
      <c r="F378" s="157">
        <f t="shared" si="242"/>
        <v>16237.08</v>
      </c>
      <c r="G378" s="157">
        <f t="shared" si="243"/>
        <v>2374.29</v>
      </c>
      <c r="H378" s="189">
        <f t="shared" si="244"/>
        <v>2144.52</v>
      </c>
      <c r="I378" s="157">
        <f t="shared" si="245"/>
        <v>2374.29</v>
      </c>
      <c r="J378" s="157">
        <f t="shared" si="246"/>
        <v>2297.7000000000003</v>
      </c>
      <c r="K378" s="157">
        <f t="shared" si="247"/>
        <v>2374.29</v>
      </c>
      <c r="L378" s="157">
        <f t="shared" si="248"/>
        <v>2297.7000000000003</v>
      </c>
      <c r="M378" s="157">
        <f t="shared" si="249"/>
        <v>2374.29</v>
      </c>
      <c r="N378" s="157">
        <v>0</v>
      </c>
      <c r="O378" s="157">
        <v>0</v>
      </c>
      <c r="P378" s="157">
        <v>0</v>
      </c>
      <c r="Q378" s="157">
        <v>0</v>
      </c>
      <c r="R378" s="158">
        <v>0</v>
      </c>
      <c r="S378" s="2">
        <v>212</v>
      </c>
      <c r="T378"/>
      <c r="U378"/>
    </row>
    <row r="379" spans="1:23" s="164" customFormat="1" x14ac:dyDescent="0.25">
      <c r="A379" s="159"/>
      <c r="B379" s="160">
        <v>7</v>
      </c>
      <c r="C379" s="161" t="s">
        <v>76</v>
      </c>
      <c r="D379" s="162">
        <v>72.540000000000006</v>
      </c>
      <c r="E379" s="83">
        <v>1</v>
      </c>
      <c r="F379" s="157">
        <f t="shared" si="242"/>
        <v>15378.480000000001</v>
      </c>
      <c r="G379" s="157">
        <f t="shared" si="243"/>
        <v>2248.7400000000002</v>
      </c>
      <c r="H379" s="189">
        <f t="shared" si="244"/>
        <v>2031.1200000000001</v>
      </c>
      <c r="I379" s="157">
        <f t="shared" si="245"/>
        <v>2248.7400000000002</v>
      </c>
      <c r="J379" s="157">
        <f t="shared" si="246"/>
        <v>2176.2000000000003</v>
      </c>
      <c r="K379" s="157">
        <f t="shared" si="247"/>
        <v>2248.7400000000002</v>
      </c>
      <c r="L379" s="157">
        <f t="shared" si="248"/>
        <v>2176.2000000000003</v>
      </c>
      <c r="M379" s="157">
        <f t="shared" si="249"/>
        <v>2248.7400000000002</v>
      </c>
      <c r="N379" s="157">
        <v>0</v>
      </c>
      <c r="O379" s="157">
        <v>0</v>
      </c>
      <c r="P379" s="157">
        <v>0</v>
      </c>
      <c r="Q379" s="157">
        <v>0</v>
      </c>
      <c r="R379" s="158">
        <v>0</v>
      </c>
      <c r="S379" s="2">
        <v>212</v>
      </c>
      <c r="T379"/>
      <c r="U379"/>
    </row>
    <row r="380" spans="1:23" s="164" customFormat="1" ht="15.75" customHeight="1" x14ac:dyDescent="0.25">
      <c r="A380" s="159"/>
      <c r="B380" s="160">
        <v>8</v>
      </c>
      <c r="C380" s="305" t="s">
        <v>31</v>
      </c>
      <c r="D380" s="162">
        <v>72.540000000000006</v>
      </c>
      <c r="E380" s="83">
        <v>1</v>
      </c>
      <c r="F380" s="157">
        <f t="shared" si="242"/>
        <v>15378.480000000001</v>
      </c>
      <c r="G380" s="157">
        <f t="shared" si="243"/>
        <v>2248.7400000000002</v>
      </c>
      <c r="H380" s="189">
        <f t="shared" si="244"/>
        <v>2031.1200000000001</v>
      </c>
      <c r="I380" s="157">
        <f t="shared" si="245"/>
        <v>2248.7400000000002</v>
      </c>
      <c r="J380" s="157">
        <f t="shared" si="246"/>
        <v>2176.2000000000003</v>
      </c>
      <c r="K380" s="157">
        <f t="shared" si="247"/>
        <v>2248.7400000000002</v>
      </c>
      <c r="L380" s="157">
        <f t="shared" si="248"/>
        <v>2176.2000000000003</v>
      </c>
      <c r="M380" s="157">
        <f t="shared" si="249"/>
        <v>2248.7400000000002</v>
      </c>
      <c r="N380" s="157">
        <v>0</v>
      </c>
      <c r="O380" s="157">
        <v>0</v>
      </c>
      <c r="P380" s="157">
        <v>0</v>
      </c>
      <c r="Q380" s="157">
        <v>0</v>
      </c>
      <c r="R380" s="158">
        <v>0</v>
      </c>
      <c r="S380" s="2">
        <v>212</v>
      </c>
      <c r="T380"/>
      <c r="U380"/>
    </row>
    <row r="381" spans="1:23" s="164" customFormat="1" x14ac:dyDescent="0.25">
      <c r="A381" s="159"/>
      <c r="B381" s="160">
        <v>9</v>
      </c>
      <c r="C381" s="161" t="s">
        <v>34</v>
      </c>
      <c r="D381" s="162">
        <v>78.25</v>
      </c>
      <c r="E381" s="83">
        <v>5</v>
      </c>
      <c r="F381" s="157">
        <f t="shared" si="242"/>
        <v>82945</v>
      </c>
      <c r="G381" s="157">
        <f t="shared" si="243"/>
        <v>12128.75</v>
      </c>
      <c r="H381" s="189">
        <f t="shared" si="244"/>
        <v>10955</v>
      </c>
      <c r="I381" s="157">
        <f t="shared" si="245"/>
        <v>12128.75</v>
      </c>
      <c r="J381" s="157">
        <f t="shared" si="246"/>
        <v>11737.5</v>
      </c>
      <c r="K381" s="157">
        <f t="shared" si="247"/>
        <v>12128.75</v>
      </c>
      <c r="L381" s="157">
        <f t="shared" si="248"/>
        <v>11737.5</v>
      </c>
      <c r="M381" s="157">
        <f t="shared" si="249"/>
        <v>12128.75</v>
      </c>
      <c r="N381" s="157">
        <v>0</v>
      </c>
      <c r="O381" s="157">
        <v>0</v>
      </c>
      <c r="P381" s="157">
        <v>0</v>
      </c>
      <c r="Q381" s="157">
        <v>0</v>
      </c>
      <c r="R381" s="158">
        <v>0</v>
      </c>
      <c r="S381" s="2">
        <v>212</v>
      </c>
      <c r="T381"/>
      <c r="U381"/>
    </row>
    <row r="382" spans="1:23" s="164" customFormat="1" x14ac:dyDescent="0.25">
      <c r="A382" s="159"/>
      <c r="B382" s="160">
        <v>10</v>
      </c>
      <c r="C382" s="161" t="s">
        <v>48</v>
      </c>
      <c r="D382" s="162">
        <v>71.400000000000006</v>
      </c>
      <c r="E382" s="83">
        <v>128</v>
      </c>
      <c r="F382" s="157">
        <f t="shared" si="242"/>
        <v>1937510.4000000001</v>
      </c>
      <c r="G382" s="157">
        <f t="shared" si="243"/>
        <v>283315.20000000001</v>
      </c>
      <c r="H382" s="189">
        <f t="shared" si="244"/>
        <v>255897.60000000003</v>
      </c>
      <c r="I382" s="157">
        <f t="shared" si="245"/>
        <v>283315.20000000001</v>
      </c>
      <c r="J382" s="157">
        <f t="shared" si="246"/>
        <v>274176</v>
      </c>
      <c r="K382" s="157">
        <f t="shared" si="247"/>
        <v>283315.20000000001</v>
      </c>
      <c r="L382" s="157">
        <f t="shared" si="248"/>
        <v>274176</v>
      </c>
      <c r="M382" s="157">
        <f t="shared" si="249"/>
        <v>283315.20000000001</v>
      </c>
      <c r="N382" s="157">
        <v>0</v>
      </c>
      <c r="O382" s="157">
        <v>0</v>
      </c>
      <c r="P382" s="157">
        <v>0</v>
      </c>
      <c r="Q382" s="157">
        <v>0</v>
      </c>
      <c r="R382" s="158">
        <v>0</v>
      </c>
      <c r="S382" s="2">
        <v>212</v>
      </c>
      <c r="T382"/>
      <c r="U382"/>
    </row>
    <row r="383" spans="1:23" s="311" customFormat="1" x14ac:dyDescent="0.25">
      <c r="A383" s="306"/>
      <c r="B383" s="307">
        <v>11</v>
      </c>
      <c r="C383" s="308" t="s">
        <v>54</v>
      </c>
      <c r="D383" s="309">
        <v>71.400000000000006</v>
      </c>
      <c r="E383" s="165">
        <v>21</v>
      </c>
      <c r="F383" s="310">
        <f t="shared" si="242"/>
        <v>317872.80000000005</v>
      </c>
      <c r="G383" s="157">
        <f t="shared" si="243"/>
        <v>46481.4</v>
      </c>
      <c r="H383" s="189">
        <f t="shared" si="244"/>
        <v>41983.200000000004</v>
      </c>
      <c r="I383" s="157">
        <f t="shared" si="245"/>
        <v>46481.4</v>
      </c>
      <c r="J383" s="157">
        <f t="shared" si="246"/>
        <v>44982</v>
      </c>
      <c r="K383" s="157">
        <f t="shared" si="247"/>
        <v>46481.4</v>
      </c>
      <c r="L383" s="157">
        <f t="shared" si="248"/>
        <v>44982</v>
      </c>
      <c r="M383" s="157">
        <f t="shared" si="249"/>
        <v>46481.4</v>
      </c>
      <c r="N383" s="157">
        <v>0</v>
      </c>
      <c r="O383" s="157">
        <v>0</v>
      </c>
      <c r="P383" s="157">
        <v>0</v>
      </c>
      <c r="Q383" s="157">
        <v>0</v>
      </c>
      <c r="R383" s="158">
        <v>0</v>
      </c>
      <c r="S383" s="2">
        <v>212</v>
      </c>
      <c r="T383"/>
      <c r="U383"/>
    </row>
    <row r="384" spans="1:23" s="311" customFormat="1" x14ac:dyDescent="0.25">
      <c r="A384" s="306"/>
      <c r="B384" s="307">
        <v>13</v>
      </c>
      <c r="C384" s="308" t="s">
        <v>54</v>
      </c>
      <c r="D384" s="309">
        <v>71.400000000000006</v>
      </c>
      <c r="E384" s="165">
        <v>1</v>
      </c>
      <c r="F384" s="310">
        <f t="shared" ref="F384" si="250">+E384*S384*D384</f>
        <v>0</v>
      </c>
      <c r="G384" s="157">
        <v>0</v>
      </c>
      <c r="H384" s="189">
        <v>0</v>
      </c>
      <c r="I384" s="157">
        <v>0</v>
      </c>
      <c r="J384" s="157">
        <v>0</v>
      </c>
      <c r="K384" s="157">
        <v>0</v>
      </c>
      <c r="L384" s="157">
        <v>0</v>
      </c>
      <c r="M384" s="157">
        <v>0</v>
      </c>
      <c r="N384" s="157">
        <v>0</v>
      </c>
      <c r="O384" s="157">
        <v>0</v>
      </c>
      <c r="P384" s="157">
        <v>0</v>
      </c>
      <c r="Q384" s="157">
        <v>0</v>
      </c>
      <c r="R384" s="158">
        <v>0</v>
      </c>
      <c r="S384" s="2">
        <v>0</v>
      </c>
      <c r="T384"/>
      <c r="U384"/>
    </row>
    <row r="385" spans="1:20" x14ac:dyDescent="0.25">
      <c r="A385" s="41"/>
      <c r="B385" s="331">
        <v>14</v>
      </c>
      <c r="C385" s="330" t="s">
        <v>128</v>
      </c>
      <c r="D385" s="309">
        <v>71.400000000000006</v>
      </c>
      <c r="E385" s="83">
        <v>1</v>
      </c>
      <c r="F385" s="85">
        <f>+E385*S385*D385</f>
        <v>5283.6</v>
      </c>
      <c r="G385" s="85">
        <v>0</v>
      </c>
      <c r="H385" s="86">
        <f>E385*D385*28+D385*E385*15</f>
        <v>3070.2000000000003</v>
      </c>
      <c r="I385" s="85">
        <f>E385*D385*31</f>
        <v>2213.4</v>
      </c>
      <c r="J385" s="85">
        <v>0</v>
      </c>
      <c r="K385" s="85">
        <v>0</v>
      </c>
      <c r="L385" s="85">
        <v>0</v>
      </c>
      <c r="M385" s="85">
        <v>0</v>
      </c>
      <c r="N385" s="85">
        <v>0</v>
      </c>
      <c r="O385" s="85">
        <v>0</v>
      </c>
      <c r="P385" s="85">
        <v>0</v>
      </c>
      <c r="Q385" s="85">
        <v>0</v>
      </c>
      <c r="R385" s="87">
        <v>0</v>
      </c>
      <c r="S385" s="2">
        <f>15+28+31</f>
        <v>74</v>
      </c>
    </row>
    <row r="386" spans="1:20" s="164" customFormat="1" x14ac:dyDescent="0.25">
      <c r="A386" s="159"/>
      <c r="B386" s="160">
        <v>15</v>
      </c>
      <c r="C386" s="340" t="s">
        <v>128</v>
      </c>
      <c r="D386" s="309">
        <v>71.400000000000006</v>
      </c>
      <c r="E386" s="83">
        <v>1</v>
      </c>
      <c r="F386" s="157">
        <f>+E386*S386*D386</f>
        <v>11852.400000000001</v>
      </c>
      <c r="G386" s="157">
        <v>0</v>
      </c>
      <c r="H386" s="189">
        <v>0</v>
      </c>
      <c r="I386" s="157">
        <f>E386*D386*31+D386*E386*13</f>
        <v>3141.6000000000004</v>
      </c>
      <c r="J386" s="157">
        <f t="shared" ref="J386" si="251">E386*D386*30</f>
        <v>2142</v>
      </c>
      <c r="K386" s="157">
        <f t="shared" ref="K386" si="252">E386*D386*31</f>
        <v>2213.4</v>
      </c>
      <c r="L386" s="157">
        <f t="shared" ref="L386" si="253">E386*D386*30</f>
        <v>2142</v>
      </c>
      <c r="M386" s="157">
        <f t="shared" ref="M386" si="254">E386*D386*31</f>
        <v>2213.4</v>
      </c>
      <c r="N386" s="157">
        <v>0</v>
      </c>
      <c r="O386" s="157">
        <v>0</v>
      </c>
      <c r="P386" s="157">
        <v>0</v>
      </c>
      <c r="Q386" s="157">
        <v>0</v>
      </c>
      <c r="R386" s="158">
        <v>0</v>
      </c>
      <c r="S386" s="210">
        <f>13+31+30+31+30+31</f>
        <v>166</v>
      </c>
    </row>
    <row r="387" spans="1:20" ht="15" customHeight="1" x14ac:dyDescent="0.25">
      <c r="A387" s="41"/>
      <c r="B387" s="160">
        <v>12</v>
      </c>
      <c r="C387" s="161" t="s">
        <v>97</v>
      </c>
      <c r="D387" s="162">
        <v>78.25</v>
      </c>
      <c r="E387" s="83">
        <v>1</v>
      </c>
      <c r="F387" s="157">
        <f t="shared" si="242"/>
        <v>16589</v>
      </c>
      <c r="G387" s="157">
        <f t="shared" si="243"/>
        <v>2425.75</v>
      </c>
      <c r="H387" s="189">
        <f t="shared" si="244"/>
        <v>2191</v>
      </c>
      <c r="I387" s="157">
        <f t="shared" si="245"/>
        <v>2425.75</v>
      </c>
      <c r="J387" s="157">
        <f t="shared" si="246"/>
        <v>2347.5</v>
      </c>
      <c r="K387" s="157">
        <f t="shared" si="247"/>
        <v>2425.75</v>
      </c>
      <c r="L387" s="157">
        <f t="shared" si="248"/>
        <v>2347.5</v>
      </c>
      <c r="M387" s="157">
        <f t="shared" si="249"/>
        <v>2425.75</v>
      </c>
      <c r="N387" s="157">
        <v>0</v>
      </c>
      <c r="O387" s="157">
        <v>0</v>
      </c>
      <c r="P387" s="157">
        <v>0</v>
      </c>
      <c r="Q387" s="157">
        <v>0</v>
      </c>
      <c r="R387" s="158">
        <v>0</v>
      </c>
      <c r="S387" s="2">
        <v>212</v>
      </c>
    </row>
    <row r="388" spans="1:20" ht="15.75" thickBot="1" x14ac:dyDescent="0.3">
      <c r="A388" s="41"/>
      <c r="B388" s="225"/>
      <c r="C388" s="226" t="s">
        <v>39</v>
      </c>
      <c r="D388" s="227"/>
      <c r="E388" s="228"/>
      <c r="F388" s="232">
        <f>3224065-SUM(F373:F387)</f>
        <v>28275.200000000186</v>
      </c>
      <c r="G388" s="231"/>
      <c r="H388" s="230"/>
      <c r="I388" s="232"/>
      <c r="J388" s="232"/>
      <c r="K388" s="232"/>
      <c r="L388" s="232"/>
      <c r="M388" s="232"/>
      <c r="N388" s="232"/>
      <c r="O388" s="232"/>
      <c r="P388" s="232"/>
      <c r="Q388" s="232"/>
      <c r="R388" s="313">
        <f>F388</f>
        <v>28275.200000000186</v>
      </c>
      <c r="S388" s="312"/>
      <c r="T388" s="7"/>
    </row>
    <row r="389" spans="1:20" x14ac:dyDescent="0.25">
      <c r="K389" s="7"/>
    </row>
  </sheetData>
  <mergeCells count="60">
    <mergeCell ref="C273:D273"/>
    <mergeCell ref="C274:D274"/>
    <mergeCell ref="C318:D318"/>
    <mergeCell ref="C250:D250"/>
    <mergeCell ref="C371:D371"/>
    <mergeCell ref="C326:D326"/>
    <mergeCell ref="C330:D330"/>
    <mergeCell ref="C331:D331"/>
    <mergeCell ref="C342:D342"/>
    <mergeCell ref="C358:D358"/>
    <mergeCell ref="C359:D359"/>
    <mergeCell ref="C322:D322"/>
    <mergeCell ref="C287:D287"/>
    <mergeCell ref="C288:D288"/>
    <mergeCell ref="C289:D289"/>
    <mergeCell ref="C292:D293"/>
    <mergeCell ref="C296:D297"/>
    <mergeCell ref="C313:D313"/>
    <mergeCell ref="C317:D317"/>
    <mergeCell ref="C218:D218"/>
    <mergeCell ref="C301:D301"/>
    <mergeCell ref="C304:D305"/>
    <mergeCell ref="C308:D309"/>
    <mergeCell ref="C135:D135"/>
    <mergeCell ref="B189:D189"/>
    <mergeCell ref="C197:D197"/>
    <mergeCell ref="C202:D202"/>
    <mergeCell ref="C203:D203"/>
    <mergeCell ref="C217:D217"/>
    <mergeCell ref="C163:D163"/>
    <mergeCell ref="C176:D176"/>
    <mergeCell ref="C180:D180"/>
    <mergeCell ref="C184:D184"/>
    <mergeCell ref="C188:D188"/>
    <mergeCell ref="C275:D275"/>
    <mergeCell ref="C108:D108"/>
    <mergeCell ref="C115:D115"/>
    <mergeCell ref="C121:D121"/>
    <mergeCell ref="C128:D128"/>
    <mergeCell ref="C51:D51"/>
    <mergeCell ref="C52:D52"/>
    <mergeCell ref="C70:D70"/>
    <mergeCell ref="C81:D81"/>
    <mergeCell ref="C90:D90"/>
    <mergeCell ref="C134:D134"/>
    <mergeCell ref="C50:D50"/>
    <mergeCell ref="B3:R3"/>
    <mergeCell ref="B4:R4"/>
    <mergeCell ref="B11:R11"/>
    <mergeCell ref="C12:C13"/>
    <mergeCell ref="D12:D13"/>
    <mergeCell ref="E12:E13"/>
    <mergeCell ref="F12:F13"/>
    <mergeCell ref="G12:R12"/>
    <mergeCell ref="C22:D22"/>
    <mergeCell ref="C37:D37"/>
    <mergeCell ref="C38:D38"/>
    <mergeCell ref="C39:D39"/>
    <mergeCell ref="C45:D45"/>
    <mergeCell ref="C100:D100"/>
  </mergeCells>
  <pageMargins left="0.23622047244094491" right="0.23622047244094491" top="0.74803149606299213" bottom="0.74803149606299213" header="0.31496062992125984" footer="0.31496062992125984"/>
  <pageSetup paperSize="256" scale="53" fitToHeight="0" orientation="landscape" r:id="rId1"/>
  <headerFooter>
    <oddFooter xml:space="preserve">&amp;L&amp;P
</oddFooter>
  </headerFooter>
  <rowBreaks count="4" manualBreakCount="4">
    <brk id="150" max="17" man="1"/>
    <brk id="200" max="17" man="1"/>
    <brk id="248" max="17" man="1"/>
    <brk id="357" max="17" man="1"/>
  </rowBreaks>
  <ignoredErrors>
    <ignoredError sqref="F15:F17 F28:F35 F37:F39 F45 F19:F22 F98 F100 F110:F113 F119:F135 F106 F108 F160 F162:F163 F172:F173 F194:F203 F215 F217:F218 F249:F250 F257:F270 F287:F331 F274:F275 F333:F342 F344:F359 F368:F371 F373:F374 F24 F220 F361:F366 F137:F140 F85:F90 F47:F62 F92:F96 F205 F224:F225 F41 F66:F77 H78 F115:F117 F102:F103 F153:F158 H159 F175:F192 H193 F168:F169 F207:F213 H214 F252:F254 H256 F236:F242 F79:F82 F227:F230 H118 F64 F232:F234 H97 J27 I386 F146:F150 F165:F166 S16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DGA-031 REPRO</vt:lpstr>
      <vt:lpstr>'DGA-031 REPRO'!Área_de_impresión</vt:lpstr>
      <vt:lpstr>'DGA-031 REPRO'!Títulos_a_imprimir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Alfonso</cp:lastModifiedBy>
  <cp:lastPrinted>2022-03-01T18:27:00Z</cp:lastPrinted>
  <dcterms:created xsi:type="dcterms:W3CDTF">2022-01-05T22:31:38Z</dcterms:created>
  <dcterms:modified xsi:type="dcterms:W3CDTF">2022-03-01T18:31:15Z</dcterms:modified>
</cp:coreProperties>
</file>