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Artes\Documents\2022\SITIOS WEB 2022\SITIOS WEB 17 TER 2022 NUEVOS FORMATOS\OCTUBRE 2022\"/>
    </mc:Choice>
  </mc:AlternateContent>
  <xr:revisionPtr revIDLastSave="0" documentId="13_ncr:1_{C6A7BCD5-D55F-43D9-8EC6-C3DEDF51F140}" xr6:coauthVersionLast="47" xr6:coauthVersionMax="47" xr10:uidLastSave="{00000000-0000-0000-0000-000000000000}"/>
  <bookViews>
    <workbookView xWindow="-120" yWindow="480" windowWidth="29040" windowHeight="15840" xr2:uid="{00000000-000D-0000-FFFF-FFFF00000000}"/>
  </bookViews>
  <sheets>
    <sheet name="Literal &quot;B&quot;" sheetId="1" r:id="rId1"/>
  </sheets>
  <definedNames>
    <definedName name="_xlnm.Print_Area" localSheetId="0">'Literal "B"'!$A$1:$AJ$51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6" i="1" l="1"/>
  <c r="AI44" i="1"/>
  <c r="AG44" i="1"/>
  <c r="AF44" i="1"/>
  <c r="AE44" i="1"/>
  <c r="AB44" i="1"/>
  <c r="Z44" i="1"/>
  <c r="X44" i="1"/>
  <c r="V44" i="1"/>
  <c r="T44" i="1"/>
  <c r="R44" i="1"/>
  <c r="P44" i="1"/>
  <c r="N44" i="1"/>
  <c r="L44" i="1"/>
  <c r="J44" i="1"/>
  <c r="H44" i="1"/>
  <c r="F44" i="1"/>
  <c r="AI43" i="1"/>
  <c r="AG43" i="1"/>
  <c r="AF43" i="1"/>
  <c r="AE43" i="1"/>
  <c r="AD43" i="1"/>
  <c r="AC43" i="1"/>
  <c r="AB43" i="1"/>
  <c r="Z43" i="1"/>
  <c r="X43" i="1"/>
  <c r="V43" i="1"/>
  <c r="T43" i="1"/>
  <c r="R43" i="1"/>
  <c r="P43" i="1"/>
  <c r="N43" i="1"/>
  <c r="L43" i="1"/>
  <c r="J43" i="1"/>
  <c r="H43" i="1"/>
  <c r="F43" i="1"/>
  <c r="AI42" i="1"/>
  <c r="AF42" i="1"/>
  <c r="AE42" i="1"/>
  <c r="AD42" i="1"/>
  <c r="AC42" i="1"/>
  <c r="AB42" i="1"/>
  <c r="Z42" i="1"/>
  <c r="AG42" i="1" s="1"/>
  <c r="X42" i="1"/>
  <c r="V42" i="1"/>
  <c r="T42" i="1"/>
  <c r="R42" i="1"/>
  <c r="P42" i="1"/>
  <c r="N42" i="1"/>
  <c r="L42" i="1"/>
  <c r="J42" i="1"/>
  <c r="H42" i="1"/>
  <c r="F42" i="1"/>
  <c r="AI41" i="1"/>
  <c r="AG41" i="1"/>
  <c r="AF41" i="1"/>
  <c r="AE41" i="1"/>
  <c r="AD41" i="1"/>
  <c r="AC41" i="1"/>
  <c r="AB41" i="1"/>
  <c r="Z41" i="1"/>
  <c r="X41" i="1"/>
  <c r="V41" i="1"/>
  <c r="T41" i="1"/>
  <c r="R41" i="1"/>
  <c r="P41" i="1"/>
  <c r="N41" i="1"/>
  <c r="L41" i="1"/>
  <c r="J41" i="1"/>
  <c r="H41" i="1"/>
  <c r="F41" i="1"/>
  <c r="AI40" i="1"/>
  <c r="AF40" i="1"/>
  <c r="AE40" i="1"/>
  <c r="AD40" i="1"/>
  <c r="AC40" i="1"/>
  <c r="AB40" i="1"/>
  <c r="Z40" i="1"/>
  <c r="AG40" i="1" s="1"/>
  <c r="X40" i="1"/>
  <c r="V40" i="1"/>
  <c r="T40" i="1"/>
  <c r="R40" i="1"/>
  <c r="P40" i="1"/>
  <c r="N40" i="1"/>
  <c r="L40" i="1"/>
  <c r="J40" i="1"/>
  <c r="H40" i="1"/>
  <c r="F40" i="1"/>
  <c r="AI39" i="1"/>
  <c r="AG39" i="1"/>
  <c r="AF39" i="1"/>
  <c r="AE39" i="1"/>
  <c r="AD39" i="1"/>
  <c r="AC39" i="1"/>
  <c r="AB39" i="1"/>
  <c r="Z39" i="1"/>
  <c r="X39" i="1"/>
  <c r="V39" i="1"/>
  <c r="T39" i="1"/>
  <c r="R39" i="1"/>
  <c r="P39" i="1"/>
  <c r="N39" i="1"/>
  <c r="L39" i="1"/>
  <c r="J39" i="1"/>
  <c r="H39" i="1"/>
  <c r="F39" i="1"/>
  <c r="AI38" i="1"/>
  <c r="AF38" i="1"/>
  <c r="AE38" i="1"/>
  <c r="AD38" i="1"/>
  <c r="AC38" i="1"/>
  <c r="AB38" i="1"/>
  <c r="Z38" i="1"/>
  <c r="AG38" i="1" s="1"/>
  <c r="X38" i="1"/>
  <c r="V38" i="1"/>
  <c r="T38" i="1"/>
  <c r="R38" i="1"/>
  <c r="P38" i="1"/>
  <c r="N38" i="1"/>
  <c r="L38" i="1"/>
  <c r="J38" i="1"/>
  <c r="H38" i="1"/>
  <c r="F38" i="1"/>
  <c r="AI37" i="1"/>
  <c r="AG37" i="1"/>
  <c r="AF37" i="1"/>
  <c r="AE37" i="1"/>
  <c r="AB37" i="1"/>
  <c r="Z37" i="1"/>
  <c r="X37" i="1"/>
  <c r="V37" i="1"/>
  <c r="T37" i="1"/>
  <c r="R37" i="1"/>
  <c r="P37" i="1"/>
  <c r="N37" i="1"/>
  <c r="L37" i="1"/>
  <c r="J37" i="1"/>
  <c r="H37" i="1"/>
  <c r="F37" i="1"/>
  <c r="AI36" i="1"/>
  <c r="AF36" i="1"/>
  <c r="AE36" i="1"/>
  <c r="AD36" i="1"/>
  <c r="AC36" i="1"/>
  <c r="AB36" i="1"/>
  <c r="Z36" i="1"/>
  <c r="AG36" i="1" s="1"/>
  <c r="X36" i="1"/>
  <c r="V36" i="1"/>
  <c r="T36" i="1"/>
  <c r="R36" i="1"/>
  <c r="P36" i="1"/>
  <c r="N36" i="1"/>
  <c r="L36" i="1"/>
  <c r="J36" i="1"/>
  <c r="H36" i="1"/>
  <c r="F36" i="1"/>
  <c r="AH36" i="1" s="1"/>
  <c r="AI35" i="1"/>
  <c r="AG35" i="1"/>
  <c r="AF35" i="1"/>
  <c r="AE35" i="1"/>
  <c r="AD35" i="1"/>
  <c r="AC35" i="1"/>
  <c r="AB35" i="1"/>
  <c r="Z35" i="1"/>
  <c r="X35" i="1"/>
  <c r="V35" i="1"/>
  <c r="T35" i="1"/>
  <c r="R35" i="1"/>
  <c r="P35" i="1"/>
  <c r="N35" i="1"/>
  <c r="L35" i="1"/>
  <c r="J35" i="1"/>
  <c r="H35" i="1"/>
  <c r="F35" i="1"/>
  <c r="AI34" i="1"/>
  <c r="AF34" i="1"/>
  <c r="AE34" i="1"/>
  <c r="AB34" i="1"/>
  <c r="Z34" i="1"/>
  <c r="AG34" i="1" s="1"/>
  <c r="X34" i="1"/>
  <c r="V34" i="1"/>
  <c r="T34" i="1"/>
  <c r="R34" i="1"/>
  <c r="P34" i="1"/>
  <c r="N34" i="1"/>
  <c r="L34" i="1"/>
  <c r="J34" i="1"/>
  <c r="H34" i="1"/>
  <c r="F34" i="1"/>
  <c r="AH34" i="1" s="1"/>
  <c r="AI33" i="1"/>
  <c r="AF33" i="1"/>
  <c r="AE33" i="1"/>
  <c r="AD33" i="1"/>
  <c r="AC33" i="1"/>
  <c r="AB33" i="1"/>
  <c r="Z33" i="1"/>
  <c r="AG33" i="1" s="1"/>
  <c r="X33" i="1"/>
  <c r="V33" i="1"/>
  <c r="T33" i="1"/>
  <c r="R33" i="1"/>
  <c r="P33" i="1"/>
  <c r="N33" i="1"/>
  <c r="L33" i="1"/>
  <c r="J33" i="1"/>
  <c r="H33" i="1"/>
  <c r="F33" i="1"/>
  <c r="AI32" i="1"/>
  <c r="AG32" i="1"/>
  <c r="AF32" i="1"/>
  <c r="AE32" i="1"/>
  <c r="AD32" i="1"/>
  <c r="AC32" i="1"/>
  <c r="AB32" i="1"/>
  <c r="Z32" i="1"/>
  <c r="X32" i="1"/>
  <c r="V32" i="1"/>
  <c r="T32" i="1"/>
  <c r="R32" i="1"/>
  <c r="P32" i="1"/>
  <c r="N32" i="1"/>
  <c r="L32" i="1"/>
  <c r="J32" i="1"/>
  <c r="H32" i="1"/>
  <c r="F32" i="1"/>
  <c r="AI31" i="1"/>
  <c r="AF31" i="1"/>
  <c r="AE31" i="1"/>
  <c r="AD31" i="1"/>
  <c r="AC31" i="1"/>
  <c r="AB31" i="1"/>
  <c r="Z31" i="1"/>
  <c r="AG31" i="1" s="1"/>
  <c r="X31" i="1"/>
  <c r="V31" i="1"/>
  <c r="T31" i="1"/>
  <c r="R31" i="1"/>
  <c r="P31" i="1"/>
  <c r="N31" i="1"/>
  <c r="L31" i="1"/>
  <c r="J31" i="1"/>
  <c r="H31" i="1"/>
  <c r="F31" i="1"/>
  <c r="AI30" i="1"/>
  <c r="AG30" i="1"/>
  <c r="AF30" i="1"/>
  <c r="AE30" i="1"/>
  <c r="AD30" i="1"/>
  <c r="AD45" i="1" s="1"/>
  <c r="AC30" i="1"/>
  <c r="AC45" i="1" s="1"/>
  <c r="AB30" i="1"/>
  <c r="Z30" i="1"/>
  <c r="X30" i="1"/>
  <c r="V30" i="1"/>
  <c r="T30" i="1"/>
  <c r="R30" i="1"/>
  <c r="P30" i="1"/>
  <c r="N30" i="1"/>
  <c r="L30" i="1"/>
  <c r="J30" i="1"/>
  <c r="H30" i="1"/>
  <c r="F30" i="1"/>
  <c r="AI29" i="1"/>
  <c r="AI45" i="1" s="1"/>
  <c r="AF29" i="1"/>
  <c r="AE29" i="1"/>
  <c r="AB29" i="1"/>
  <c r="Z29" i="1"/>
  <c r="AG29" i="1" s="1"/>
  <c r="X29" i="1"/>
  <c r="V29" i="1"/>
  <c r="T29" i="1"/>
  <c r="R29" i="1"/>
  <c r="P29" i="1"/>
  <c r="N29" i="1"/>
  <c r="L29" i="1"/>
  <c r="J29" i="1"/>
  <c r="H29" i="1"/>
  <c r="F29" i="1"/>
  <c r="AI28" i="1"/>
  <c r="AF28" i="1"/>
  <c r="AF45" i="1" s="1"/>
  <c r="AE28" i="1"/>
  <c r="AE45" i="1" s="1"/>
  <c r="AB28" i="1"/>
  <c r="AB45" i="1" s="1"/>
  <c r="Z28" i="1"/>
  <c r="AG28" i="1" s="1"/>
  <c r="AG45" i="1" s="1"/>
  <c r="X28" i="1"/>
  <c r="X45" i="1" s="1"/>
  <c r="V28" i="1"/>
  <c r="V45" i="1" s="1"/>
  <c r="T28" i="1"/>
  <c r="T45" i="1" s="1"/>
  <c r="R28" i="1"/>
  <c r="R45" i="1" s="1"/>
  <c r="P28" i="1"/>
  <c r="P45" i="1" s="1"/>
  <c r="N28" i="1"/>
  <c r="N45" i="1" s="1"/>
  <c r="L28" i="1"/>
  <c r="L45" i="1" s="1"/>
  <c r="J28" i="1"/>
  <c r="J45" i="1" s="1"/>
  <c r="H28" i="1"/>
  <c r="H45" i="1" s="1"/>
  <c r="F28" i="1"/>
  <c r="F45" i="1" s="1"/>
  <c r="Z27" i="1"/>
  <c r="V27" i="1"/>
  <c r="R27" i="1"/>
  <c r="N27" i="1"/>
  <c r="J27" i="1"/>
  <c r="F27" i="1"/>
  <c r="AI26" i="1"/>
  <c r="AI27" i="1" s="1"/>
  <c r="AG26" i="1"/>
  <c r="AF26" i="1"/>
  <c r="AE26" i="1"/>
  <c r="AC26" i="1"/>
  <c r="AB26" i="1"/>
  <c r="Z26" i="1"/>
  <c r="X26" i="1"/>
  <c r="V26" i="1"/>
  <c r="T26" i="1"/>
  <c r="R26" i="1"/>
  <c r="P26" i="1"/>
  <c r="N26" i="1"/>
  <c r="L26" i="1"/>
  <c r="J26" i="1"/>
  <c r="H26" i="1"/>
  <c r="AJ26" i="1" s="1"/>
  <c r="F26" i="1"/>
  <c r="AH26" i="1" s="1"/>
  <c r="AI25" i="1"/>
  <c r="AF25" i="1"/>
  <c r="AF27" i="1" s="1"/>
  <c r="AD25" i="1"/>
  <c r="AD27" i="1" s="1"/>
  <c r="AB25" i="1"/>
  <c r="AB27" i="1" s="1"/>
  <c r="Z25" i="1"/>
  <c r="AG25" i="1" s="1"/>
  <c r="AG27" i="1" s="1"/>
  <c r="X25" i="1"/>
  <c r="X27" i="1" s="1"/>
  <c r="V25" i="1"/>
  <c r="T25" i="1"/>
  <c r="T27" i="1" s="1"/>
  <c r="R25" i="1"/>
  <c r="P25" i="1"/>
  <c r="P27" i="1" s="1"/>
  <c r="N25" i="1"/>
  <c r="L25" i="1"/>
  <c r="L27" i="1" s="1"/>
  <c r="J25" i="1"/>
  <c r="H25" i="1"/>
  <c r="F25" i="1"/>
  <c r="AD24" i="1"/>
  <c r="AD46" i="1" s="1"/>
  <c r="AC24" i="1"/>
  <c r="AI23" i="1"/>
  <c r="AF23" i="1"/>
  <c r="AE23" i="1" s="1"/>
  <c r="AB23" i="1"/>
  <c r="Z23" i="1"/>
  <c r="AG23" i="1" s="1"/>
  <c r="X23" i="1"/>
  <c r="V23" i="1"/>
  <c r="T23" i="1"/>
  <c r="R23" i="1"/>
  <c r="P23" i="1"/>
  <c r="N23" i="1"/>
  <c r="L23" i="1"/>
  <c r="AH23" i="1" s="1"/>
  <c r="J23" i="1"/>
  <c r="H23" i="1"/>
  <c r="F23" i="1"/>
  <c r="AI22" i="1"/>
  <c r="AF22" i="1"/>
  <c r="AG22" i="1" s="1"/>
  <c r="AB22" i="1"/>
  <c r="Z22" i="1"/>
  <c r="X22" i="1"/>
  <c r="V22" i="1"/>
  <c r="T22" i="1"/>
  <c r="R22" i="1"/>
  <c r="P22" i="1"/>
  <c r="N22" i="1"/>
  <c r="L22" i="1"/>
  <c r="J22" i="1"/>
  <c r="H22" i="1"/>
  <c r="F22" i="1"/>
  <c r="AI21" i="1"/>
  <c r="AI24" i="1" s="1"/>
  <c r="AI46" i="1" s="1"/>
  <c r="AF21" i="1"/>
  <c r="AE21" i="1" s="1"/>
  <c r="AB21" i="1"/>
  <c r="Z21" i="1"/>
  <c r="AG21" i="1" s="1"/>
  <c r="X21" i="1"/>
  <c r="V21" i="1"/>
  <c r="T21" i="1"/>
  <c r="R21" i="1"/>
  <c r="P21" i="1"/>
  <c r="N21" i="1"/>
  <c r="L21" i="1"/>
  <c r="J21" i="1"/>
  <c r="H21" i="1"/>
  <c r="F21" i="1"/>
  <c r="AI20" i="1"/>
  <c r="AF20" i="1"/>
  <c r="AF24" i="1" s="1"/>
  <c r="AB20" i="1"/>
  <c r="AB24" i="1" s="1"/>
  <c r="AB46" i="1" s="1"/>
  <c r="Z20" i="1"/>
  <c r="Z24" i="1" s="1"/>
  <c r="X20" i="1"/>
  <c r="X24" i="1" s="1"/>
  <c r="X46" i="1" s="1"/>
  <c r="V20" i="1"/>
  <c r="V24" i="1" s="1"/>
  <c r="V46" i="1" s="1"/>
  <c r="T20" i="1"/>
  <c r="T24" i="1" s="1"/>
  <c r="T46" i="1" s="1"/>
  <c r="R20" i="1"/>
  <c r="R24" i="1" s="1"/>
  <c r="R46" i="1" s="1"/>
  <c r="P20" i="1"/>
  <c r="P24" i="1" s="1"/>
  <c r="N20" i="1"/>
  <c r="N24" i="1" s="1"/>
  <c r="N46" i="1" s="1"/>
  <c r="L20" i="1"/>
  <c r="L24" i="1" s="1"/>
  <c r="L46" i="1" s="1"/>
  <c r="J20" i="1"/>
  <c r="J24" i="1" s="1"/>
  <c r="J46" i="1" s="1"/>
  <c r="H20" i="1"/>
  <c r="H24" i="1" s="1"/>
  <c r="F20" i="1"/>
  <c r="F24" i="1" s="1"/>
  <c r="F46" i="1" s="1"/>
  <c r="AH21" i="1" l="1"/>
  <c r="H46" i="1"/>
  <c r="AJ40" i="1"/>
  <c r="AJ23" i="1"/>
  <c r="AJ42" i="1"/>
  <c r="AF46" i="1"/>
  <c r="P46" i="1"/>
  <c r="AJ38" i="1"/>
  <c r="AJ39" i="1"/>
  <c r="Z45" i="1"/>
  <c r="Z46" i="1" s="1"/>
  <c r="AE20" i="1"/>
  <c r="H27" i="1"/>
  <c r="AH30" i="1"/>
  <c r="AJ30" i="1" s="1"/>
  <c r="AH32" i="1"/>
  <c r="AJ32" i="1" s="1"/>
  <c r="AJ34" i="1"/>
  <c r="AJ36" i="1"/>
  <c r="AH37" i="1"/>
  <c r="AJ37" i="1" s="1"/>
  <c r="AH39" i="1"/>
  <c r="AH41" i="1"/>
  <c r="AJ41" i="1" s="1"/>
  <c r="AH43" i="1"/>
  <c r="AJ43" i="1" s="1"/>
  <c r="AJ21" i="1"/>
  <c r="AG20" i="1"/>
  <c r="AG24" i="1" s="1"/>
  <c r="AG46" i="1" s="1"/>
  <c r="AH28" i="1"/>
  <c r="AJ28" i="1" s="1"/>
  <c r="AH35" i="1"/>
  <c r="AJ35" i="1" s="1"/>
  <c r="AH44" i="1"/>
  <c r="AJ44" i="1" s="1"/>
  <c r="AH20" i="1"/>
  <c r="AJ20" i="1" s="1"/>
  <c r="AE22" i="1"/>
  <c r="AH22" i="1" s="1"/>
  <c r="AJ22" i="1" s="1"/>
  <c r="AC25" i="1"/>
  <c r="AC27" i="1" s="1"/>
  <c r="AC46" i="1" s="1"/>
  <c r="AH29" i="1"/>
  <c r="AJ29" i="1" s="1"/>
  <c r="AH31" i="1"/>
  <c r="AJ31" i="1" s="1"/>
  <c r="AH33" i="1"/>
  <c r="AJ33" i="1" s="1"/>
  <c r="AH38" i="1"/>
  <c r="AH40" i="1"/>
  <c r="AH42" i="1"/>
  <c r="AE25" i="1"/>
  <c r="AE27" i="1" s="1"/>
  <c r="AJ24" i="1" l="1"/>
  <c r="AJ45" i="1"/>
  <c r="AH45" i="1"/>
  <c r="AH24" i="1"/>
  <c r="AE24" i="1"/>
  <c r="AE46" i="1" s="1"/>
  <c r="AH25" i="1"/>
  <c r="AH27" i="1" l="1"/>
  <c r="AH46" i="1" s="1"/>
  <c r="AI48" i="1" s="1"/>
  <c r="AJ25" i="1"/>
  <c r="AJ27" i="1" s="1"/>
  <c r="AJ46" i="1" s="1"/>
</calcChain>
</file>

<file path=xl/sharedStrings.xml><?xml version="1.0" encoding="utf-8"?>
<sst xmlns="http://schemas.openxmlformats.org/spreadsheetml/2006/main" count="121" uniqueCount="60">
  <si>
    <t>No.</t>
  </si>
  <si>
    <t>Dependencia</t>
  </si>
  <si>
    <t>Titulo del Jornal</t>
  </si>
  <si>
    <t>Valor del Jornal</t>
  </si>
  <si>
    <t>Monto de Jornales Mensuales</t>
  </si>
  <si>
    <t>Monto y Frecuencia de Bonos y Complementos</t>
  </si>
  <si>
    <t>Total</t>
  </si>
  <si>
    <t>032</t>
  </si>
  <si>
    <t>033</t>
  </si>
  <si>
    <t>071</t>
  </si>
  <si>
    <t>072</t>
  </si>
  <si>
    <t>073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</si>
  <si>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</si>
  <si>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</si>
  <si>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</si>
  <si>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</si>
  <si>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</si>
  <si>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</si>
  <si>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</si>
  <si>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</si>
  <si>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</si>
  <si>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</si>
  <si>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</si>
  <si>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</si>
  <si>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Anual</t>
  </si>
  <si>
    <t>Mensual</t>
  </si>
  <si>
    <t>Cantidad de Puestos</t>
  </si>
  <si>
    <t>Nota: El total se conforma de la suma de los montos mensuales más la multiplicación del monto de los renglones 032 y 033 por la frecuencia según corresponda más la suma de los renglones 071, 72 y 073.</t>
  </si>
  <si>
    <t xml:space="preserve">ARTÍCULO 17 TER </t>
  </si>
  <si>
    <t>B) PROGRAMACIÓN Y REPROGRAMACIONES DE JORNALES</t>
  </si>
  <si>
    <t>DIRECCIÓN GENERAL DE LAS ARTES</t>
  </si>
  <si>
    <t>PEON VIGILANTE IV</t>
  </si>
  <si>
    <t>PEON VIGIALNTE V</t>
  </si>
  <si>
    <t>CONSERJE</t>
  </si>
  <si>
    <t>PILOTO II VEHICULOS PESADOS</t>
  </si>
  <si>
    <t>SECCIÓN DE SERVICIOS GENERALES</t>
  </si>
  <si>
    <t>28</t>
  </si>
  <si>
    <t>31</t>
  </si>
  <si>
    <t>30</t>
  </si>
  <si>
    <t>CENTRO CULTURAL MIGUEL ANGEL ASTURIAS</t>
  </si>
  <si>
    <t>TRAMOYISTA</t>
  </si>
  <si>
    <t>ENCARGADA II DE OPERACIONES DE MAQUINARIA Y EQUIPO</t>
  </si>
  <si>
    <t>JARDINERO I</t>
  </si>
  <si>
    <t>TRABAJADORA VIVANDERA</t>
  </si>
  <si>
    <t>HERRERO II</t>
  </si>
  <si>
    <t>ELECTRICISTA III</t>
  </si>
  <si>
    <t>HERRERO III</t>
  </si>
  <si>
    <t>ELECTRICISTA II</t>
  </si>
  <si>
    <t>MENSAJERO II</t>
  </si>
  <si>
    <t>JARDINERO II</t>
  </si>
  <si>
    <t>CARPINTERO IV</t>
  </si>
  <si>
    <t>BODEGUERO IV</t>
  </si>
  <si>
    <t>OPERADOR DE EQUIPO</t>
  </si>
  <si>
    <t>sumas</t>
  </si>
  <si>
    <t>= (((mes noviembre 30 días + bono antigüedad + bono compensación + Ajuste salario) / 365 días) * días laborados)</t>
  </si>
  <si>
    <t>Dependencia: Delegación de Recursos Humanos</t>
  </si>
  <si>
    <t>Responsable: Renata Emiluky Flores López</t>
  </si>
  <si>
    <t>Mes/ año: Octubre 2022</t>
  </si>
  <si>
    <t>CENTRO CULTURAL DE ESCUINTLA,</t>
  </si>
  <si>
    <t xml:space="preserve">CENTRO CULTURAL DE ESCUINTLA,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</si>
</sst>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87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 wrapText="1"/>
    </xf>
    <xf numFmtId="44" fontId="0" fillId="0" borderId="0" xfId="1" applyFont="1"/>
    <xf numFmtId="0" fontId="0" fillId="0" borderId="0" xfId="0" applyAlignment="1">
      <alignment horizontal="center"/>
    </xf>
    <xf numFmtId="49" fontId="0" fillId="0" borderId="0" xfId="1" applyNumberFormat="1" applyFont="1" applyAlignment="1">
      <alignment horizontal="center"/>
    </xf>
    <xf numFmtId="0" fontId="0" fillId="0" borderId="0" xfId="0" applyAlignment="1">
      <alignment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2" borderId="0" xfId="0" applyFill="1"/>
    <xf numFmtId="49" fontId="0" fillId="0" borderId="0" xfId="0" applyNumberFormat="1"/>
    <xf numFmtId="49" fontId="0" fillId="0" borderId="0" xfId="0" applyNumberFormat="1" applyAlignment="1">
      <alignment horizontal="center" vertical="center" wrapText="1"/>
    </xf>
    <xf numFmtId="49" fontId="0" fillId="0" borderId="0" xfId="1" applyNumberFormat="1" applyFont="1"/>
    <xf numFmtId="49" fontId="0" fillId="0" borderId="0" xfId="0" applyNumberFormat="1" applyAlignment="1">
      <alignment horizontal="center"/>
    </xf>
    <xf numFmtId="0" fontId="9" fillId="0" borderId="0" xfId="0" applyFont="1" applyAlignment="1">
      <alignment vertical="center"/>
    </xf>
    <xf numFmtId="0" fontId="0" fillId="6" borderId="0" xfId="0" applyFill="1" applyAlignment="1">
      <alignment horizontal="center"/>
    </xf>
    <xf numFmtId="44" fontId="0" fillId="6" borderId="0" xfId="1" applyFont="1" applyFill="1"/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/>
    <xf numFmtId="44" fontId="0" fillId="0" borderId="0" xfId="0" applyNumberFormat="1" applyAlignment="1">
      <alignment horizontal="center"/>
    </xf>
    <xf numFmtId="44" fontId="2" fillId="3" borderId="5" xfId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2" fillId="3" borderId="5" xfId="2" applyFont="1" applyFill="1" applyBorder="1" applyAlignment="1">
      <alignment horizontal="center" vertical="center" wrapText="1"/>
    </xf>
    <xf numFmtId="0" fontId="13" fillId="0" borderId="5" xfId="2" applyFont="1" applyBorder="1" applyAlignment="1">
      <alignment horizontal="center"/>
    </xf>
    <xf numFmtId="164" fontId="14" fillId="4" borderId="5" xfId="2" applyNumberFormat="1" applyFont="1" applyFill="1" applyBorder="1" applyAlignment="1">
      <alignment horizontal="center"/>
    </xf>
    <xf numFmtId="0" fontId="7" fillId="0" borderId="5" xfId="2" applyFont="1" applyBorder="1" applyAlignment="1">
      <alignment horizontal="center" vertical="center" wrapText="1"/>
    </xf>
    <xf numFmtId="44" fontId="1" fillId="0" borderId="5" xfId="1" applyFont="1" applyBorder="1" applyAlignment="1">
      <alignment horizontal="center" vertical="center" wrapText="1"/>
    </xf>
    <xf numFmtId="44" fontId="1" fillId="0" borderId="5" xfId="0" applyNumberFormat="1" applyFont="1" applyBorder="1" applyAlignment="1">
      <alignment horizontal="center" vertical="center" wrapText="1"/>
    </xf>
    <xf numFmtId="44" fontId="1" fillId="0" borderId="5" xfId="0" applyNumberFormat="1" applyFont="1" applyBorder="1" applyAlignment="1">
      <alignment vertical="center"/>
    </xf>
    <xf numFmtId="44" fontId="1" fillId="0" borderId="6" xfId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3" fillId="0" borderId="5" xfId="2" applyFont="1" applyBorder="1" applyAlignment="1">
      <alignment horizontal="center" wrapText="1"/>
    </xf>
    <xf numFmtId="44" fontId="2" fillId="0" borderId="5" xfId="1" applyFont="1" applyBorder="1" applyAlignment="1">
      <alignment horizontal="center" vertical="center" wrapText="1"/>
    </xf>
    <xf numFmtId="44" fontId="2" fillId="0" borderId="5" xfId="1" applyFont="1" applyFill="1" applyBorder="1" applyAlignment="1">
      <alignment horizontal="center" vertical="center" wrapText="1"/>
    </xf>
    <xf numFmtId="44" fontId="2" fillId="5" borderId="5" xfId="1" applyFont="1" applyFill="1" applyBorder="1" applyAlignment="1">
      <alignment horizontal="center" vertical="center" wrapText="1"/>
    </xf>
    <xf numFmtId="44" fontId="2" fillId="0" borderId="5" xfId="0" applyNumberFormat="1" applyFont="1" applyBorder="1" applyAlignment="1">
      <alignment horizontal="center" vertical="center"/>
    </xf>
    <xf numFmtId="44" fontId="2" fillId="0" borderId="5" xfId="1" applyFont="1" applyBorder="1" applyAlignment="1">
      <alignment horizontal="center" vertical="center"/>
    </xf>
    <xf numFmtId="44" fontId="2" fillId="0" borderId="6" xfId="1" applyFont="1" applyBorder="1" applyAlignment="1">
      <alignment horizontal="center" vertical="center"/>
    </xf>
    <xf numFmtId="44" fontId="1" fillId="0" borderId="5" xfId="0" applyNumberFormat="1" applyFont="1" applyBorder="1" applyAlignment="1">
      <alignment horizontal="center" vertical="center"/>
    </xf>
    <xf numFmtId="0" fontId="9" fillId="0" borderId="5" xfId="2" applyFont="1" applyBorder="1" applyAlignment="1">
      <alignment horizontal="center"/>
    </xf>
    <xf numFmtId="0" fontId="13" fillId="4" borderId="5" xfId="2" applyFont="1" applyFill="1" applyBorder="1" applyAlignment="1">
      <alignment horizontal="center" wrapText="1"/>
    </xf>
    <xf numFmtId="0" fontId="12" fillId="2" borderId="5" xfId="2" applyFont="1" applyFill="1" applyBorder="1" applyAlignment="1">
      <alignment horizontal="center" vertical="center" wrapText="1"/>
    </xf>
    <xf numFmtId="44" fontId="2" fillId="7" borderId="5" xfId="1" applyFont="1" applyFill="1" applyBorder="1" applyAlignment="1">
      <alignment horizontal="center" vertical="center" wrapText="1"/>
    </xf>
    <xf numFmtId="44" fontId="2" fillId="5" borderId="6" xfId="1" applyFont="1" applyFill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5" xfId="0" applyBorder="1" applyAlignment="1">
      <alignment horizontal="center" vertical="center" wrapText="1"/>
    </xf>
    <xf numFmtId="44" fontId="0" fillId="0" borderId="5" xfId="1" applyFont="1" applyBorder="1"/>
    <xf numFmtId="0" fontId="0" fillId="0" borderId="5" xfId="0" applyBorder="1" applyAlignment="1">
      <alignment horizontal="center"/>
    </xf>
    <xf numFmtId="49" fontId="0" fillId="0" borderId="5" xfId="1" applyNumberFormat="1" applyFon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0" fillId="0" borderId="8" xfId="0" applyBorder="1"/>
    <xf numFmtId="0" fontId="0" fillId="0" borderId="8" xfId="0" applyBorder="1" applyAlignment="1">
      <alignment horizontal="center" vertical="center" wrapText="1"/>
    </xf>
    <xf numFmtId="44" fontId="0" fillId="0" borderId="8" xfId="1" applyFont="1" applyBorder="1"/>
    <xf numFmtId="0" fontId="0" fillId="0" borderId="8" xfId="0" applyBorder="1" applyAlignment="1">
      <alignment horizontal="center"/>
    </xf>
    <xf numFmtId="49" fontId="0" fillId="0" borderId="8" xfId="1" applyNumberFormat="1" applyFont="1" applyBorder="1" applyAlignment="1">
      <alignment horizontal="center"/>
    </xf>
    <xf numFmtId="44" fontId="2" fillId="0" borderId="8" xfId="1" applyFont="1" applyBorder="1"/>
    <xf numFmtId="0" fontId="0" fillId="0" borderId="9" xfId="0" applyBorder="1"/>
    <xf numFmtId="0" fontId="5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top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44" fontId="2" fillId="3" borderId="2" xfId="1" applyFont="1" applyFill="1" applyBorder="1" applyAlignment="1">
      <alignment horizontal="center" vertical="center" wrapText="1"/>
    </xf>
    <xf numFmtId="44" fontId="2" fillId="3" borderId="5" xfId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/>
    </xf>
    <xf numFmtId="44" fontId="2" fillId="3" borderId="5" xfId="1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49" fontId="2" fillId="3" borderId="5" xfId="1" applyNumberFormat="1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44" fontId="2" fillId="7" borderId="5" xfId="1" applyFont="1" applyFill="1" applyBorder="1" applyAlignment="1">
      <alignment horizontal="center" vertical="center"/>
    </xf>
    <xf numFmtId="44" fontId="2" fillId="8" borderId="5" xfId="1" applyFont="1" applyFill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4" xfId="2" xr:uid="{223C1F22-4720-4385-BAD2-3B6FD4535C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34</xdr:col>
      <xdr:colOff>340178</xdr:colOff>
      <xdr:row>0</xdr:row>
      <xdr:rowOff>149678</xdr:rowOff>
    </xdr:from>
    <xdr:ext cx="2231572" cy="1155247"/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589607" y="149678"/>
          <a:ext cx="2231572" cy="1155247"/>
        </a:xfrm>
        <a:prstGeom prst="rect">
          <a:avLst/>
        </a:prstGeom>
      </xdr:spPr>
    </xdr:pic>
    <xdr:clientData/>
  </xdr:oneCellAnchor>
  <xdr:twoCellAnchor editAs="oneCell">
    <xdr:from>
      <xdr:col>0</xdr:col>
      <xdr:colOff>244929</xdr:colOff>
      <xdr:row>0</xdr:row>
      <xdr:rowOff>95250</xdr:rowOff>
    </xdr:from>
    <xdr:to>
      <xdr:col>3</xdr:col>
      <xdr:colOff>334735</xdr:colOff>
      <xdr:row>5</xdr:row>
      <xdr:rowOff>120294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654" r="14773"/>
        <a:stretch/>
      </xdr:blipFill>
      <xdr:spPr>
        <a:xfrm>
          <a:off x="244929" y="95250"/>
          <a:ext cx="3777342" cy="977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8"/>
  <sheetViews>
    <sheetView tabSelected="1" zoomScale="70" zoomScaleNormal="70" zoomScaleSheetLayoutView="70" zoomScalePageLayoutView="85" workbookViewId="0">
      <selection activeCell="H5" sqref="H5"/>
    </sheetView>
  </sheetViews>
  <sheetFormatPr baseColWidth="10" defaultRowHeight="15" x14ac:dyDescent="0.25"/>
  <cols>
    <col min="1" max="1" width="6" customWidth="1"/>
    <col min="2" max="2" width="21" customWidth="1"/>
    <col min="3" max="3" width="28.42578125" style="2" customWidth="1"/>
    <col min="4" max="4" width="11.42578125" style="3"/>
    <col min="5" max="5" width="12.7109375" style="4" customWidth="1"/>
    <col min="6" max="6" width="19.42578125" style="3" customWidth="1"/>
    <col min="7" max="7" width="12.7109375" style="4" customWidth="1"/>
    <col min="8" max="8" width="20.28515625" style="3" customWidth="1"/>
    <col min="9" max="9" width="12.7109375" style="5" customWidth="1"/>
    <col min="10" max="10" width="19.7109375" style="3" customWidth="1"/>
    <col min="11" max="11" width="12.7109375" style="4" customWidth="1"/>
    <col min="12" max="12" width="18.7109375" style="3" customWidth="1"/>
    <col min="13" max="13" width="12.7109375" style="4" customWidth="1"/>
    <col min="14" max="14" width="18.7109375" style="3" customWidth="1"/>
    <col min="15" max="15" width="12.7109375" style="4" customWidth="1"/>
    <col min="16" max="16" width="19.28515625" style="3" customWidth="1"/>
    <col min="17" max="17" width="12.7109375" style="4" customWidth="1"/>
    <col min="18" max="18" width="18.5703125" style="3" customWidth="1"/>
    <col min="19" max="19" width="12.7109375" style="4" customWidth="1"/>
    <col min="20" max="20" width="19" style="3" customWidth="1"/>
    <col min="21" max="21" width="10.42578125" style="4" customWidth="1"/>
    <col min="22" max="22" width="19.140625" style="3" customWidth="1"/>
    <col min="23" max="23" width="9.85546875" style="4" customWidth="1"/>
    <col min="24" max="24" width="19.140625" style="3" customWidth="1"/>
    <col min="25" max="25" width="7.85546875" style="4" customWidth="1"/>
    <col min="26" max="26" width="17.42578125" style="3" customWidth="1"/>
    <col min="27" max="27" width="7.7109375" style="4" customWidth="1"/>
    <col min="28" max="28" width="18.85546875" style="3" customWidth="1"/>
    <col min="29" max="29" width="18.42578125" customWidth="1"/>
    <col min="30" max="30" width="16.42578125" customWidth="1"/>
    <col min="31" max="31" width="21.5703125" customWidth="1"/>
    <col min="32" max="32" width="17.140625" customWidth="1"/>
    <col min="33" max="33" width="18.28515625" style="3" customWidth="1"/>
    <col min="34" max="34" width="20.85546875" style="3" customWidth="1"/>
    <col min="35" max="35" width="21.140625" style="3" customWidth="1"/>
    <col min="36" max="36" width="21.28515625" customWidth="1"/>
    <col min="40" max="40" width="11.42578125" customWidth="1"/>
  </cols>
  <sheetData>
    <row r="1" spans="1:36" x14ac:dyDescent="0.25">
      <c r="C1"/>
      <c r="D1"/>
      <c r="E1"/>
      <c r="F1"/>
      <c r="G1"/>
    </row>
    <row r="2" spans="1:36" x14ac:dyDescent="0.25">
      <c r="C2"/>
      <c r="D2"/>
      <c r="E2"/>
      <c r="F2"/>
      <c r="G2"/>
    </row>
    <row r="3" spans="1:36" x14ac:dyDescent="0.25">
      <c r="C3"/>
      <c r="D3"/>
      <c r="E3"/>
      <c r="F3"/>
      <c r="G3"/>
    </row>
    <row r="4" spans="1:36" x14ac:dyDescent="0.25">
      <c r="C4"/>
      <c r="D4"/>
      <c r="E4"/>
      <c r="F4"/>
      <c r="G4"/>
    </row>
    <row r="5" spans="1:36" x14ac:dyDescent="0.25">
      <c r="C5"/>
      <c r="D5"/>
      <c r="E5"/>
      <c r="F5"/>
      <c r="G5"/>
    </row>
    <row r="6" spans="1:36" x14ac:dyDescent="0.25">
      <c r="C6"/>
      <c r="D6"/>
      <c r="E6"/>
      <c r="F6"/>
      <c r="G6"/>
    </row>
    <row r="7" spans="1:36" ht="26.25" x14ac:dyDescent="0.25">
      <c r="A7" s="11" t="s">
        <v>28</v>
      </c>
      <c r="B7" s="7"/>
      <c r="C7" s="7"/>
      <c r="D7"/>
      <c r="E7"/>
      <c r="F7"/>
      <c r="G7"/>
    </row>
    <row r="8" spans="1:36" ht="18.75" customHeight="1" x14ac:dyDescent="0.25">
      <c r="A8" s="64" t="s">
        <v>29</v>
      </c>
      <c r="B8" s="64"/>
      <c r="C8" s="64"/>
      <c r="D8" s="64"/>
      <c r="E8" s="64"/>
      <c r="F8" s="64"/>
      <c r="G8" s="64"/>
    </row>
    <row r="9" spans="1:36" ht="23.25" x14ac:dyDescent="0.25">
      <c r="A9" s="7" t="s">
        <v>30</v>
      </c>
      <c r="B9" s="8"/>
      <c r="C9" s="9"/>
      <c r="D9"/>
      <c r="E9"/>
      <c r="F9"/>
      <c r="G9"/>
      <c r="M9" s="1"/>
    </row>
    <row r="10" spans="1:36" x14ac:dyDescent="0.25">
      <c r="A10" s="20" t="s">
        <v>30</v>
      </c>
      <c r="B10" s="9"/>
      <c r="C10" s="9"/>
      <c r="D10"/>
      <c r="E10"/>
      <c r="F10"/>
      <c r="G10"/>
      <c r="AD10" s="21" t="s">
        <v>54</v>
      </c>
    </row>
    <row r="11" spans="1:36" ht="18.75" x14ac:dyDescent="0.25">
      <c r="A11" s="65" t="s">
        <v>55</v>
      </c>
      <c r="B11" s="65"/>
      <c r="C11" s="65"/>
      <c r="D11"/>
      <c r="E11"/>
      <c r="F11"/>
      <c r="G11"/>
      <c r="AD11" s="17"/>
    </row>
    <row r="12" spans="1:36" ht="18.75" x14ac:dyDescent="0.3">
      <c r="A12" s="22" t="s">
        <v>56</v>
      </c>
      <c r="B12" s="22"/>
      <c r="C12" s="22"/>
      <c r="D12"/>
      <c r="E12"/>
      <c r="F12"/>
      <c r="G12"/>
      <c r="K12" s="18"/>
      <c r="L12" s="19"/>
      <c r="AD12" s="17"/>
      <c r="AE12" s="17"/>
    </row>
    <row r="13" spans="1:36" ht="18.75" x14ac:dyDescent="0.25">
      <c r="A13" s="66" t="s">
        <v>57</v>
      </c>
      <c r="B13" s="66"/>
      <c r="C13" s="66"/>
      <c r="D13"/>
      <c r="E13"/>
      <c r="F13"/>
      <c r="G13"/>
      <c r="L13" s="10"/>
      <c r="S13" s="23"/>
      <c r="AB13" s="15"/>
      <c r="AD13" s="17"/>
    </row>
    <row r="14" spans="1:36" x14ac:dyDescent="0.25">
      <c r="A14" s="1"/>
      <c r="AD14" s="17"/>
    </row>
    <row r="15" spans="1:36" s="13" customFormat="1" ht="15.75" thickBot="1" x14ac:dyDescent="0.3">
      <c r="C15" s="14"/>
      <c r="D15" s="15"/>
      <c r="E15" s="16"/>
      <c r="F15" s="15">
        <v>31</v>
      </c>
      <c r="G15" s="16"/>
      <c r="H15" s="15" t="s">
        <v>36</v>
      </c>
      <c r="I15" s="5"/>
      <c r="J15" s="15" t="s">
        <v>37</v>
      </c>
      <c r="K15" s="16"/>
      <c r="L15" s="15" t="s">
        <v>38</v>
      </c>
      <c r="M15" s="16"/>
      <c r="N15" s="15" t="s">
        <v>37</v>
      </c>
      <c r="O15" s="16"/>
      <c r="P15" s="15" t="s">
        <v>38</v>
      </c>
      <c r="Q15" s="16"/>
      <c r="R15" s="15" t="s">
        <v>37</v>
      </c>
      <c r="S15" s="16"/>
      <c r="T15" s="15" t="s">
        <v>37</v>
      </c>
      <c r="U15" s="16"/>
      <c r="V15" s="15" t="s">
        <v>38</v>
      </c>
      <c r="W15" s="16"/>
      <c r="X15" s="15" t="s">
        <v>37</v>
      </c>
      <c r="Y15" s="16"/>
      <c r="Z15" s="15" t="s">
        <v>38</v>
      </c>
      <c r="AA15" s="16"/>
      <c r="AB15" s="15" t="s">
        <v>37</v>
      </c>
      <c r="AG15" s="15"/>
      <c r="AH15" s="15"/>
      <c r="AI15" s="15"/>
    </row>
    <row r="16" spans="1:36" s="12" customFormat="1" ht="35.1" customHeight="1" x14ac:dyDescent="0.25">
      <c r="A16" s="67" t="s">
        <v>0</v>
      </c>
      <c r="B16" s="69" t="s">
        <v>1</v>
      </c>
      <c r="C16" s="71" t="s">
        <v>2</v>
      </c>
      <c r="D16" s="73" t="s">
        <v>3</v>
      </c>
      <c r="E16" s="75" t="s">
        <v>4</v>
      </c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7" t="s">
        <v>5</v>
      </c>
      <c r="AD16" s="77"/>
      <c r="AE16" s="77"/>
      <c r="AF16" s="77"/>
      <c r="AG16" s="77"/>
      <c r="AH16" s="77"/>
      <c r="AI16" s="77"/>
      <c r="AJ16" s="78" t="s">
        <v>6</v>
      </c>
    </row>
    <row r="17" spans="1:36" s="12" customFormat="1" ht="35.1" customHeight="1" x14ac:dyDescent="0.25">
      <c r="A17" s="68"/>
      <c r="B17" s="70"/>
      <c r="C17" s="72"/>
      <c r="D17" s="74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80" t="s">
        <v>7</v>
      </c>
      <c r="AD17" s="80"/>
      <c r="AE17" s="80" t="s">
        <v>8</v>
      </c>
      <c r="AF17" s="80"/>
      <c r="AG17" s="81" t="s">
        <v>9</v>
      </c>
      <c r="AH17" s="81" t="s">
        <v>10</v>
      </c>
      <c r="AI17" s="81" t="s">
        <v>11</v>
      </c>
      <c r="AJ17" s="79"/>
    </row>
    <row r="18" spans="1:36" s="12" customFormat="1" ht="35.1" customHeight="1" x14ac:dyDescent="0.25">
      <c r="A18" s="68"/>
      <c r="B18" s="70"/>
      <c r="C18" s="72"/>
      <c r="D18" s="74"/>
      <c r="E18" s="70" t="s">
        <v>12</v>
      </c>
      <c r="F18" s="70"/>
      <c r="G18" s="70" t="s">
        <v>13</v>
      </c>
      <c r="H18" s="70"/>
      <c r="I18" s="70" t="s">
        <v>14</v>
      </c>
      <c r="J18" s="70"/>
      <c r="K18" s="70" t="s">
        <v>15</v>
      </c>
      <c r="L18" s="70"/>
      <c r="M18" s="70" t="s">
        <v>16</v>
      </c>
      <c r="N18" s="70"/>
      <c r="O18" s="70" t="s">
        <v>17</v>
      </c>
      <c r="P18" s="70"/>
      <c r="Q18" s="70" t="s">
        <v>18</v>
      </c>
      <c r="R18" s="70"/>
      <c r="S18" s="70" t="s">
        <v>19</v>
      </c>
      <c r="T18" s="70"/>
      <c r="U18" s="70" t="s">
        <v>20</v>
      </c>
      <c r="V18" s="70"/>
      <c r="W18" s="82" t="s">
        <v>21</v>
      </c>
      <c r="X18" s="82"/>
      <c r="Y18" s="70" t="s">
        <v>22</v>
      </c>
      <c r="Z18" s="70"/>
      <c r="AA18" s="70" t="s">
        <v>23</v>
      </c>
      <c r="AB18" s="70"/>
      <c r="AC18" s="70" t="s">
        <v>24</v>
      </c>
      <c r="AD18" s="70" t="s">
        <v>25</v>
      </c>
      <c r="AE18" s="70" t="s">
        <v>24</v>
      </c>
      <c r="AF18" s="70" t="s">
        <v>25</v>
      </c>
      <c r="AG18" s="81"/>
      <c r="AH18" s="81"/>
      <c r="AI18" s="81"/>
      <c r="AJ18" s="79"/>
    </row>
    <row r="19" spans="1:36" s="12" customFormat="1" ht="45" customHeight="1" x14ac:dyDescent="0.25">
      <c r="A19" s="68"/>
      <c r="B19" s="70"/>
      <c r="C19" s="72"/>
      <c r="D19" s="74"/>
      <c r="E19" s="25" t="s">
        <v>26</v>
      </c>
      <c r="F19" s="24" t="s">
        <v>6</v>
      </c>
      <c r="G19" s="25" t="s">
        <v>26</v>
      </c>
      <c r="H19" s="24" t="s">
        <v>6</v>
      </c>
      <c r="I19" s="83" t="s">
        <v>26</v>
      </c>
      <c r="J19" s="24" t="s">
        <v>6</v>
      </c>
      <c r="K19" s="25" t="s">
        <v>26</v>
      </c>
      <c r="L19" s="24" t="s">
        <v>6</v>
      </c>
      <c r="M19" s="25" t="s">
        <v>26</v>
      </c>
      <c r="N19" s="24" t="s">
        <v>6</v>
      </c>
      <c r="O19" s="25" t="s">
        <v>26</v>
      </c>
      <c r="P19" s="24" t="s">
        <v>6</v>
      </c>
      <c r="Q19" s="25" t="s">
        <v>26</v>
      </c>
      <c r="R19" s="24" t="s">
        <v>6</v>
      </c>
      <c r="S19" s="25" t="s">
        <v>26</v>
      </c>
      <c r="T19" s="24" t="s">
        <v>6</v>
      </c>
      <c r="U19" s="25" t="s">
        <v>26</v>
      </c>
      <c r="V19" s="24" t="s">
        <v>6</v>
      </c>
      <c r="W19" s="84" t="s">
        <v>26</v>
      </c>
      <c r="X19" s="85" t="s">
        <v>6</v>
      </c>
      <c r="Y19" s="25" t="s">
        <v>26</v>
      </c>
      <c r="Z19" s="24" t="s">
        <v>6</v>
      </c>
      <c r="AA19" s="25" t="s">
        <v>26</v>
      </c>
      <c r="AB19" s="24" t="s">
        <v>6</v>
      </c>
      <c r="AC19" s="70"/>
      <c r="AD19" s="70"/>
      <c r="AE19" s="70"/>
      <c r="AF19" s="70"/>
      <c r="AG19" s="81"/>
      <c r="AH19" s="81"/>
      <c r="AI19" s="81"/>
      <c r="AJ19" s="79"/>
    </row>
    <row r="20" spans="1:36" s="6" customFormat="1" ht="54.95" customHeight="1" x14ac:dyDescent="0.25">
      <c r="A20" s="26">
        <v>1</v>
      </c>
      <c r="B20" s="27" t="s">
        <v>35</v>
      </c>
      <c r="C20" s="28" t="s">
        <v>31</v>
      </c>
      <c r="D20" s="29">
        <v>74.63</v>
      </c>
      <c r="E20" s="30">
        <v>2</v>
      </c>
      <c r="F20" s="31">
        <f>D20*31*E20</f>
        <v>4627.0599999999995</v>
      </c>
      <c r="G20" s="30">
        <v>2</v>
      </c>
      <c r="H20" s="31">
        <f>D20*28*G20</f>
        <v>4179.28</v>
      </c>
      <c r="I20" s="30">
        <v>2</v>
      </c>
      <c r="J20" s="31">
        <f>D20*31*I20</f>
        <v>4627.0599999999995</v>
      </c>
      <c r="K20" s="30">
        <v>2</v>
      </c>
      <c r="L20" s="31">
        <f>D20*30*K20</f>
        <v>4477.7999999999993</v>
      </c>
      <c r="M20" s="30">
        <v>2</v>
      </c>
      <c r="N20" s="31">
        <f>D20*31*M20</f>
        <v>4627.0599999999995</v>
      </c>
      <c r="O20" s="30">
        <v>2</v>
      </c>
      <c r="P20" s="31">
        <f>D20*30*O20</f>
        <v>4477.7999999999993</v>
      </c>
      <c r="Q20" s="30">
        <v>2</v>
      </c>
      <c r="R20" s="31">
        <f>D20*31*Q20</f>
        <v>4627.0599999999995</v>
      </c>
      <c r="S20" s="30">
        <v>2</v>
      </c>
      <c r="T20" s="31">
        <f>D20*31*S20</f>
        <v>4627.0599999999995</v>
      </c>
      <c r="U20" s="30">
        <v>2</v>
      </c>
      <c r="V20" s="31">
        <f>D20*30*U20</f>
        <v>4477.7999999999993</v>
      </c>
      <c r="W20" s="30">
        <v>2</v>
      </c>
      <c r="X20" s="31">
        <f>D20*31*W20</f>
        <v>4627.0599999999995</v>
      </c>
      <c r="Y20" s="30">
        <v>2</v>
      </c>
      <c r="Z20" s="31">
        <f>D20*30*Y20</f>
        <v>4477.7999999999993</v>
      </c>
      <c r="AA20" s="30">
        <v>2</v>
      </c>
      <c r="AB20" s="31">
        <f>D20*31*AA20</f>
        <v>4627.0599999999995</v>
      </c>
      <c r="AC20" s="32">
        <v>0</v>
      </c>
      <c r="AD20" s="32">
        <v>0</v>
      </c>
      <c r="AE20" s="31">
        <f>AF20*12</f>
        <v>54096</v>
      </c>
      <c r="AF20" s="31">
        <f>2254*2</f>
        <v>4508</v>
      </c>
      <c r="AG20" s="31">
        <f>(((Z20+AD20+AF20-500)/365)*365)</f>
        <v>8485.7999999999993</v>
      </c>
      <c r="AH20" s="31">
        <f>(((F20+H20+J20+L20+N20+P20+R20+T20+V20+X20+Z20+AB20+AC20+AE20)-6000)/12)</f>
        <v>8547.9916666666668</v>
      </c>
      <c r="AI20" s="33">
        <f>(((200/365)*365))*2</f>
        <v>400</v>
      </c>
      <c r="AJ20" s="34">
        <f>F20+H20+J20+L20+N20+P20+R20+T20+V20+X20+Z20+AB20+AD20+AF20+AG20+AH20+AI20</f>
        <v>76421.691666666666</v>
      </c>
    </row>
    <row r="21" spans="1:36" ht="54.95" customHeight="1" x14ac:dyDescent="0.25">
      <c r="A21" s="35">
        <v>2</v>
      </c>
      <c r="B21" s="27" t="s">
        <v>35</v>
      </c>
      <c r="C21" s="28" t="s">
        <v>32</v>
      </c>
      <c r="D21" s="29">
        <v>75.64</v>
      </c>
      <c r="E21" s="30">
        <v>4</v>
      </c>
      <c r="F21" s="31">
        <f t="shared" ref="F21:F44" si="0">D21*31*E21</f>
        <v>9379.36</v>
      </c>
      <c r="G21" s="30">
        <v>4</v>
      </c>
      <c r="H21" s="31">
        <f t="shared" ref="H21:H44" si="1">D21*28*G21</f>
        <v>8471.68</v>
      </c>
      <c r="I21" s="30">
        <v>4</v>
      </c>
      <c r="J21" s="31">
        <f t="shared" ref="J21:J44" si="2">D21*31*I21</f>
        <v>9379.36</v>
      </c>
      <c r="K21" s="30">
        <v>4</v>
      </c>
      <c r="L21" s="31">
        <f t="shared" ref="L21:L44" si="3">D21*30*K21</f>
        <v>9076.7999999999993</v>
      </c>
      <c r="M21" s="30">
        <v>4</v>
      </c>
      <c r="N21" s="31">
        <f>D21*31*M21</f>
        <v>9379.36</v>
      </c>
      <c r="O21" s="30">
        <v>4</v>
      </c>
      <c r="P21" s="31">
        <f t="shared" ref="P21:P44" si="4">D21*30*O21</f>
        <v>9076.7999999999993</v>
      </c>
      <c r="Q21" s="30">
        <v>4</v>
      </c>
      <c r="R21" s="31">
        <f t="shared" ref="R21:R44" si="5">D21*31*Q21</f>
        <v>9379.36</v>
      </c>
      <c r="S21" s="30">
        <v>4</v>
      </c>
      <c r="T21" s="31">
        <f>D21*31*3+2177.92</f>
        <v>9212.44</v>
      </c>
      <c r="U21" s="30">
        <v>4</v>
      </c>
      <c r="V21" s="31">
        <f t="shared" ref="V21:V44" si="6">D21*30*U21</f>
        <v>9076.7999999999993</v>
      </c>
      <c r="W21" s="30">
        <v>4</v>
      </c>
      <c r="X21" s="31">
        <f t="shared" ref="X21:X44" si="7">D21*31*W21</f>
        <v>9379.36</v>
      </c>
      <c r="Y21" s="30">
        <v>4</v>
      </c>
      <c r="Z21" s="31">
        <f t="shared" ref="Z21:Z44" si="8">D21*30*Y21</f>
        <v>9076.7999999999993</v>
      </c>
      <c r="AA21" s="30">
        <v>4</v>
      </c>
      <c r="AB21" s="31">
        <f t="shared" ref="AB21:AB44" si="9">D21*31*AA21</f>
        <v>9379.36</v>
      </c>
      <c r="AC21" s="32">
        <v>0</v>
      </c>
      <c r="AD21" s="32">
        <v>0</v>
      </c>
      <c r="AE21" s="31">
        <f>AF21*12</f>
        <v>108000</v>
      </c>
      <c r="AF21" s="31">
        <f>2250*4</f>
        <v>9000</v>
      </c>
      <c r="AG21" s="31">
        <f>(((Z21+AD21+AF21-1000)/365)*365)</f>
        <v>17076.8</v>
      </c>
      <c r="AH21" s="31">
        <f>(((F21+H21+J21+L21+N21+P21+R21+T21+V21+X21+Z21+AB21+AC21+AE21)-12000)/12)</f>
        <v>17188.956666666669</v>
      </c>
      <c r="AI21" s="33">
        <f>(((200/365)*365))*4</f>
        <v>800</v>
      </c>
      <c r="AJ21" s="34">
        <f t="shared" ref="AJ21:AJ23" si="10">F21+H21+J21+L21+N21+P21+R21+T21+V21+X21+Z21+AB21+AD21+AF21+AG21+AH21+AI21</f>
        <v>154333.23666666666</v>
      </c>
    </row>
    <row r="22" spans="1:36" ht="54.95" customHeight="1" x14ac:dyDescent="0.25">
      <c r="A22" s="35">
        <v>3</v>
      </c>
      <c r="B22" s="27" t="s">
        <v>35</v>
      </c>
      <c r="C22" s="28" t="s">
        <v>33</v>
      </c>
      <c r="D22" s="29">
        <v>71.400000000000006</v>
      </c>
      <c r="E22" s="30">
        <v>5</v>
      </c>
      <c r="F22" s="31">
        <f t="shared" si="0"/>
        <v>11067</v>
      </c>
      <c r="G22" s="30">
        <v>5</v>
      </c>
      <c r="H22" s="31">
        <f t="shared" si="1"/>
        <v>9996.0000000000018</v>
      </c>
      <c r="I22" s="30">
        <v>5</v>
      </c>
      <c r="J22" s="31">
        <f t="shared" si="2"/>
        <v>11067</v>
      </c>
      <c r="K22" s="30">
        <v>5</v>
      </c>
      <c r="L22" s="31">
        <f>D22*30*3</f>
        <v>6426</v>
      </c>
      <c r="M22" s="30">
        <v>5</v>
      </c>
      <c r="N22" s="31">
        <f>D22*31*3</f>
        <v>6640.2000000000007</v>
      </c>
      <c r="O22" s="30">
        <v>5</v>
      </c>
      <c r="P22" s="31">
        <f>D22*30*O22+999.9</f>
        <v>11709.9</v>
      </c>
      <c r="Q22" s="30">
        <v>5</v>
      </c>
      <c r="R22" s="31">
        <f>D22*31*6</f>
        <v>13280.400000000001</v>
      </c>
      <c r="S22" s="30">
        <v>5</v>
      </c>
      <c r="T22" s="31">
        <f>D22*31*S22-60</f>
        <v>11007</v>
      </c>
      <c r="U22" s="30">
        <v>5</v>
      </c>
      <c r="V22" s="31">
        <f>D22*30*3</f>
        <v>6426</v>
      </c>
      <c r="W22" s="30">
        <v>5</v>
      </c>
      <c r="X22" s="31">
        <f>D22*31*3+3070.2+4355.4+4355.4</f>
        <v>18421.2</v>
      </c>
      <c r="Y22" s="30">
        <v>5</v>
      </c>
      <c r="Z22" s="31">
        <f t="shared" si="8"/>
        <v>10710</v>
      </c>
      <c r="AA22" s="30">
        <v>5</v>
      </c>
      <c r="AB22" s="31">
        <f t="shared" si="9"/>
        <v>11067</v>
      </c>
      <c r="AC22" s="32">
        <v>0</v>
      </c>
      <c r="AD22" s="32">
        <v>0</v>
      </c>
      <c r="AE22" s="31">
        <f>AF22*12</f>
        <v>133848</v>
      </c>
      <c r="AF22" s="31">
        <f>2351*4+1750</f>
        <v>11154</v>
      </c>
      <c r="AG22" s="31">
        <f>(((Z22+AD22+AF22-1250)/365)*365)</f>
        <v>20614</v>
      </c>
      <c r="AH22" s="31">
        <f>(((F22+H22+J22+L22+N22+P22+R22+T22+V22+X22+Z22+AB22+AC22+AE22)-15000)/12)</f>
        <v>20555.475000000002</v>
      </c>
      <c r="AI22" s="33">
        <f>(((200/365)*365))*5</f>
        <v>1000</v>
      </c>
      <c r="AJ22" s="34">
        <f t="shared" si="10"/>
        <v>181141.17500000002</v>
      </c>
    </row>
    <row r="23" spans="1:36" ht="54.95" customHeight="1" x14ac:dyDescent="0.25">
      <c r="A23" s="35">
        <v>4</v>
      </c>
      <c r="B23" s="27" t="s">
        <v>35</v>
      </c>
      <c r="C23" s="36" t="s">
        <v>34</v>
      </c>
      <c r="D23" s="29">
        <v>78.25</v>
      </c>
      <c r="E23" s="30">
        <v>1</v>
      </c>
      <c r="F23" s="31">
        <f t="shared" si="0"/>
        <v>2425.75</v>
      </c>
      <c r="G23" s="30">
        <v>1</v>
      </c>
      <c r="H23" s="31">
        <f t="shared" si="1"/>
        <v>2191</v>
      </c>
      <c r="I23" s="30">
        <v>1</v>
      </c>
      <c r="J23" s="31">
        <f t="shared" si="2"/>
        <v>2425.75</v>
      </c>
      <c r="K23" s="30">
        <v>1</v>
      </c>
      <c r="L23" s="31">
        <f t="shared" si="3"/>
        <v>2347.5</v>
      </c>
      <c r="M23" s="30">
        <v>1</v>
      </c>
      <c r="N23" s="31">
        <f t="shared" ref="N23:N44" si="11">D23*31*M23</f>
        <v>2425.75</v>
      </c>
      <c r="O23" s="30">
        <v>1</v>
      </c>
      <c r="P23" s="31">
        <f t="shared" si="4"/>
        <v>2347.5</v>
      </c>
      <c r="Q23" s="30">
        <v>1</v>
      </c>
      <c r="R23" s="31">
        <f>D23*31*Q23+1386.1</f>
        <v>3811.85</v>
      </c>
      <c r="S23" s="30">
        <v>2</v>
      </c>
      <c r="T23" s="31">
        <f t="shared" ref="T23:T44" si="12">D23*31*S23</f>
        <v>4851.5</v>
      </c>
      <c r="U23" s="30">
        <v>1</v>
      </c>
      <c r="V23" s="31">
        <f>D23*30*U23</f>
        <v>2347.5</v>
      </c>
      <c r="W23" s="30">
        <v>1</v>
      </c>
      <c r="X23" s="31">
        <f>D23*31*W23+4773.25</f>
        <v>7199</v>
      </c>
      <c r="Y23" s="30">
        <v>1</v>
      </c>
      <c r="Z23" s="31">
        <f t="shared" si="8"/>
        <v>2347.5</v>
      </c>
      <c r="AA23" s="30">
        <v>1</v>
      </c>
      <c r="AB23" s="31">
        <f t="shared" si="9"/>
        <v>2425.75</v>
      </c>
      <c r="AC23" s="32">
        <v>0</v>
      </c>
      <c r="AD23" s="32">
        <v>0</v>
      </c>
      <c r="AE23" s="31">
        <f>AF23*12</f>
        <v>25740</v>
      </c>
      <c r="AF23" s="31">
        <f>2145</f>
        <v>2145</v>
      </c>
      <c r="AG23" s="31">
        <f>(((Z23+AD23+AF23-250)/365)*365)</f>
        <v>4242.5</v>
      </c>
      <c r="AH23" s="31">
        <f>(((F23+H23+J23+L23+N23+P23+R23+T23+V23+X23+Z23+AB23+AC23+AE23)-3000)/12)</f>
        <v>4990.5291666666662</v>
      </c>
      <c r="AI23" s="33">
        <f>(((200/365)*365))*1</f>
        <v>200</v>
      </c>
      <c r="AJ23" s="34">
        <f t="shared" si="10"/>
        <v>48724.379166666666</v>
      </c>
    </row>
    <row r="24" spans="1:36" ht="54.95" customHeight="1" x14ac:dyDescent="0.25">
      <c r="A24" s="35"/>
      <c r="B24" s="27" t="s">
        <v>53</v>
      </c>
      <c r="C24" s="36"/>
      <c r="D24" s="29"/>
      <c r="E24" s="30"/>
      <c r="F24" s="37">
        <f>SUM(F20:F23)</f>
        <v>27499.17</v>
      </c>
      <c r="G24" s="30"/>
      <c r="H24" s="37">
        <f>SUM(H20:H23)</f>
        <v>24837.96</v>
      </c>
      <c r="I24" s="30"/>
      <c r="J24" s="37">
        <f>SUM(J20:J23)</f>
        <v>27499.17</v>
      </c>
      <c r="K24" s="30"/>
      <c r="L24" s="37">
        <f>SUM(L20:L23)</f>
        <v>22328.1</v>
      </c>
      <c r="M24" s="30"/>
      <c r="N24" s="38">
        <f>SUM(N20:N23)</f>
        <v>23072.370000000003</v>
      </c>
      <c r="O24" s="30"/>
      <c r="P24" s="38">
        <f>SUM(P20:P23)-0.3</f>
        <v>27611.7</v>
      </c>
      <c r="Q24" s="30"/>
      <c r="R24" s="38">
        <f>SUM(R20:R23)</f>
        <v>31098.67</v>
      </c>
      <c r="S24" s="30"/>
      <c r="T24" s="38">
        <f>SUM(T20:T23)</f>
        <v>29698</v>
      </c>
      <c r="U24" s="30"/>
      <c r="V24" s="38">
        <f>SUM(V20:V23)</f>
        <v>22328.1</v>
      </c>
      <c r="W24" s="30"/>
      <c r="X24" s="86">
        <f>SUM(X20:X23)</f>
        <v>39626.620000000003</v>
      </c>
      <c r="Y24" s="30"/>
      <c r="Z24" s="37">
        <f>SUM(Z20:Z23)</f>
        <v>26612.1</v>
      </c>
      <c r="AA24" s="30"/>
      <c r="AB24" s="37">
        <f>SUM(AB20:AB23)</f>
        <v>27499.17</v>
      </c>
      <c r="AC24" s="40">
        <f t="shared" ref="AC24:AH24" si="13">SUM(AC20:AC23)</f>
        <v>0</v>
      </c>
      <c r="AD24" s="40">
        <f t="shared" si="13"/>
        <v>0</v>
      </c>
      <c r="AE24" s="37">
        <f t="shared" si="13"/>
        <v>321684</v>
      </c>
      <c r="AF24" s="37">
        <f t="shared" si="13"/>
        <v>26807</v>
      </c>
      <c r="AG24" s="41">
        <f t="shared" si="13"/>
        <v>50419.1</v>
      </c>
      <c r="AH24" s="41">
        <f t="shared" si="13"/>
        <v>51282.952500000007</v>
      </c>
      <c r="AI24" s="41">
        <f>SUM(AI20:AI23)</f>
        <v>2400</v>
      </c>
      <c r="AJ24" s="42">
        <f>SUM(AJ20:AJ23)</f>
        <v>460620.48250000004</v>
      </c>
    </row>
    <row r="25" spans="1:36" ht="64.5" customHeight="1" x14ac:dyDescent="0.25">
      <c r="A25" s="35">
        <v>1</v>
      </c>
      <c r="B25" s="27" t="s">
        <v>58</v>
      </c>
      <c r="C25" s="28" t="s">
        <v>31</v>
      </c>
      <c r="D25" s="29">
        <v>74.63</v>
      </c>
      <c r="E25" s="30">
        <v>4</v>
      </c>
      <c r="F25" s="31">
        <f t="shared" si="0"/>
        <v>9254.119999999999</v>
      </c>
      <c r="G25" s="30">
        <v>4</v>
      </c>
      <c r="H25" s="31">
        <f t="shared" si="1"/>
        <v>8358.56</v>
      </c>
      <c r="I25" s="30">
        <v>4</v>
      </c>
      <c r="J25" s="31">
        <f t="shared" si="2"/>
        <v>9254.119999999999</v>
      </c>
      <c r="K25" s="30">
        <v>4</v>
      </c>
      <c r="L25" s="31">
        <f t="shared" si="3"/>
        <v>8955.5999999999985</v>
      </c>
      <c r="M25" s="30">
        <v>4</v>
      </c>
      <c r="N25" s="31">
        <f>D25*31*M25+D25*44</f>
        <v>12537.839999999998</v>
      </c>
      <c r="O25" s="30">
        <v>4</v>
      </c>
      <c r="P25" s="31">
        <f>D25*30*5</f>
        <v>11194.499999999998</v>
      </c>
      <c r="Q25" s="30">
        <v>4</v>
      </c>
      <c r="R25" s="31">
        <f>D25*31*6</f>
        <v>13881.179999999998</v>
      </c>
      <c r="S25" s="30">
        <v>4</v>
      </c>
      <c r="T25" s="31">
        <f>D25*31*6</f>
        <v>13881.179999999998</v>
      </c>
      <c r="U25" s="30">
        <v>6</v>
      </c>
      <c r="V25" s="31">
        <f t="shared" si="6"/>
        <v>13433.399999999998</v>
      </c>
      <c r="W25" s="30">
        <v>4</v>
      </c>
      <c r="X25" s="31">
        <f>D25*31*6</f>
        <v>13881.179999999998</v>
      </c>
      <c r="Y25" s="30">
        <v>4</v>
      </c>
      <c r="Z25" s="31">
        <f t="shared" si="8"/>
        <v>8955.5999999999985</v>
      </c>
      <c r="AA25" s="30">
        <v>4</v>
      </c>
      <c r="AB25" s="31">
        <f t="shared" si="9"/>
        <v>9254.119999999999</v>
      </c>
      <c r="AC25" s="43">
        <f>AD25*12</f>
        <v>2400</v>
      </c>
      <c r="AD25" s="43">
        <f>50*4</f>
        <v>200</v>
      </c>
      <c r="AE25" s="31">
        <f>AF25*12</f>
        <v>108096</v>
      </c>
      <c r="AF25" s="31">
        <f>2250*2+2254*2</f>
        <v>9008</v>
      </c>
      <c r="AG25" s="31">
        <f>(((Z25+AD25+AF25-1000)/365)*365)</f>
        <v>17163.599999999999</v>
      </c>
      <c r="AH25" s="31">
        <f>(((F25+H25+J25+L25+N25+P25+R25+T25+V25+X25+Z25+AB25+AC25+AE25)-12000)/12)</f>
        <v>19278.116666666665</v>
      </c>
      <c r="AI25" s="33">
        <f>(((200/365)*365))*4</f>
        <v>800</v>
      </c>
      <c r="AJ25" s="34">
        <f t="shared" ref="AJ25" si="14">F25+H25+J25+L25+N25+P25+R25+T25+V25+X25+Z25+AB25+AD25+AF25+AG25+AH25+AI25</f>
        <v>179291.11666666664</v>
      </c>
    </row>
    <row r="26" spans="1:36" ht="87" customHeight="1" x14ac:dyDescent="0.25">
      <c r="A26" s="35">
        <v>2</v>
      </c>
      <c r="B26" s="27" t="s">
        <v>59</v>
      </c>
      <c r="C26" s="28" t="s">
        <v>32</v>
      </c>
      <c r="D26" s="29">
        <v>75.64</v>
      </c>
      <c r="E26" s="30">
        <v>1</v>
      </c>
      <c r="F26" s="31">
        <f t="shared" si="0"/>
        <v>2344.84</v>
      </c>
      <c r="G26" s="30">
        <v>1</v>
      </c>
      <c r="H26" s="31">
        <f t="shared" si="1"/>
        <v>2117.92</v>
      </c>
      <c r="I26" s="30">
        <v>1</v>
      </c>
      <c r="J26" s="31">
        <f t="shared" si="2"/>
        <v>2344.84</v>
      </c>
      <c r="K26" s="30">
        <v>1</v>
      </c>
      <c r="L26" s="31">
        <f t="shared" si="3"/>
        <v>2269.1999999999998</v>
      </c>
      <c r="M26" s="30">
        <v>1</v>
      </c>
      <c r="N26" s="31">
        <f t="shared" si="11"/>
        <v>2344.84</v>
      </c>
      <c r="O26" s="30">
        <v>1</v>
      </c>
      <c r="P26" s="31">
        <f t="shared" si="4"/>
        <v>2269.1999999999998</v>
      </c>
      <c r="Q26" s="30">
        <v>1</v>
      </c>
      <c r="R26" s="31">
        <f t="shared" si="5"/>
        <v>2344.84</v>
      </c>
      <c r="S26" s="30">
        <v>1</v>
      </c>
      <c r="T26" s="31">
        <f t="shared" si="12"/>
        <v>2344.84</v>
      </c>
      <c r="U26" s="30">
        <v>1</v>
      </c>
      <c r="V26" s="31">
        <f t="shared" si="6"/>
        <v>2269.1999999999998</v>
      </c>
      <c r="W26" s="30">
        <v>1</v>
      </c>
      <c r="X26" s="31">
        <f>D26*27*W26</f>
        <v>2042.28</v>
      </c>
      <c r="Y26" s="30">
        <v>1</v>
      </c>
      <c r="Z26" s="31">
        <f t="shared" si="8"/>
        <v>2269.1999999999998</v>
      </c>
      <c r="AA26" s="30">
        <v>1</v>
      </c>
      <c r="AB26" s="31">
        <f t="shared" si="9"/>
        <v>2344.84</v>
      </c>
      <c r="AC26" s="43">
        <f>AD26*12</f>
        <v>0</v>
      </c>
      <c r="AD26" s="43">
        <v>0</v>
      </c>
      <c r="AE26" s="31">
        <f>AF26*12</f>
        <v>27000</v>
      </c>
      <c r="AF26" s="31">
        <f>2250</f>
        <v>2250</v>
      </c>
      <c r="AG26" s="31">
        <f>(((Z26+AD26+AF26-250)/365)*365)</f>
        <v>4269.2</v>
      </c>
      <c r="AH26" s="31">
        <f>(((F26+H26+J26+L26+N26+P26+R26+T26+V26+X26+Z26+AB26+AC26+AE26)-3000)/12)</f>
        <v>4275.5033333333331</v>
      </c>
      <c r="AI26" s="33">
        <f>(((200/365)*365))*1</f>
        <v>200</v>
      </c>
      <c r="AJ26" s="34">
        <f>F26+H26+J26+L26+N26+P26+R26+T26+V26+X26+Z26+AB26+AD26+AF26+AG26+AH26+AI26</f>
        <v>38300.743333333332</v>
      </c>
    </row>
    <row r="27" spans="1:36" ht="54.95" customHeight="1" x14ac:dyDescent="0.25">
      <c r="A27" s="35"/>
      <c r="B27" s="27" t="s">
        <v>53</v>
      </c>
      <c r="C27" s="28"/>
      <c r="D27" s="29"/>
      <c r="E27" s="30"/>
      <c r="F27" s="37">
        <f>SUM(F25:F26)</f>
        <v>11598.96</v>
      </c>
      <c r="G27" s="30"/>
      <c r="H27" s="37">
        <f>SUM(H25:H26)</f>
        <v>10476.48</v>
      </c>
      <c r="I27" s="30"/>
      <c r="J27" s="37">
        <f>SUM(J25:J26)</f>
        <v>11598.96</v>
      </c>
      <c r="K27" s="30"/>
      <c r="L27" s="37">
        <f>SUM(L25:L26)</f>
        <v>11224.8</v>
      </c>
      <c r="M27" s="30"/>
      <c r="N27" s="38">
        <f>SUM(N25:N26)</f>
        <v>14882.679999999998</v>
      </c>
      <c r="O27" s="30"/>
      <c r="P27" s="38">
        <f>SUM(P25:P26)</f>
        <v>13463.699999999997</v>
      </c>
      <c r="Q27" s="30"/>
      <c r="R27" s="38">
        <f>SUM(R25:R26)</f>
        <v>16226.019999999999</v>
      </c>
      <c r="S27" s="30"/>
      <c r="T27" s="38">
        <f>SUM(T25:T26)</f>
        <v>16226.019999999999</v>
      </c>
      <c r="U27" s="30"/>
      <c r="V27" s="38">
        <f>SUM(V25:V26)</f>
        <v>15702.599999999999</v>
      </c>
      <c r="W27" s="30"/>
      <c r="X27" s="86">
        <f>SUM(X25:X26)</f>
        <v>15923.46</v>
      </c>
      <c r="Y27" s="30"/>
      <c r="Z27" s="37">
        <f>SUM(Z25:Z26)</f>
        <v>11224.8</v>
      </c>
      <c r="AA27" s="30"/>
      <c r="AB27" s="37">
        <f>SUM(AB25:AB26)</f>
        <v>11598.96</v>
      </c>
      <c r="AC27" s="40">
        <f t="shared" ref="AC27:AH27" si="15">SUM(AC25:AC26)</f>
        <v>2400</v>
      </c>
      <c r="AD27" s="40">
        <f t="shared" si="15"/>
        <v>200</v>
      </c>
      <c r="AE27" s="37">
        <f t="shared" si="15"/>
        <v>135096</v>
      </c>
      <c r="AF27" s="37">
        <f t="shared" si="15"/>
        <v>11258</v>
      </c>
      <c r="AG27" s="41">
        <f t="shared" si="15"/>
        <v>21432.799999999999</v>
      </c>
      <c r="AH27" s="41">
        <f t="shared" si="15"/>
        <v>23553.62</v>
      </c>
      <c r="AI27" s="41">
        <f>SUM(AI25:AI26)</f>
        <v>1000</v>
      </c>
      <c r="AJ27" s="42">
        <f>SUM(AJ25:AJ26)</f>
        <v>217591.86</v>
      </c>
    </row>
    <row r="28" spans="1:36" ht="54.95" customHeight="1" x14ac:dyDescent="0.25">
      <c r="A28" s="35"/>
      <c r="B28" s="27" t="s">
        <v>39</v>
      </c>
      <c r="C28" s="28" t="s">
        <v>31</v>
      </c>
      <c r="D28" s="29">
        <v>74.63</v>
      </c>
      <c r="E28" s="30">
        <v>3</v>
      </c>
      <c r="F28" s="31">
        <f t="shared" si="0"/>
        <v>6940.5899999999992</v>
      </c>
      <c r="G28" s="30">
        <v>3</v>
      </c>
      <c r="H28" s="31">
        <f t="shared" si="1"/>
        <v>6268.92</v>
      </c>
      <c r="I28" s="30">
        <v>3</v>
      </c>
      <c r="J28" s="31">
        <f t="shared" si="2"/>
        <v>6940.5899999999992</v>
      </c>
      <c r="K28" s="30">
        <v>3</v>
      </c>
      <c r="L28" s="31">
        <f t="shared" si="3"/>
        <v>6716.6999999999989</v>
      </c>
      <c r="M28" s="30">
        <v>3</v>
      </c>
      <c r="N28" s="31">
        <f t="shared" si="11"/>
        <v>6940.5899999999992</v>
      </c>
      <c r="O28" s="30">
        <v>3</v>
      </c>
      <c r="P28" s="31">
        <f>D28*30*2+1119.45</f>
        <v>5597.2499999999991</v>
      </c>
      <c r="Q28" s="30">
        <v>3</v>
      </c>
      <c r="R28" s="31">
        <f>D28*31*4</f>
        <v>9254.119999999999</v>
      </c>
      <c r="S28" s="30">
        <v>3</v>
      </c>
      <c r="T28" s="31">
        <f>D28*31*S28+35.34</f>
        <v>6975.9299999999994</v>
      </c>
      <c r="U28" s="30">
        <v>3</v>
      </c>
      <c r="V28" s="31">
        <f>D28*30*U28</f>
        <v>6716.6999999999989</v>
      </c>
      <c r="W28" s="30">
        <v>3</v>
      </c>
      <c r="X28" s="31">
        <f>D28*31*W28+41.23</f>
        <v>6981.8199999999988</v>
      </c>
      <c r="Y28" s="30">
        <v>3</v>
      </c>
      <c r="Z28" s="31">
        <f t="shared" si="8"/>
        <v>6716.6999999999989</v>
      </c>
      <c r="AA28" s="30">
        <v>3</v>
      </c>
      <c r="AB28" s="31">
        <f t="shared" si="9"/>
        <v>6940.5899999999992</v>
      </c>
      <c r="AC28" s="43">
        <v>0</v>
      </c>
      <c r="AD28" s="43">
        <v>0</v>
      </c>
      <c r="AE28" s="31">
        <f t="shared" ref="AE28:AE44" si="16">AF28*12</f>
        <v>81144</v>
      </c>
      <c r="AF28" s="31">
        <f>2254*3</f>
        <v>6762</v>
      </c>
      <c r="AG28" s="31">
        <f>(((Z28+AD28+AF28-750)/365)*365)</f>
        <v>12728.699999999999</v>
      </c>
      <c r="AH28" s="31">
        <f>(((F28+H28+J28+L28+N28+P28+R28+T28+V28+X28+Z28+AB28+AC28+AE28)-9000)/12)</f>
        <v>12927.875</v>
      </c>
      <c r="AI28" s="33">
        <f>(((200/365)*365))*3</f>
        <v>600</v>
      </c>
      <c r="AJ28" s="34">
        <f t="shared" ref="AJ28:AJ44" si="17">F28+H28+J28+L28+N28+P28+R28+T28+V28+X28+Z28+AB28+AD28+AF28+AG28+AH28+AI28</f>
        <v>116009.07499999998</v>
      </c>
    </row>
    <row r="29" spans="1:36" ht="54.95" customHeight="1" x14ac:dyDescent="0.25">
      <c r="A29" s="35"/>
      <c r="B29" s="27" t="s">
        <v>39</v>
      </c>
      <c r="C29" s="36" t="s">
        <v>34</v>
      </c>
      <c r="D29" s="29">
        <v>78.25</v>
      </c>
      <c r="E29" s="30">
        <v>1</v>
      </c>
      <c r="F29" s="31">
        <f t="shared" si="0"/>
        <v>2425.75</v>
      </c>
      <c r="G29" s="30">
        <v>1</v>
      </c>
      <c r="H29" s="31">
        <f t="shared" si="1"/>
        <v>2191</v>
      </c>
      <c r="I29" s="30">
        <v>1</v>
      </c>
      <c r="J29" s="31">
        <f t="shared" si="2"/>
        <v>2425.75</v>
      </c>
      <c r="K29" s="30">
        <v>1</v>
      </c>
      <c r="L29" s="31">
        <f t="shared" si="3"/>
        <v>2347.5</v>
      </c>
      <c r="M29" s="30">
        <v>1</v>
      </c>
      <c r="N29" s="31">
        <f t="shared" si="11"/>
        <v>2425.75</v>
      </c>
      <c r="O29" s="30">
        <v>1</v>
      </c>
      <c r="P29" s="31">
        <f t="shared" si="4"/>
        <v>2347.5</v>
      </c>
      <c r="Q29" s="30">
        <v>1</v>
      </c>
      <c r="R29" s="31">
        <f t="shared" si="5"/>
        <v>2425.75</v>
      </c>
      <c r="S29" s="30">
        <v>1</v>
      </c>
      <c r="T29" s="31">
        <f t="shared" si="12"/>
        <v>2425.75</v>
      </c>
      <c r="U29" s="30">
        <v>1</v>
      </c>
      <c r="V29" s="31">
        <f t="shared" si="6"/>
        <v>2347.5</v>
      </c>
      <c r="W29" s="30">
        <v>1</v>
      </c>
      <c r="X29" s="31">
        <f t="shared" si="7"/>
        <v>2425.75</v>
      </c>
      <c r="Y29" s="30">
        <v>1</v>
      </c>
      <c r="Z29" s="31">
        <f t="shared" si="8"/>
        <v>2347.5</v>
      </c>
      <c r="AA29" s="30">
        <v>1</v>
      </c>
      <c r="AB29" s="31">
        <f t="shared" si="9"/>
        <v>2425.75</v>
      </c>
      <c r="AC29" s="43">
        <v>0</v>
      </c>
      <c r="AD29" s="43">
        <v>0</v>
      </c>
      <c r="AE29" s="31">
        <f t="shared" si="16"/>
        <v>27000</v>
      </c>
      <c r="AF29" s="31">
        <f>2250</f>
        <v>2250</v>
      </c>
      <c r="AG29" s="31">
        <f>(((Z29+AD29+AF29-250)/365)*365)</f>
        <v>4347.5</v>
      </c>
      <c r="AH29" s="31">
        <f>(((F29+H29+J29+L29+N29+P29+R29+T29+V29+X29+Z29+AB29+AC29+AE29)-300)/12)</f>
        <v>4605.104166666667</v>
      </c>
      <c r="AI29" s="33">
        <f>(((200/365)*365))*1</f>
        <v>200</v>
      </c>
      <c r="AJ29" s="34">
        <f t="shared" si="17"/>
        <v>39963.854166666664</v>
      </c>
    </row>
    <row r="30" spans="1:36" ht="54.95" customHeight="1" x14ac:dyDescent="0.25">
      <c r="A30" s="35"/>
      <c r="B30" s="27" t="s">
        <v>39</v>
      </c>
      <c r="C30" s="28" t="s">
        <v>32</v>
      </c>
      <c r="D30" s="29">
        <v>75.64</v>
      </c>
      <c r="E30" s="30">
        <v>13</v>
      </c>
      <c r="F30" s="31">
        <f t="shared" si="0"/>
        <v>30482.920000000002</v>
      </c>
      <c r="G30" s="30">
        <v>13</v>
      </c>
      <c r="H30" s="31">
        <f t="shared" si="1"/>
        <v>27532.959999999999</v>
      </c>
      <c r="I30" s="30">
        <v>13</v>
      </c>
      <c r="J30" s="31">
        <f t="shared" si="2"/>
        <v>30482.920000000002</v>
      </c>
      <c r="K30" s="30">
        <v>13</v>
      </c>
      <c r="L30" s="31">
        <f t="shared" si="3"/>
        <v>29499.599999999999</v>
      </c>
      <c r="M30" s="30">
        <v>13</v>
      </c>
      <c r="N30" s="31">
        <f t="shared" si="11"/>
        <v>30482.920000000002</v>
      </c>
      <c r="O30" s="30">
        <v>13</v>
      </c>
      <c r="P30" s="31">
        <f t="shared" si="4"/>
        <v>29499.599999999999</v>
      </c>
      <c r="Q30" s="30">
        <v>13</v>
      </c>
      <c r="R30" s="31">
        <f>D30*31*Q30+D30*15</f>
        <v>31617.52</v>
      </c>
      <c r="S30" s="30">
        <v>14</v>
      </c>
      <c r="T30" s="31">
        <f t="shared" si="12"/>
        <v>32827.760000000002</v>
      </c>
      <c r="U30" s="30">
        <v>13</v>
      </c>
      <c r="V30" s="31">
        <f t="shared" si="6"/>
        <v>29499.599999999999</v>
      </c>
      <c r="W30" s="30">
        <v>13</v>
      </c>
      <c r="X30" s="31">
        <f>D30*31*12+4614.04</f>
        <v>32752.120000000003</v>
      </c>
      <c r="Y30" s="30">
        <v>13</v>
      </c>
      <c r="Z30" s="31">
        <f t="shared" si="8"/>
        <v>29499.599999999999</v>
      </c>
      <c r="AA30" s="30">
        <v>13</v>
      </c>
      <c r="AB30" s="31">
        <f t="shared" si="9"/>
        <v>30482.920000000002</v>
      </c>
      <c r="AC30" s="43">
        <f>AD30*12</f>
        <v>6000</v>
      </c>
      <c r="AD30" s="43">
        <f>50+50+50+50+75+75+50+50+50</f>
        <v>500</v>
      </c>
      <c r="AE30" s="31">
        <f t="shared" si="16"/>
        <v>351000</v>
      </c>
      <c r="AF30" s="31">
        <f>2250*13</f>
        <v>29250</v>
      </c>
      <c r="AG30" s="31">
        <f>(((Z30+AD30+AF30-3250)/365)*365)</f>
        <v>55999.600000000006</v>
      </c>
      <c r="AH30" s="31">
        <f>(((F30+H30+J30+L30+N30+P30+R30+T30+V30+X30+Z30+AB30+AC30+AE30)-39000)/12)</f>
        <v>56888.369999999995</v>
      </c>
      <c r="AI30" s="33">
        <f>(((200/365)*365))*13</f>
        <v>2600</v>
      </c>
      <c r="AJ30" s="34">
        <f t="shared" si="17"/>
        <v>509898.40999999992</v>
      </c>
    </row>
    <row r="31" spans="1:36" ht="54.95" customHeight="1" x14ac:dyDescent="0.25">
      <c r="A31" s="35"/>
      <c r="B31" s="27" t="s">
        <v>39</v>
      </c>
      <c r="C31" s="28" t="s">
        <v>33</v>
      </c>
      <c r="D31" s="29">
        <v>71.400000000000006</v>
      </c>
      <c r="E31" s="30">
        <v>11</v>
      </c>
      <c r="F31" s="31">
        <f t="shared" si="0"/>
        <v>24347.4</v>
      </c>
      <c r="G31" s="30">
        <v>11</v>
      </c>
      <c r="H31" s="31">
        <f t="shared" si="1"/>
        <v>21991.200000000004</v>
      </c>
      <c r="I31" s="30">
        <v>11</v>
      </c>
      <c r="J31" s="31">
        <f t="shared" si="2"/>
        <v>24347.4</v>
      </c>
      <c r="K31" s="30">
        <v>11</v>
      </c>
      <c r="L31" s="31">
        <f>D31*30*10+D31*1</f>
        <v>21491.4</v>
      </c>
      <c r="M31" s="30">
        <v>11</v>
      </c>
      <c r="N31" s="31">
        <f>D31*31*9</f>
        <v>19920.600000000002</v>
      </c>
      <c r="O31" s="30">
        <v>11</v>
      </c>
      <c r="P31" s="31">
        <f>D31*30*8</f>
        <v>17136</v>
      </c>
      <c r="Q31" s="30">
        <v>11</v>
      </c>
      <c r="R31" s="31">
        <f>D31*31*Q31-1595.49</f>
        <v>22751.91</v>
      </c>
      <c r="S31" s="30">
        <v>11</v>
      </c>
      <c r="T31" s="31">
        <f t="shared" si="12"/>
        <v>24347.4</v>
      </c>
      <c r="U31" s="30">
        <v>11</v>
      </c>
      <c r="V31" s="31">
        <f>D31*30*9-121.5</f>
        <v>19156.5</v>
      </c>
      <c r="W31" s="30">
        <v>11</v>
      </c>
      <c r="X31" s="31">
        <f>D31*31*10+1142.4</f>
        <v>23276.400000000001</v>
      </c>
      <c r="Y31" s="30">
        <v>11</v>
      </c>
      <c r="Z31" s="31">
        <f t="shared" si="8"/>
        <v>23562</v>
      </c>
      <c r="AA31" s="30">
        <v>11</v>
      </c>
      <c r="AB31" s="31">
        <f t="shared" si="9"/>
        <v>24347.4</v>
      </c>
      <c r="AC31" s="43">
        <f>AD31*12</f>
        <v>5400</v>
      </c>
      <c r="AD31" s="43">
        <f>75+75+50+50+50+75+75</f>
        <v>450</v>
      </c>
      <c r="AE31" s="31">
        <f t="shared" si="16"/>
        <v>303288</v>
      </c>
      <c r="AF31" s="31">
        <f>2276+2301+2301+2301+2316+2301+2276+2351+2351+2250+2250</f>
        <v>25274</v>
      </c>
      <c r="AG31" s="31">
        <f>(((Z31+AD31+AF31-2750)/365)*365)</f>
        <v>46536</v>
      </c>
      <c r="AH31" s="31">
        <f>(((F31+H31+J31+L31+N31+P31+R31+T31+V31+X31+Z31+AB31+AC31+AE31)-33000)/12)</f>
        <v>45196.967499999999</v>
      </c>
      <c r="AI31" s="33">
        <f>(((200/365)*365))*11</f>
        <v>2200</v>
      </c>
      <c r="AJ31" s="34">
        <f t="shared" si="17"/>
        <v>386332.57750000001</v>
      </c>
    </row>
    <row r="32" spans="1:36" ht="54.95" customHeight="1" x14ac:dyDescent="0.25">
      <c r="A32" s="35"/>
      <c r="B32" s="27" t="s">
        <v>39</v>
      </c>
      <c r="C32" s="44" t="s">
        <v>40</v>
      </c>
      <c r="D32" s="29">
        <v>72.540000000000006</v>
      </c>
      <c r="E32" s="30">
        <v>5</v>
      </c>
      <c r="F32" s="31">
        <f t="shared" si="0"/>
        <v>11243.7</v>
      </c>
      <c r="G32" s="30">
        <v>5</v>
      </c>
      <c r="H32" s="31">
        <f t="shared" si="1"/>
        <v>10155.6</v>
      </c>
      <c r="I32" s="30">
        <v>5</v>
      </c>
      <c r="J32" s="31">
        <f t="shared" si="2"/>
        <v>11243.7</v>
      </c>
      <c r="K32" s="30">
        <v>5</v>
      </c>
      <c r="L32" s="31">
        <f t="shared" si="3"/>
        <v>10881.000000000002</v>
      </c>
      <c r="M32" s="30">
        <v>5</v>
      </c>
      <c r="N32" s="31">
        <f t="shared" si="11"/>
        <v>11243.7</v>
      </c>
      <c r="O32" s="30">
        <v>5</v>
      </c>
      <c r="P32" s="31">
        <f t="shared" si="4"/>
        <v>10881.000000000002</v>
      </c>
      <c r="Q32" s="30">
        <v>5</v>
      </c>
      <c r="R32" s="31">
        <f>D32*31*Q32+D32*15</f>
        <v>12331.800000000001</v>
      </c>
      <c r="S32" s="30">
        <v>6</v>
      </c>
      <c r="T32" s="31">
        <f t="shared" si="12"/>
        <v>13492.440000000002</v>
      </c>
      <c r="U32" s="30">
        <v>5</v>
      </c>
      <c r="V32" s="31">
        <f>D32*30*U32</f>
        <v>10881.000000000002</v>
      </c>
      <c r="W32" s="30">
        <v>5</v>
      </c>
      <c r="X32" s="31">
        <f>D32*31*4+4424.94</f>
        <v>13419.900000000001</v>
      </c>
      <c r="Y32" s="30">
        <v>5</v>
      </c>
      <c r="Z32" s="31">
        <f t="shared" si="8"/>
        <v>10881.000000000002</v>
      </c>
      <c r="AA32" s="30">
        <v>5</v>
      </c>
      <c r="AB32" s="31">
        <f t="shared" si="9"/>
        <v>11243.7</v>
      </c>
      <c r="AC32" s="43">
        <f>AD32*12</f>
        <v>600</v>
      </c>
      <c r="AD32" s="43">
        <f>50</f>
        <v>50</v>
      </c>
      <c r="AE32" s="31">
        <f t="shared" si="16"/>
        <v>138600</v>
      </c>
      <c r="AF32" s="31">
        <f>2317*4+2282</f>
        <v>11550</v>
      </c>
      <c r="AG32" s="31">
        <f>(((Z32+AD32+AF32-1250)/365)*365)</f>
        <v>21231</v>
      </c>
      <c r="AH32" s="31">
        <f>(((F32+H32+J32+L32+N32+P32+R32+T32+V32+X32+Z32+AB32+AC32+AE32)-15000)/12)</f>
        <v>21841.545000000002</v>
      </c>
      <c r="AI32" s="33">
        <f>(((200/365)*365))*5</f>
        <v>1000</v>
      </c>
      <c r="AJ32" s="34">
        <f t="shared" si="17"/>
        <v>193571.08500000005</v>
      </c>
    </row>
    <row r="33" spans="1:36" ht="54.95" customHeight="1" x14ac:dyDescent="0.25">
      <c r="A33" s="35"/>
      <c r="B33" s="27" t="s">
        <v>39</v>
      </c>
      <c r="C33" s="45" t="s">
        <v>41</v>
      </c>
      <c r="D33" s="29">
        <v>78.25</v>
      </c>
      <c r="E33" s="30">
        <v>2</v>
      </c>
      <c r="F33" s="31">
        <f t="shared" si="0"/>
        <v>4851.5</v>
      </c>
      <c r="G33" s="30">
        <v>2</v>
      </c>
      <c r="H33" s="31">
        <f t="shared" si="1"/>
        <v>4382</v>
      </c>
      <c r="I33" s="30">
        <v>2</v>
      </c>
      <c r="J33" s="31">
        <f t="shared" si="2"/>
        <v>4851.5</v>
      </c>
      <c r="K33" s="30">
        <v>2</v>
      </c>
      <c r="L33" s="31">
        <f t="shared" si="3"/>
        <v>4695</v>
      </c>
      <c r="M33" s="30">
        <v>2</v>
      </c>
      <c r="N33" s="31">
        <f t="shared" si="11"/>
        <v>4851.5</v>
      </c>
      <c r="O33" s="30">
        <v>2</v>
      </c>
      <c r="P33" s="31">
        <f t="shared" si="4"/>
        <v>4695</v>
      </c>
      <c r="Q33" s="30">
        <v>2</v>
      </c>
      <c r="R33" s="31">
        <f>D33*31*Q33+D33*15</f>
        <v>6025.25</v>
      </c>
      <c r="S33" s="30">
        <v>3</v>
      </c>
      <c r="T33" s="31">
        <f t="shared" si="12"/>
        <v>7277.25</v>
      </c>
      <c r="U33" s="30">
        <v>2</v>
      </c>
      <c r="V33" s="31">
        <f t="shared" si="6"/>
        <v>4695</v>
      </c>
      <c r="W33" s="30">
        <v>2</v>
      </c>
      <c r="X33" s="31">
        <f>D33*31*W33+4773.25</f>
        <v>9624.75</v>
      </c>
      <c r="Y33" s="30">
        <v>2</v>
      </c>
      <c r="Z33" s="31">
        <f t="shared" si="8"/>
        <v>4695</v>
      </c>
      <c r="AA33" s="30">
        <v>2</v>
      </c>
      <c r="AB33" s="31">
        <f t="shared" si="9"/>
        <v>4851.5</v>
      </c>
      <c r="AC33" s="43">
        <f>AD33*12</f>
        <v>900</v>
      </c>
      <c r="AD33" s="43">
        <f>75</f>
        <v>75</v>
      </c>
      <c r="AE33" s="31">
        <f t="shared" si="16"/>
        <v>54000</v>
      </c>
      <c r="AF33" s="31">
        <f>2250*2</f>
        <v>4500</v>
      </c>
      <c r="AG33" s="31">
        <f t="shared" ref="AG33:AG43" si="18">(((Z33+AD33+AF33-500)/365)*365)</f>
        <v>8770</v>
      </c>
      <c r="AH33" s="31">
        <f>(((F33+H33+J33+L33+N33+P33+R33+T33+V33+X33+Z33+AB33+AC33+AE33)-6000)/12)</f>
        <v>9532.9375</v>
      </c>
      <c r="AI33" s="33">
        <f>(((200/365)*365))*2</f>
        <v>400</v>
      </c>
      <c r="AJ33" s="34">
        <f t="shared" si="17"/>
        <v>88773.1875</v>
      </c>
    </row>
    <row r="34" spans="1:36" ht="54.95" customHeight="1" x14ac:dyDescent="0.25">
      <c r="A34" s="35"/>
      <c r="B34" s="27" t="s">
        <v>39</v>
      </c>
      <c r="C34" s="28" t="s">
        <v>42</v>
      </c>
      <c r="D34" s="29">
        <v>71.400000000000006</v>
      </c>
      <c r="E34" s="30">
        <v>1</v>
      </c>
      <c r="F34" s="31">
        <f t="shared" si="0"/>
        <v>2213.4</v>
      </c>
      <c r="G34" s="30">
        <v>1</v>
      </c>
      <c r="H34" s="31">
        <f t="shared" si="1"/>
        <v>1999.2000000000003</v>
      </c>
      <c r="I34" s="30">
        <v>1</v>
      </c>
      <c r="J34" s="31">
        <f t="shared" si="2"/>
        <v>2213.4</v>
      </c>
      <c r="K34" s="30">
        <v>1</v>
      </c>
      <c r="L34" s="31">
        <f t="shared" si="3"/>
        <v>2142</v>
      </c>
      <c r="M34" s="30">
        <v>1</v>
      </c>
      <c r="N34" s="31">
        <f t="shared" si="11"/>
        <v>2213.4</v>
      </c>
      <c r="O34" s="30">
        <v>1</v>
      </c>
      <c r="P34" s="31">
        <f t="shared" si="4"/>
        <v>2142</v>
      </c>
      <c r="Q34" s="30">
        <v>1</v>
      </c>
      <c r="R34" s="31">
        <f t="shared" si="5"/>
        <v>2213.4</v>
      </c>
      <c r="S34" s="30">
        <v>1</v>
      </c>
      <c r="T34" s="31">
        <f t="shared" si="12"/>
        <v>2213.4</v>
      </c>
      <c r="U34" s="30">
        <v>1</v>
      </c>
      <c r="V34" s="31">
        <f t="shared" si="6"/>
        <v>2142</v>
      </c>
      <c r="W34" s="30">
        <v>1</v>
      </c>
      <c r="X34" s="31">
        <f t="shared" si="7"/>
        <v>2213.4</v>
      </c>
      <c r="Y34" s="30">
        <v>1</v>
      </c>
      <c r="Z34" s="31">
        <f t="shared" si="8"/>
        <v>2142</v>
      </c>
      <c r="AA34" s="30">
        <v>1</v>
      </c>
      <c r="AB34" s="31">
        <f t="shared" si="9"/>
        <v>2213.4</v>
      </c>
      <c r="AC34" s="43">
        <v>0</v>
      </c>
      <c r="AD34" s="43">
        <v>0</v>
      </c>
      <c r="AE34" s="31">
        <f t="shared" si="16"/>
        <v>28212</v>
      </c>
      <c r="AF34" s="31">
        <f>2351</f>
        <v>2351</v>
      </c>
      <c r="AG34" s="31">
        <f>(((Z34+AD34+AF34-250)/365)*365)</f>
        <v>4243</v>
      </c>
      <c r="AH34" s="31">
        <f>(((F34+H34+J34+L34+N34+P34+R34+T34+V34+X34+Z34+AB34+AC34+AE34)-3000)/12)</f>
        <v>4272.75</v>
      </c>
      <c r="AI34" s="33">
        <f>(((200/365)*365))*1</f>
        <v>200</v>
      </c>
      <c r="AJ34" s="34">
        <f t="shared" si="17"/>
        <v>37127.75</v>
      </c>
    </row>
    <row r="35" spans="1:36" ht="54.95" customHeight="1" x14ac:dyDescent="0.25">
      <c r="A35" s="35"/>
      <c r="B35" s="27" t="s">
        <v>39</v>
      </c>
      <c r="C35" s="28" t="s">
        <v>43</v>
      </c>
      <c r="D35" s="29">
        <v>72.540000000000006</v>
      </c>
      <c r="E35" s="30">
        <v>1</v>
      </c>
      <c r="F35" s="31">
        <f t="shared" si="0"/>
        <v>2248.7400000000002</v>
      </c>
      <c r="G35" s="30">
        <v>1</v>
      </c>
      <c r="H35" s="31">
        <f t="shared" si="1"/>
        <v>2031.1200000000001</v>
      </c>
      <c r="I35" s="30">
        <v>1</v>
      </c>
      <c r="J35" s="31">
        <f t="shared" si="2"/>
        <v>2248.7400000000002</v>
      </c>
      <c r="K35" s="30">
        <v>1</v>
      </c>
      <c r="L35" s="31">
        <f t="shared" si="3"/>
        <v>2176.2000000000003</v>
      </c>
      <c r="M35" s="30">
        <v>1</v>
      </c>
      <c r="N35" s="31">
        <f t="shared" si="11"/>
        <v>2248.7400000000002</v>
      </c>
      <c r="O35" s="30">
        <v>1</v>
      </c>
      <c r="P35" s="31">
        <f t="shared" si="4"/>
        <v>2176.2000000000003</v>
      </c>
      <c r="Q35" s="30">
        <v>1</v>
      </c>
      <c r="R35" s="31">
        <f t="shared" si="5"/>
        <v>2248.7400000000002</v>
      </c>
      <c r="S35" s="30">
        <v>1</v>
      </c>
      <c r="T35" s="31">
        <f t="shared" si="12"/>
        <v>2248.7400000000002</v>
      </c>
      <c r="U35" s="30">
        <v>1</v>
      </c>
      <c r="V35" s="31">
        <f t="shared" si="6"/>
        <v>2176.2000000000003</v>
      </c>
      <c r="W35" s="30">
        <v>1</v>
      </c>
      <c r="X35" s="31">
        <f t="shared" si="7"/>
        <v>2248.7400000000002</v>
      </c>
      <c r="Y35" s="30">
        <v>1</v>
      </c>
      <c r="Z35" s="31">
        <f t="shared" si="8"/>
        <v>2176.2000000000003</v>
      </c>
      <c r="AA35" s="30">
        <v>1</v>
      </c>
      <c r="AB35" s="31">
        <f t="shared" si="9"/>
        <v>2248.7400000000002</v>
      </c>
      <c r="AC35" s="43">
        <f>AD35*12</f>
        <v>600</v>
      </c>
      <c r="AD35" s="43">
        <f>50</f>
        <v>50</v>
      </c>
      <c r="AE35" s="31">
        <f t="shared" si="16"/>
        <v>27204</v>
      </c>
      <c r="AF35" s="31">
        <f>2267</f>
        <v>2267</v>
      </c>
      <c r="AG35" s="31">
        <f>(((Z35+AD35+AF35-250)/365)*365)</f>
        <v>4243.2000000000007</v>
      </c>
      <c r="AH35" s="31">
        <f>(((F35+H35+J35+L35+N35+P35+R35+T35+V35+X35+Z35+AB35+AC35+AE35)-3000)/12)</f>
        <v>4273.4250000000002</v>
      </c>
      <c r="AI35" s="33">
        <f>(((200/365)*365))*1</f>
        <v>200</v>
      </c>
      <c r="AJ35" s="34">
        <f t="shared" si="17"/>
        <v>37510.725000000006</v>
      </c>
    </row>
    <row r="36" spans="1:36" ht="54.95" customHeight="1" x14ac:dyDescent="0.25">
      <c r="A36" s="35"/>
      <c r="B36" s="27" t="s">
        <v>39</v>
      </c>
      <c r="C36" s="28" t="s">
        <v>44</v>
      </c>
      <c r="D36" s="29">
        <v>73.59</v>
      </c>
      <c r="E36" s="30">
        <v>1</v>
      </c>
      <c r="F36" s="31">
        <f t="shared" si="0"/>
        <v>2281.29</v>
      </c>
      <c r="G36" s="30">
        <v>1</v>
      </c>
      <c r="H36" s="31">
        <f t="shared" si="1"/>
        <v>2060.52</v>
      </c>
      <c r="I36" s="30">
        <v>1</v>
      </c>
      <c r="J36" s="31">
        <f t="shared" si="2"/>
        <v>2281.29</v>
      </c>
      <c r="K36" s="30">
        <v>1</v>
      </c>
      <c r="L36" s="31">
        <f t="shared" si="3"/>
        <v>2207.7000000000003</v>
      </c>
      <c r="M36" s="30">
        <v>1</v>
      </c>
      <c r="N36" s="31">
        <f t="shared" si="11"/>
        <v>2281.29</v>
      </c>
      <c r="O36" s="30">
        <v>1</v>
      </c>
      <c r="P36" s="31">
        <f t="shared" si="4"/>
        <v>2207.7000000000003</v>
      </c>
      <c r="Q36" s="30">
        <v>1</v>
      </c>
      <c r="R36" s="31">
        <f t="shared" si="5"/>
        <v>2281.29</v>
      </c>
      <c r="S36" s="30">
        <v>1</v>
      </c>
      <c r="T36" s="31">
        <f t="shared" si="12"/>
        <v>2281.29</v>
      </c>
      <c r="U36" s="30">
        <v>1</v>
      </c>
      <c r="V36" s="31">
        <f t="shared" si="6"/>
        <v>2207.7000000000003</v>
      </c>
      <c r="W36" s="30">
        <v>1</v>
      </c>
      <c r="X36" s="31">
        <f t="shared" si="7"/>
        <v>2281.29</v>
      </c>
      <c r="Y36" s="30">
        <v>1</v>
      </c>
      <c r="Z36" s="31">
        <f t="shared" si="8"/>
        <v>2207.7000000000003</v>
      </c>
      <c r="AA36" s="30">
        <v>1</v>
      </c>
      <c r="AB36" s="31">
        <f t="shared" si="9"/>
        <v>2281.29</v>
      </c>
      <c r="AC36" s="43">
        <f>AD36*12</f>
        <v>900</v>
      </c>
      <c r="AD36" s="43">
        <f>75</f>
        <v>75</v>
      </c>
      <c r="AE36" s="31">
        <f t="shared" si="16"/>
        <v>27000</v>
      </c>
      <c r="AF36" s="31">
        <f>2250</f>
        <v>2250</v>
      </c>
      <c r="AG36" s="31">
        <f>(((Z36+AD36+AF36-250)/365)*365)</f>
        <v>4282.7000000000007</v>
      </c>
      <c r="AH36" s="31">
        <f>(((F36+H36+J36+L36+N36+P36+R36+T36+V36+X36+Z36+AB36+AC36+AE36)-3000)/12)</f>
        <v>4313.3625000000002</v>
      </c>
      <c r="AI36" s="33">
        <f>(((200/365)*365))*1</f>
        <v>200</v>
      </c>
      <c r="AJ36" s="34">
        <f t="shared" si="17"/>
        <v>37981.412500000006</v>
      </c>
    </row>
    <row r="37" spans="1:36" ht="54.95" customHeight="1" x14ac:dyDescent="0.25">
      <c r="A37" s="35"/>
      <c r="B37" s="27" t="s">
        <v>39</v>
      </c>
      <c r="C37" s="28" t="s">
        <v>45</v>
      </c>
      <c r="D37" s="29">
        <v>75.64</v>
      </c>
      <c r="E37" s="30">
        <v>1</v>
      </c>
      <c r="F37" s="31">
        <f t="shared" si="0"/>
        <v>2344.84</v>
      </c>
      <c r="G37" s="30">
        <v>1</v>
      </c>
      <c r="H37" s="31">
        <f t="shared" si="1"/>
        <v>2117.92</v>
      </c>
      <c r="I37" s="30">
        <v>1</v>
      </c>
      <c r="J37" s="31">
        <f t="shared" si="2"/>
        <v>2344.84</v>
      </c>
      <c r="K37" s="30">
        <v>1</v>
      </c>
      <c r="L37" s="31">
        <f t="shared" si="3"/>
        <v>2269.1999999999998</v>
      </c>
      <c r="M37" s="30">
        <v>1</v>
      </c>
      <c r="N37" s="31">
        <f t="shared" si="11"/>
        <v>2344.84</v>
      </c>
      <c r="O37" s="30">
        <v>1</v>
      </c>
      <c r="P37" s="31">
        <f t="shared" si="4"/>
        <v>2269.1999999999998</v>
      </c>
      <c r="Q37" s="30">
        <v>1</v>
      </c>
      <c r="R37" s="31">
        <f t="shared" si="5"/>
        <v>2344.84</v>
      </c>
      <c r="S37" s="30">
        <v>1</v>
      </c>
      <c r="T37" s="31">
        <f t="shared" si="12"/>
        <v>2344.84</v>
      </c>
      <c r="U37" s="30">
        <v>1</v>
      </c>
      <c r="V37" s="31">
        <f t="shared" si="6"/>
        <v>2269.1999999999998</v>
      </c>
      <c r="W37" s="30">
        <v>1</v>
      </c>
      <c r="X37" s="31">
        <f t="shared" si="7"/>
        <v>2344.84</v>
      </c>
      <c r="Y37" s="30">
        <v>1</v>
      </c>
      <c r="Z37" s="31">
        <f t="shared" si="8"/>
        <v>2269.1999999999998</v>
      </c>
      <c r="AA37" s="30">
        <v>1</v>
      </c>
      <c r="AB37" s="31">
        <f t="shared" si="9"/>
        <v>2344.84</v>
      </c>
      <c r="AC37" s="43">
        <v>0</v>
      </c>
      <c r="AD37" s="43">
        <v>0</v>
      </c>
      <c r="AE37" s="31">
        <f t="shared" si="16"/>
        <v>27000</v>
      </c>
      <c r="AF37" s="31">
        <f>2250</f>
        <v>2250</v>
      </c>
      <c r="AG37" s="31">
        <f>(((Z37+AD37+AF37-250)/365)*365)</f>
        <v>4269.2</v>
      </c>
      <c r="AH37" s="31">
        <f>(((F37+H37+J37+L37+N37+P37+R37+T37+V37+X37+Z37+AB37+AC37+AE37)-3000)/12)</f>
        <v>4300.7166666666672</v>
      </c>
      <c r="AI37" s="33">
        <f>(((200/365)*365))*1</f>
        <v>200</v>
      </c>
      <c r="AJ37" s="34">
        <f t="shared" si="17"/>
        <v>38628.51666666667</v>
      </c>
    </row>
    <row r="38" spans="1:36" ht="54.95" customHeight="1" x14ac:dyDescent="0.25">
      <c r="A38" s="35"/>
      <c r="B38" s="27" t="s">
        <v>39</v>
      </c>
      <c r="C38" s="28" t="s">
        <v>46</v>
      </c>
      <c r="D38" s="29">
        <v>74.63</v>
      </c>
      <c r="E38" s="30">
        <v>1</v>
      </c>
      <c r="F38" s="31">
        <f t="shared" si="0"/>
        <v>2313.5299999999997</v>
      </c>
      <c r="G38" s="30">
        <v>1</v>
      </c>
      <c r="H38" s="31">
        <f t="shared" si="1"/>
        <v>2089.64</v>
      </c>
      <c r="I38" s="30">
        <v>1</v>
      </c>
      <c r="J38" s="31">
        <f t="shared" si="2"/>
        <v>2313.5299999999997</v>
      </c>
      <c r="K38" s="30">
        <v>1</v>
      </c>
      <c r="L38" s="31">
        <f t="shared" si="3"/>
        <v>2238.8999999999996</v>
      </c>
      <c r="M38" s="30">
        <v>1</v>
      </c>
      <c r="N38" s="31">
        <f t="shared" si="11"/>
        <v>2313.5299999999997</v>
      </c>
      <c r="O38" s="30">
        <v>1</v>
      </c>
      <c r="P38" s="31">
        <f t="shared" si="4"/>
        <v>2238.8999999999996</v>
      </c>
      <c r="Q38" s="30">
        <v>1</v>
      </c>
      <c r="R38" s="31">
        <f t="shared" si="5"/>
        <v>2313.5299999999997</v>
      </c>
      <c r="S38" s="30">
        <v>1</v>
      </c>
      <c r="T38" s="31">
        <f t="shared" si="12"/>
        <v>2313.5299999999997</v>
      </c>
      <c r="U38" s="30">
        <v>1</v>
      </c>
      <c r="V38" s="31">
        <f t="shared" si="6"/>
        <v>2238.8999999999996</v>
      </c>
      <c r="W38" s="30">
        <v>1</v>
      </c>
      <c r="X38" s="31">
        <f t="shared" si="7"/>
        <v>2313.5299999999997</v>
      </c>
      <c r="Y38" s="30">
        <v>1</v>
      </c>
      <c r="Z38" s="31">
        <f t="shared" si="8"/>
        <v>2238.8999999999996</v>
      </c>
      <c r="AA38" s="30">
        <v>1</v>
      </c>
      <c r="AB38" s="31">
        <f t="shared" si="9"/>
        <v>2313.5299999999997</v>
      </c>
      <c r="AC38" s="43">
        <f>AD38*12</f>
        <v>900</v>
      </c>
      <c r="AD38" s="43">
        <f>75</f>
        <v>75</v>
      </c>
      <c r="AE38" s="31">
        <f t="shared" si="16"/>
        <v>27000</v>
      </c>
      <c r="AF38" s="31">
        <f>2250</f>
        <v>2250</v>
      </c>
      <c r="AG38" s="31">
        <f>(((Z38+AD38+AF38-250)/365)*365)</f>
        <v>4313.8999999999996</v>
      </c>
      <c r="AH38" s="31">
        <f>(((F38+H38+J38+L38+N38+P38+R38+T38+V38+X38+Z38+AB38+AC38+AE38)-3000)/12)</f>
        <v>4344.9958333333334</v>
      </c>
      <c r="AI38" s="33">
        <f>(((200/365)*365))*1</f>
        <v>200</v>
      </c>
      <c r="AJ38" s="34">
        <f t="shared" si="17"/>
        <v>38423.845833333333</v>
      </c>
    </row>
    <row r="39" spans="1:36" ht="54.95" customHeight="1" x14ac:dyDescent="0.25">
      <c r="A39" s="35"/>
      <c r="B39" s="27" t="s">
        <v>39</v>
      </c>
      <c r="C39" s="28" t="s">
        <v>47</v>
      </c>
      <c r="D39" s="29">
        <v>74.63</v>
      </c>
      <c r="E39" s="30">
        <v>2</v>
      </c>
      <c r="F39" s="31">
        <f t="shared" si="0"/>
        <v>4627.0599999999995</v>
      </c>
      <c r="G39" s="30">
        <v>2</v>
      </c>
      <c r="H39" s="31">
        <f t="shared" si="1"/>
        <v>4179.28</v>
      </c>
      <c r="I39" s="30">
        <v>2</v>
      </c>
      <c r="J39" s="31">
        <f t="shared" si="2"/>
        <v>4627.0599999999995</v>
      </c>
      <c r="K39" s="30">
        <v>2</v>
      </c>
      <c r="L39" s="31">
        <f t="shared" si="3"/>
        <v>4477.7999999999993</v>
      </c>
      <c r="M39" s="30">
        <v>2</v>
      </c>
      <c r="N39" s="31">
        <f t="shared" si="11"/>
        <v>4627.0599999999995</v>
      </c>
      <c r="O39" s="30">
        <v>2</v>
      </c>
      <c r="P39" s="31">
        <f t="shared" si="4"/>
        <v>4477.7999999999993</v>
      </c>
      <c r="Q39" s="30">
        <v>2</v>
      </c>
      <c r="R39" s="31">
        <f t="shared" si="5"/>
        <v>4627.0599999999995</v>
      </c>
      <c r="S39" s="30">
        <v>2</v>
      </c>
      <c r="T39" s="31">
        <f t="shared" si="12"/>
        <v>4627.0599999999995</v>
      </c>
      <c r="U39" s="30">
        <v>2</v>
      </c>
      <c r="V39" s="31">
        <f t="shared" si="6"/>
        <v>4477.7999999999993</v>
      </c>
      <c r="W39" s="30">
        <v>2</v>
      </c>
      <c r="X39" s="31">
        <f t="shared" si="7"/>
        <v>4627.0599999999995</v>
      </c>
      <c r="Y39" s="30">
        <v>2</v>
      </c>
      <c r="Z39" s="31">
        <f t="shared" si="8"/>
        <v>4477.7999999999993</v>
      </c>
      <c r="AA39" s="30">
        <v>2</v>
      </c>
      <c r="AB39" s="31">
        <f t="shared" si="9"/>
        <v>4627.0599999999995</v>
      </c>
      <c r="AC39" s="43">
        <f>AD39*12</f>
        <v>600</v>
      </c>
      <c r="AD39" s="43">
        <f>50</f>
        <v>50</v>
      </c>
      <c r="AE39" s="31">
        <f t="shared" si="16"/>
        <v>54048</v>
      </c>
      <c r="AF39" s="31">
        <f>2250+2254</f>
        <v>4504</v>
      </c>
      <c r="AG39" s="31">
        <f t="shared" si="18"/>
        <v>8531.7999999999993</v>
      </c>
      <c r="AH39" s="31">
        <f t="shared" ref="AH39:AH43" si="19">(((F39+H39+J39+L39+N39+P39+R39+T39+V39+X39+Z39+AB39+AC39+AE39)-6000)/12)</f>
        <v>8593.9916666666668</v>
      </c>
      <c r="AI39" s="33">
        <f>(((200/365)*365))*2</f>
        <v>400</v>
      </c>
      <c r="AJ39" s="34">
        <f t="shared" si="17"/>
        <v>76559.691666666666</v>
      </c>
    </row>
    <row r="40" spans="1:36" ht="54.95" customHeight="1" x14ac:dyDescent="0.25">
      <c r="A40" s="35"/>
      <c r="B40" s="27" t="s">
        <v>39</v>
      </c>
      <c r="C40" s="28" t="s">
        <v>48</v>
      </c>
      <c r="D40" s="29">
        <v>73.59</v>
      </c>
      <c r="E40" s="30">
        <v>1</v>
      </c>
      <c r="F40" s="31">
        <f t="shared" si="0"/>
        <v>2281.29</v>
      </c>
      <c r="G40" s="30">
        <v>1</v>
      </c>
      <c r="H40" s="31">
        <f t="shared" si="1"/>
        <v>2060.52</v>
      </c>
      <c r="I40" s="30">
        <v>1</v>
      </c>
      <c r="J40" s="31">
        <f t="shared" si="2"/>
        <v>2281.29</v>
      </c>
      <c r="K40" s="30">
        <v>1</v>
      </c>
      <c r="L40" s="31">
        <f t="shared" si="3"/>
        <v>2207.7000000000003</v>
      </c>
      <c r="M40" s="30">
        <v>1</v>
      </c>
      <c r="N40" s="31">
        <f t="shared" si="11"/>
        <v>2281.29</v>
      </c>
      <c r="O40" s="30">
        <v>1</v>
      </c>
      <c r="P40" s="31">
        <f t="shared" si="4"/>
        <v>2207.7000000000003</v>
      </c>
      <c r="Q40" s="30">
        <v>1</v>
      </c>
      <c r="R40" s="31">
        <f t="shared" si="5"/>
        <v>2281.29</v>
      </c>
      <c r="S40" s="30">
        <v>1</v>
      </c>
      <c r="T40" s="31">
        <f t="shared" si="12"/>
        <v>2281.29</v>
      </c>
      <c r="U40" s="30">
        <v>1</v>
      </c>
      <c r="V40" s="31">
        <f t="shared" si="6"/>
        <v>2207.7000000000003</v>
      </c>
      <c r="W40" s="30">
        <v>1</v>
      </c>
      <c r="X40" s="31">
        <f t="shared" si="7"/>
        <v>2281.29</v>
      </c>
      <c r="Y40" s="30">
        <v>1</v>
      </c>
      <c r="Z40" s="31">
        <f t="shared" si="8"/>
        <v>2207.7000000000003</v>
      </c>
      <c r="AA40" s="30">
        <v>1</v>
      </c>
      <c r="AB40" s="31">
        <f t="shared" si="9"/>
        <v>2281.29</v>
      </c>
      <c r="AC40" s="43">
        <f>AD40*12</f>
        <v>900</v>
      </c>
      <c r="AD40" s="43">
        <f>75</f>
        <v>75</v>
      </c>
      <c r="AE40" s="31">
        <f t="shared" si="16"/>
        <v>27000</v>
      </c>
      <c r="AF40" s="31">
        <f>2250</f>
        <v>2250</v>
      </c>
      <c r="AG40" s="31">
        <f>(((Z40+AD40+AF40-250)/365)*365)</f>
        <v>4282.7000000000007</v>
      </c>
      <c r="AH40" s="31">
        <f>(((F40+H40+J40+L40+N40+P40+R40+T40+V40+X40+Z40+AB40+AC40+AE40)-3000)/12)</f>
        <v>4313.3625000000002</v>
      </c>
      <c r="AI40" s="33">
        <f>(((200/365)*365))*1</f>
        <v>200</v>
      </c>
      <c r="AJ40" s="34">
        <f t="shared" si="17"/>
        <v>37981.412500000006</v>
      </c>
    </row>
    <row r="41" spans="1:36" ht="54.95" customHeight="1" x14ac:dyDescent="0.25">
      <c r="A41" s="35"/>
      <c r="B41" s="27" t="s">
        <v>39</v>
      </c>
      <c r="C41" s="28" t="s">
        <v>49</v>
      </c>
      <c r="D41" s="29">
        <v>72.540000000000006</v>
      </c>
      <c r="E41" s="30">
        <v>4</v>
      </c>
      <c r="F41" s="31">
        <f t="shared" si="0"/>
        <v>8994.9600000000009</v>
      </c>
      <c r="G41" s="30">
        <v>4</v>
      </c>
      <c r="H41" s="31">
        <f t="shared" si="1"/>
        <v>8124.4800000000005</v>
      </c>
      <c r="I41" s="30">
        <v>4</v>
      </c>
      <c r="J41" s="31">
        <f t="shared" si="2"/>
        <v>8994.9600000000009</v>
      </c>
      <c r="K41" s="30">
        <v>4</v>
      </c>
      <c r="L41" s="31">
        <f t="shared" si="3"/>
        <v>8704.8000000000011</v>
      </c>
      <c r="M41" s="30">
        <v>4</v>
      </c>
      <c r="N41" s="31">
        <f t="shared" si="11"/>
        <v>8994.9600000000009</v>
      </c>
      <c r="O41" s="30">
        <v>4</v>
      </c>
      <c r="P41" s="31">
        <f t="shared" si="4"/>
        <v>8704.8000000000011</v>
      </c>
      <c r="Q41" s="30">
        <v>4</v>
      </c>
      <c r="R41" s="31">
        <f t="shared" si="5"/>
        <v>8994.9600000000009</v>
      </c>
      <c r="S41" s="30">
        <v>4</v>
      </c>
      <c r="T41" s="31">
        <f t="shared" si="12"/>
        <v>8994.9600000000009</v>
      </c>
      <c r="U41" s="30">
        <v>4</v>
      </c>
      <c r="V41" s="31">
        <f t="shared" si="6"/>
        <v>8704.8000000000011</v>
      </c>
      <c r="W41" s="30">
        <v>4</v>
      </c>
      <c r="X41" s="31">
        <f t="shared" si="7"/>
        <v>8994.9600000000009</v>
      </c>
      <c r="Y41" s="30">
        <v>4</v>
      </c>
      <c r="Z41" s="31">
        <f t="shared" si="8"/>
        <v>8704.8000000000011</v>
      </c>
      <c r="AA41" s="30">
        <v>4</v>
      </c>
      <c r="AB41" s="31">
        <f t="shared" si="9"/>
        <v>8994.9600000000009</v>
      </c>
      <c r="AC41" s="43">
        <f>AD41*12</f>
        <v>600</v>
      </c>
      <c r="AD41" s="43">
        <f>50</f>
        <v>50</v>
      </c>
      <c r="AE41" s="31">
        <f t="shared" si="16"/>
        <v>110796</v>
      </c>
      <c r="AF41" s="31">
        <f>2282+2317+2317+2317</f>
        <v>9233</v>
      </c>
      <c r="AG41" s="31">
        <f>(((Z41+AD41+AF41-1000)/365)*365)</f>
        <v>16987.800000000003</v>
      </c>
      <c r="AH41" s="31">
        <f>(((F41+H41+J41+L41+N41+P41+R41+T41+V41+X41+Z41+AB41+AC41+AE41)-12000)/12)</f>
        <v>17108.7</v>
      </c>
      <c r="AI41" s="33">
        <f>(((200/365)*365))*4</f>
        <v>800</v>
      </c>
      <c r="AJ41" s="34">
        <f t="shared" si="17"/>
        <v>150087.90000000002</v>
      </c>
    </row>
    <row r="42" spans="1:36" ht="54.95" customHeight="1" x14ac:dyDescent="0.25">
      <c r="A42" s="35"/>
      <c r="B42" s="27" t="s">
        <v>39</v>
      </c>
      <c r="C42" s="28" t="s">
        <v>50</v>
      </c>
      <c r="D42" s="29">
        <v>75.64</v>
      </c>
      <c r="E42" s="30">
        <v>1</v>
      </c>
      <c r="F42" s="31">
        <f t="shared" si="0"/>
        <v>2344.84</v>
      </c>
      <c r="G42" s="30">
        <v>1</v>
      </c>
      <c r="H42" s="31">
        <f t="shared" si="1"/>
        <v>2117.92</v>
      </c>
      <c r="I42" s="30">
        <v>1</v>
      </c>
      <c r="J42" s="31">
        <f t="shared" si="2"/>
        <v>2344.84</v>
      </c>
      <c r="K42" s="30">
        <v>1</v>
      </c>
      <c r="L42" s="31">
        <f t="shared" si="3"/>
        <v>2269.1999999999998</v>
      </c>
      <c r="M42" s="30">
        <v>1</v>
      </c>
      <c r="N42" s="31">
        <f t="shared" si="11"/>
        <v>2344.84</v>
      </c>
      <c r="O42" s="30">
        <v>1</v>
      </c>
      <c r="P42" s="31">
        <f t="shared" si="4"/>
        <v>2269.1999999999998</v>
      </c>
      <c r="Q42" s="30">
        <v>1</v>
      </c>
      <c r="R42" s="31">
        <f t="shared" si="5"/>
        <v>2344.84</v>
      </c>
      <c r="S42" s="30">
        <v>1</v>
      </c>
      <c r="T42" s="31">
        <f>D42*31*S42</f>
        <v>2344.84</v>
      </c>
      <c r="U42" s="30">
        <v>1</v>
      </c>
      <c r="V42" s="31">
        <f t="shared" si="6"/>
        <v>2269.1999999999998</v>
      </c>
      <c r="W42" s="30">
        <v>1</v>
      </c>
      <c r="X42" s="31">
        <f t="shared" si="7"/>
        <v>2344.84</v>
      </c>
      <c r="Y42" s="30">
        <v>1</v>
      </c>
      <c r="Z42" s="31">
        <f t="shared" si="8"/>
        <v>2269.1999999999998</v>
      </c>
      <c r="AA42" s="30">
        <v>1</v>
      </c>
      <c r="AB42" s="31">
        <f t="shared" si="9"/>
        <v>2344.84</v>
      </c>
      <c r="AC42" s="43">
        <f>AD42*12</f>
        <v>600</v>
      </c>
      <c r="AD42" s="43">
        <f>50</f>
        <v>50</v>
      </c>
      <c r="AE42" s="31">
        <f t="shared" si="16"/>
        <v>27000</v>
      </c>
      <c r="AF42" s="31">
        <f>2250</f>
        <v>2250</v>
      </c>
      <c r="AG42" s="31">
        <f>(((Z42+AD42+AF42-250)/365)*365)</f>
        <v>4319.2</v>
      </c>
      <c r="AH42" s="31">
        <f>(((F42+H42+J42+L42+N42+P42+R42+T42+V42+X42+Z42+AB42+AC42+AE42)-3000)/12)</f>
        <v>4350.7166666666672</v>
      </c>
      <c r="AI42" s="33">
        <f>(((200/365)*365))*1</f>
        <v>200</v>
      </c>
      <c r="AJ42" s="34">
        <f t="shared" si="17"/>
        <v>38778.51666666667</v>
      </c>
    </row>
    <row r="43" spans="1:36" ht="54.95" customHeight="1" x14ac:dyDescent="0.25">
      <c r="A43" s="35"/>
      <c r="B43" s="27" t="s">
        <v>39</v>
      </c>
      <c r="C43" s="28" t="s">
        <v>51</v>
      </c>
      <c r="D43" s="29">
        <v>76.59</v>
      </c>
      <c r="E43" s="30">
        <v>2</v>
      </c>
      <c r="F43" s="31">
        <f t="shared" si="0"/>
        <v>4748.58</v>
      </c>
      <c r="G43" s="30">
        <v>2</v>
      </c>
      <c r="H43" s="31">
        <f t="shared" si="1"/>
        <v>4289.04</v>
      </c>
      <c r="I43" s="30">
        <v>2</v>
      </c>
      <c r="J43" s="31">
        <f t="shared" si="2"/>
        <v>4748.58</v>
      </c>
      <c r="K43" s="30">
        <v>2</v>
      </c>
      <c r="L43" s="31">
        <f t="shared" si="3"/>
        <v>4595.4000000000005</v>
      </c>
      <c r="M43" s="30">
        <v>2</v>
      </c>
      <c r="N43" s="31">
        <f t="shared" si="11"/>
        <v>4748.58</v>
      </c>
      <c r="O43" s="30">
        <v>2</v>
      </c>
      <c r="P43" s="31">
        <f>D43*30*1</f>
        <v>2297.7000000000003</v>
      </c>
      <c r="Q43" s="30">
        <v>2</v>
      </c>
      <c r="R43" s="31">
        <f t="shared" si="5"/>
        <v>4748.58</v>
      </c>
      <c r="S43" s="30">
        <v>1</v>
      </c>
      <c r="T43" s="31">
        <f t="shared" si="12"/>
        <v>2374.29</v>
      </c>
      <c r="U43" s="30">
        <v>2</v>
      </c>
      <c r="V43" s="31">
        <f>D43*30*U43</f>
        <v>4595.4000000000005</v>
      </c>
      <c r="W43" s="30">
        <v>2</v>
      </c>
      <c r="X43" s="31">
        <f t="shared" si="7"/>
        <v>4748.58</v>
      </c>
      <c r="Y43" s="30">
        <v>2</v>
      </c>
      <c r="Z43" s="31">
        <f t="shared" si="8"/>
        <v>4595.4000000000005</v>
      </c>
      <c r="AA43" s="30">
        <v>2</v>
      </c>
      <c r="AB43" s="31">
        <f t="shared" si="9"/>
        <v>4748.58</v>
      </c>
      <c r="AC43" s="43">
        <f>0</f>
        <v>0</v>
      </c>
      <c r="AD43" s="43">
        <f>0</f>
        <v>0</v>
      </c>
      <c r="AE43" s="31">
        <f t="shared" si="16"/>
        <v>54000</v>
      </c>
      <c r="AF43" s="31">
        <f>2250*2</f>
        <v>4500</v>
      </c>
      <c r="AG43" s="31">
        <f t="shared" si="18"/>
        <v>8595.4000000000015</v>
      </c>
      <c r="AH43" s="31">
        <f t="shared" si="19"/>
        <v>8269.8924999999999</v>
      </c>
      <c r="AI43" s="33">
        <f>(((200/365)*365))*2</f>
        <v>400</v>
      </c>
      <c r="AJ43" s="34">
        <f t="shared" si="17"/>
        <v>73004.002500000002</v>
      </c>
    </row>
    <row r="44" spans="1:36" ht="54.95" customHeight="1" x14ac:dyDescent="0.25">
      <c r="A44" s="35"/>
      <c r="B44" s="27" t="s">
        <v>39</v>
      </c>
      <c r="C44" s="28" t="s">
        <v>52</v>
      </c>
      <c r="D44" s="29">
        <v>72.540000000000006</v>
      </c>
      <c r="E44" s="30">
        <v>1</v>
      </c>
      <c r="F44" s="31">
        <f t="shared" si="0"/>
        <v>2248.7400000000002</v>
      </c>
      <c r="G44" s="30">
        <v>1</v>
      </c>
      <c r="H44" s="31">
        <f t="shared" si="1"/>
        <v>2031.1200000000001</v>
      </c>
      <c r="I44" s="30">
        <v>1</v>
      </c>
      <c r="J44" s="31">
        <f t="shared" si="2"/>
        <v>2248.7400000000002</v>
      </c>
      <c r="K44" s="30">
        <v>1</v>
      </c>
      <c r="L44" s="31">
        <f t="shared" si="3"/>
        <v>2176.2000000000003</v>
      </c>
      <c r="M44" s="30">
        <v>1</v>
      </c>
      <c r="N44" s="31">
        <f t="shared" si="11"/>
        <v>2248.7400000000002</v>
      </c>
      <c r="O44" s="30">
        <v>1</v>
      </c>
      <c r="P44" s="31">
        <f t="shared" si="4"/>
        <v>2176.2000000000003</v>
      </c>
      <c r="Q44" s="30">
        <v>1</v>
      </c>
      <c r="R44" s="31">
        <f t="shared" si="5"/>
        <v>2248.7400000000002</v>
      </c>
      <c r="S44" s="30">
        <v>1</v>
      </c>
      <c r="T44" s="31">
        <f t="shared" si="12"/>
        <v>2248.7400000000002</v>
      </c>
      <c r="U44" s="30">
        <v>1</v>
      </c>
      <c r="V44" s="31">
        <f t="shared" si="6"/>
        <v>2176.2000000000003</v>
      </c>
      <c r="W44" s="30">
        <v>1</v>
      </c>
      <c r="X44" s="31">
        <f t="shared" si="7"/>
        <v>2248.7400000000002</v>
      </c>
      <c r="Y44" s="30">
        <v>1</v>
      </c>
      <c r="Z44" s="31">
        <f t="shared" si="8"/>
        <v>2176.2000000000003</v>
      </c>
      <c r="AA44" s="30">
        <v>1</v>
      </c>
      <c r="AB44" s="31">
        <f t="shared" si="9"/>
        <v>2248.7400000000002</v>
      </c>
      <c r="AC44" s="43">
        <v>0</v>
      </c>
      <c r="AD44" s="43">
        <v>0</v>
      </c>
      <c r="AE44" s="31">
        <f t="shared" si="16"/>
        <v>27804</v>
      </c>
      <c r="AF44" s="31">
        <f>2317</f>
        <v>2317</v>
      </c>
      <c r="AG44" s="31">
        <f>(((Z44+AD44+AF44-250)/365)*365)</f>
        <v>4243.2000000000007</v>
      </c>
      <c r="AH44" s="31">
        <f>(((F44+H44+J44+L44+N44+P44+R44+T44+V44+X44+Z44+AB44+AC44+AE44)-3000)/12)</f>
        <v>4273.4250000000002</v>
      </c>
      <c r="AI44" s="33">
        <f>(((200/365)*365))*1</f>
        <v>200</v>
      </c>
      <c r="AJ44" s="34">
        <f t="shared" si="17"/>
        <v>37510.725000000006</v>
      </c>
    </row>
    <row r="45" spans="1:36" ht="54.95" customHeight="1" x14ac:dyDescent="0.25">
      <c r="A45" s="35"/>
      <c r="B45" s="27" t="s">
        <v>53</v>
      </c>
      <c r="C45" s="28"/>
      <c r="D45" s="29"/>
      <c r="E45" s="30"/>
      <c r="F45" s="37">
        <f>SUM(F28:F44)</f>
        <v>116939.12999999999</v>
      </c>
      <c r="G45" s="30"/>
      <c r="H45" s="37">
        <f>SUM(H28:H44)</f>
        <v>105622.43999999999</v>
      </c>
      <c r="I45" s="30"/>
      <c r="J45" s="37">
        <f>SUM(J28:J44)</f>
        <v>116939.12999999999</v>
      </c>
      <c r="K45" s="30"/>
      <c r="L45" s="37">
        <f>SUM(L28:L44)</f>
        <v>111096.29999999997</v>
      </c>
      <c r="M45" s="30"/>
      <c r="N45" s="37">
        <f>SUM(N28:N44)</f>
        <v>112512.32999999999</v>
      </c>
      <c r="O45" s="30"/>
      <c r="P45" s="38">
        <f>SUM(P28:P44)</f>
        <v>103323.74999999999</v>
      </c>
      <c r="Q45" s="30"/>
      <c r="R45" s="37">
        <f>SUM(R28:R44)</f>
        <v>121053.62</v>
      </c>
      <c r="S45" s="30"/>
      <c r="T45" s="38">
        <f>SUM(T28:T44)</f>
        <v>121619.50999999998</v>
      </c>
      <c r="U45" s="30"/>
      <c r="V45" s="38">
        <f>SUM(V28:V44)</f>
        <v>108761.39999999998</v>
      </c>
      <c r="W45" s="30"/>
      <c r="X45" s="86">
        <f>SUM(X28:X44)</f>
        <v>125128.01</v>
      </c>
      <c r="Y45" s="30"/>
      <c r="Z45" s="37">
        <f>SUM(Z28:Z44)</f>
        <v>113166.89999999998</v>
      </c>
      <c r="AA45" s="30"/>
      <c r="AB45" s="37">
        <f>SUM(AB28:AB44)</f>
        <v>116939.12999999999</v>
      </c>
      <c r="AC45" s="40">
        <f>SUM(AC28:AC44)</f>
        <v>18000</v>
      </c>
      <c r="AD45" s="40">
        <f t="shared" ref="AD45:AH45" si="20">SUM(AD28:AD44)</f>
        <v>1500</v>
      </c>
      <c r="AE45" s="37">
        <f t="shared" si="20"/>
        <v>1392096</v>
      </c>
      <c r="AF45" s="37">
        <f t="shared" si="20"/>
        <v>116008</v>
      </c>
      <c r="AG45" s="41">
        <f t="shared" si="20"/>
        <v>217924.90000000005</v>
      </c>
      <c r="AH45" s="41">
        <f t="shared" si="20"/>
        <v>219408.13749999995</v>
      </c>
      <c r="AI45" s="41">
        <f>SUM(AI28:AI44)</f>
        <v>10200</v>
      </c>
      <c r="AJ45" s="42">
        <f>SUM(AJ28:AJ44)</f>
        <v>1938142.6875</v>
      </c>
    </row>
    <row r="46" spans="1:36" ht="54.95" customHeight="1" x14ac:dyDescent="0.25">
      <c r="A46" s="35"/>
      <c r="B46" s="46"/>
      <c r="C46" s="28"/>
      <c r="D46" s="29"/>
      <c r="E46" s="30">
        <f>SUM(E20:E44)</f>
        <v>68</v>
      </c>
      <c r="F46" s="39">
        <f>F24+F27+F45</f>
        <v>156037.25999999998</v>
      </c>
      <c r="G46" s="39"/>
      <c r="H46" s="39">
        <f t="shared" ref="H46:Z46" si="21">H24+H27+H45</f>
        <v>140936.88</v>
      </c>
      <c r="I46" s="39"/>
      <c r="J46" s="39">
        <f t="shared" si="21"/>
        <v>156037.25999999998</v>
      </c>
      <c r="K46" s="39"/>
      <c r="L46" s="39">
        <f t="shared" si="21"/>
        <v>144649.19999999995</v>
      </c>
      <c r="M46" s="39"/>
      <c r="N46" s="39">
        <f t="shared" si="21"/>
        <v>150467.38</v>
      </c>
      <c r="O46" s="39"/>
      <c r="P46" s="39">
        <f>P24+P27+P45</f>
        <v>144399.14999999997</v>
      </c>
      <c r="Q46" s="39"/>
      <c r="R46" s="39">
        <f t="shared" si="21"/>
        <v>168378.31</v>
      </c>
      <c r="S46" s="39"/>
      <c r="T46" s="39">
        <f t="shared" si="21"/>
        <v>167543.52999999997</v>
      </c>
      <c r="U46" s="39"/>
      <c r="V46" s="39">
        <f t="shared" si="21"/>
        <v>146792.09999999998</v>
      </c>
      <c r="W46" s="39"/>
      <c r="X46" s="47">
        <f t="shared" si="21"/>
        <v>180678.09</v>
      </c>
      <c r="Y46" s="39"/>
      <c r="Z46" s="39">
        <f t="shared" si="21"/>
        <v>151003.79999999999</v>
      </c>
      <c r="AA46" s="39"/>
      <c r="AB46" s="39">
        <f t="shared" ref="AB46:AI46" si="22">AB24+AB27+AB45</f>
        <v>156037.25999999998</v>
      </c>
      <c r="AC46" s="39">
        <f t="shared" si="22"/>
        <v>20400</v>
      </c>
      <c r="AD46" s="39">
        <f t="shared" si="22"/>
        <v>1700</v>
      </c>
      <c r="AE46" s="39">
        <f t="shared" si="22"/>
        <v>1848876</v>
      </c>
      <c r="AF46" s="39">
        <f t="shared" si="22"/>
        <v>154073</v>
      </c>
      <c r="AG46" s="39">
        <f t="shared" si="22"/>
        <v>289776.80000000005</v>
      </c>
      <c r="AH46" s="39">
        <f t="shared" si="22"/>
        <v>294244.70999999996</v>
      </c>
      <c r="AI46" s="39">
        <f t="shared" si="22"/>
        <v>13600</v>
      </c>
      <c r="AJ46" s="48">
        <f>AJ45+AJ27+AJ24</f>
        <v>2616355.0299999998</v>
      </c>
    </row>
    <row r="47" spans="1:36" x14ac:dyDescent="0.25">
      <c r="A47" s="49"/>
      <c r="B47" s="50"/>
      <c r="C47" s="51"/>
      <c r="D47" s="52"/>
      <c r="E47" s="53"/>
      <c r="F47" s="52"/>
      <c r="G47" s="53"/>
      <c r="H47" s="52"/>
      <c r="I47" s="54"/>
      <c r="J47" s="52"/>
      <c r="K47" s="53"/>
      <c r="L47" s="52"/>
      <c r="M47" s="53"/>
      <c r="N47" s="52"/>
      <c r="O47" s="53"/>
      <c r="P47" s="52"/>
      <c r="Q47" s="53"/>
      <c r="R47" s="52"/>
      <c r="S47" s="53"/>
      <c r="T47" s="52"/>
      <c r="U47" s="53"/>
      <c r="V47" s="52"/>
      <c r="W47" s="53"/>
      <c r="X47" s="52"/>
      <c r="Y47" s="53"/>
      <c r="Z47" s="52"/>
      <c r="AA47" s="53"/>
      <c r="AB47" s="52"/>
      <c r="AC47" s="50"/>
      <c r="AD47" s="50"/>
      <c r="AE47" s="50"/>
      <c r="AF47" s="50"/>
      <c r="AG47" s="52"/>
      <c r="AH47" s="52"/>
      <c r="AI47" s="52"/>
      <c r="AJ47" s="55"/>
    </row>
    <row r="48" spans="1:36" ht="21.75" thickBot="1" x14ac:dyDescent="0.4">
      <c r="A48" s="56" t="s">
        <v>27</v>
      </c>
      <c r="B48" s="57"/>
      <c r="C48" s="58"/>
      <c r="D48" s="59"/>
      <c r="E48" s="60"/>
      <c r="F48" s="59"/>
      <c r="G48" s="60"/>
      <c r="H48" s="59"/>
      <c r="I48" s="61"/>
      <c r="J48" s="59"/>
      <c r="K48" s="60"/>
      <c r="L48" s="59"/>
      <c r="M48" s="60"/>
      <c r="N48" s="59"/>
      <c r="O48" s="60"/>
      <c r="P48" s="59"/>
      <c r="Q48" s="60"/>
      <c r="R48" s="59"/>
      <c r="S48" s="60"/>
      <c r="T48" s="59"/>
      <c r="U48" s="60"/>
      <c r="V48" s="59"/>
      <c r="W48" s="60"/>
      <c r="X48" s="59"/>
      <c r="Y48" s="60"/>
      <c r="Z48" s="59"/>
      <c r="AA48" s="60"/>
      <c r="AB48" s="59"/>
      <c r="AC48" s="57"/>
      <c r="AD48" s="57"/>
      <c r="AE48" s="57"/>
      <c r="AF48" s="57"/>
      <c r="AG48" s="59"/>
      <c r="AH48" s="59"/>
      <c r="AI48" s="62">
        <f>F46+H46+J46+L46+N46+P46+R46+T46+V46+X46+Z46+AB46+AD46+AF46+AG46+AH46+AI46</f>
        <v>2616354.73</v>
      </c>
      <c r="AJ48" s="63"/>
    </row>
  </sheetData>
  <mergeCells count="31">
    <mergeCell ref="U18:V18"/>
    <mergeCell ref="W18:X18"/>
    <mergeCell ref="Y18:Z18"/>
    <mergeCell ref="AA18:AB18"/>
    <mergeCell ref="AC18:AC19"/>
    <mergeCell ref="AD18:AD19"/>
    <mergeCell ref="AC16:AI16"/>
    <mergeCell ref="AJ16:AJ19"/>
    <mergeCell ref="AC17:AD17"/>
    <mergeCell ref="AE17:AF17"/>
    <mergeCell ref="AG17:AG19"/>
    <mergeCell ref="AE18:AE19"/>
    <mergeCell ref="AF18:AF19"/>
    <mergeCell ref="AH17:AH19"/>
    <mergeCell ref="AI17:AI19"/>
    <mergeCell ref="A8:G8"/>
    <mergeCell ref="A11:C11"/>
    <mergeCell ref="A13:C13"/>
    <mergeCell ref="A16:A19"/>
    <mergeCell ref="B16:B19"/>
    <mergeCell ref="C16:C19"/>
    <mergeCell ref="D16:D19"/>
    <mergeCell ref="E16:AB17"/>
    <mergeCell ref="E18:F18"/>
    <mergeCell ref="G18:H18"/>
    <mergeCell ref="I18:J18"/>
    <mergeCell ref="K18:L18"/>
    <mergeCell ref="M18:N18"/>
    <mergeCell ref="O18:P18"/>
    <mergeCell ref="Q18:R18"/>
    <mergeCell ref="S18:T18"/>
  </mergeCells>
  <pageMargins left="0.70866141732283472" right="0.70866141732283472" top="0.74803149606299213" bottom="0.74803149606299213" header="0.31496062992125984" footer="0.31496062992125984"/>
  <pageSetup paperSize="5" scale="25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Literal "B"</vt:lpstr>
      <vt:lpstr>'Literal "B"'!Área_de_impresión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 Perez</dc:creator>
  <cp:lastModifiedBy>Artes</cp:lastModifiedBy>
  <cp:lastPrinted>2022-06-03T18:04:10Z</cp:lastPrinted>
  <dcterms:created xsi:type="dcterms:W3CDTF">2022-03-31T18:56:32Z</dcterms:created>
  <dcterms:modified xsi:type="dcterms:W3CDTF">2022-11-07T21:46:54Z</dcterms:modified>
</cp:coreProperties>
</file>