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omments2.xml" ContentType="application/vnd.openxmlformats-officedocument.spreadsheetml.comment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3.xml" ContentType="application/vnd.openxmlformats-officedocument.spreadsheetml.comments+xml"/>
  <Override PartName="/xl/pivotTables/pivotTable5.xml" ContentType="application/vnd.openxmlformats-officedocument.spreadsheetml.pivotTable+xml"/>
  <Override PartName="/xl/comments4.xml" ContentType="application/vnd.openxmlformats-officedocument.spreadsheetml.comments+xml"/>
  <Override PartName="/xl/pivotTables/pivotTable6.xml" ContentType="application/vnd.openxmlformats-officedocument.spreadsheetml.pivotTable+xml"/>
  <Override PartName="/xl/comments5.xml" ContentType="application/vnd.openxmlformats-officedocument.spreadsheetml.comments+xml"/>
  <Override PartName="/xl/pivotTables/pivotTable7.xml" ContentType="application/vnd.openxmlformats-officedocument.spreadsheetml.pivotTable+xml"/>
  <Override PartName="/xl/comments6.xml" ContentType="application/vnd.openxmlformats-officedocument.spreadsheetml.comments+xml"/>
  <Override PartName="/xl/pivotTables/pivotTable8.xml" ContentType="application/vnd.openxmlformats-officedocument.spreadsheetml.pivotTable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Rafael Ortiz\Desktop\INFORMACIÓN SEPTIEMBRE 2022\INFORMACIÓN FEBRERO 2023\"/>
    </mc:Choice>
  </mc:AlternateContent>
  <xr:revisionPtr revIDLastSave="0" documentId="8_{E0A94229-7580-4292-811C-9A3CF92F95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teral &quot;B&quot;" sheetId="1" r:id="rId1"/>
    <sheet name="ACT1" sheetId="3" r:id="rId2"/>
    <sheet name="ACT2" sheetId="4" r:id="rId3"/>
    <sheet name="ACT3" sheetId="5" r:id="rId4"/>
    <sheet name="ACT4" sheetId="6" r:id="rId5"/>
    <sheet name="ACT6" sheetId="7" r:id="rId6"/>
    <sheet name="ACT7" sheetId="8" r:id="rId7"/>
    <sheet name="ACT8" sheetId="9" r:id="rId8"/>
    <sheet name="REPRO SEPTIEMBRE" sheetId="2" state="hidden" r:id="rId9"/>
  </sheets>
  <definedNames>
    <definedName name="_xlnm.Print_Area" localSheetId="0">'Literal "B"'!$B$1:$AO$134</definedName>
    <definedName name="_xlnm.Print_Titles" localSheetId="0">'Literal "B"'!$1:$18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  <pivotCache cacheId="6" r:id="rId16"/>
    <pivotCache cacheId="7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3" i="1" l="1"/>
  <c r="I93" i="1"/>
  <c r="AJ105" i="1" l="1"/>
  <c r="AJ102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19" i="1"/>
  <c r="I117" i="1"/>
  <c r="I116" i="1"/>
  <c r="I115" i="1"/>
  <c r="I114" i="1"/>
  <c r="I113" i="1"/>
  <c r="I112" i="1"/>
  <c r="I111" i="1"/>
  <c r="I110" i="1"/>
  <c r="I109" i="1"/>
  <c r="I108" i="1"/>
  <c r="I107" i="1"/>
  <c r="I102" i="1"/>
  <c r="I105" i="1"/>
  <c r="I104" i="1"/>
  <c r="I103" i="1"/>
  <c r="I101" i="1"/>
  <c r="I100" i="1"/>
  <c r="I99" i="1"/>
  <c r="I98" i="1"/>
  <c r="I97" i="1"/>
  <c r="I96" i="1"/>
  <c r="I95" i="1"/>
  <c r="I94" i="1"/>
  <c r="I92" i="1"/>
  <c r="I91" i="1"/>
  <c r="I90" i="1"/>
  <c r="I89" i="1"/>
  <c r="I88" i="1"/>
  <c r="I87" i="1"/>
  <c r="I86" i="1"/>
  <c r="AJ70" i="1" l="1"/>
  <c r="I70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AJ58" i="1" l="1"/>
  <c r="I58" i="1" l="1"/>
  <c r="I66" i="1"/>
  <c r="I65" i="1"/>
  <c r="I64" i="1"/>
  <c r="I63" i="1"/>
  <c r="I62" i="1"/>
  <c r="I61" i="1"/>
  <c r="I60" i="1"/>
  <c r="I59" i="1"/>
  <c r="AJ39" i="1"/>
  <c r="AJ51" i="1"/>
  <c r="AJ35" i="1" l="1"/>
  <c r="AJ57" i="1"/>
  <c r="I57" i="1" l="1"/>
  <c r="I51" i="1"/>
  <c r="I3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21" i="1"/>
  <c r="I22" i="1"/>
  <c r="I23" i="1"/>
  <c r="I24" i="1"/>
  <c r="I25" i="1"/>
  <c r="I26" i="1"/>
  <c r="I27" i="1"/>
  <c r="I28" i="1"/>
  <c r="I29" i="1"/>
  <c r="I20" i="1"/>
  <c r="AJ27" i="1" l="1"/>
  <c r="AJ28" i="1"/>
  <c r="AJ29" i="1"/>
  <c r="AJ30" i="1"/>
  <c r="AJ31" i="1"/>
  <c r="AJ32" i="1"/>
  <c r="AJ33" i="1"/>
  <c r="AJ34" i="1"/>
  <c r="AJ36" i="1"/>
  <c r="AJ37" i="1"/>
  <c r="AJ38" i="1"/>
  <c r="AJ40" i="1"/>
  <c r="AJ41" i="1"/>
  <c r="AJ42" i="1"/>
  <c r="AJ43" i="1"/>
  <c r="AJ44" i="1"/>
  <c r="AJ45" i="1"/>
  <c r="AJ46" i="1"/>
  <c r="AJ47" i="1"/>
  <c r="AJ48" i="1"/>
  <c r="AJ49" i="1"/>
  <c r="AJ50" i="1"/>
  <c r="AJ52" i="1"/>
  <c r="AJ53" i="1"/>
  <c r="AJ54" i="1"/>
  <c r="AJ55" i="1"/>
  <c r="AJ56" i="1"/>
  <c r="AJ59" i="1"/>
  <c r="AJ60" i="1"/>
  <c r="AJ61" i="1"/>
  <c r="AJ62" i="1"/>
  <c r="AJ63" i="1"/>
  <c r="AJ64" i="1"/>
  <c r="AJ65" i="1"/>
  <c r="AJ66" i="1"/>
  <c r="AJ67" i="1"/>
  <c r="AJ68" i="1"/>
  <c r="AJ69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132" i="1" l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7" i="1"/>
  <c r="AJ116" i="1"/>
  <c r="AJ115" i="1"/>
  <c r="AJ114" i="1"/>
  <c r="AJ113" i="1"/>
  <c r="AJ112" i="1"/>
  <c r="AJ111" i="1"/>
  <c r="AJ110" i="1"/>
  <c r="AJ109" i="1"/>
  <c r="AJ108" i="1"/>
  <c r="AJ107" i="1"/>
  <c r="AJ104" i="1"/>
  <c r="AJ103" i="1"/>
  <c r="AJ101" i="1"/>
  <c r="AJ100" i="1"/>
  <c r="AJ99" i="1"/>
  <c r="AJ98" i="1"/>
  <c r="AJ97" i="1"/>
  <c r="AJ96" i="1"/>
  <c r="AJ95" i="1"/>
  <c r="AJ94" i="1"/>
  <c r="AJ92" i="1"/>
  <c r="AJ91" i="1"/>
  <c r="AJ90" i="1"/>
  <c r="AJ89" i="1"/>
  <c r="AJ88" i="1"/>
  <c r="AJ87" i="1"/>
  <c r="AJ86" i="1"/>
  <c r="AJ26" i="1"/>
  <c r="AJ25" i="1"/>
  <c r="AJ24" i="1"/>
  <c r="AJ23" i="1"/>
  <c r="AJ22" i="1"/>
  <c r="AJ21" i="1"/>
  <c r="AJ20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7" i="1"/>
  <c r="AF116" i="1"/>
  <c r="AF115" i="1"/>
  <c r="AF114" i="1"/>
  <c r="AF113" i="1"/>
  <c r="AF112" i="1"/>
  <c r="AF111" i="1"/>
  <c r="AF110" i="1"/>
  <c r="AF109" i="1"/>
  <c r="AF108" i="1"/>
  <c r="AF107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O116" i="1" l="1"/>
  <c r="AO114" i="1"/>
  <c r="AO111" i="1"/>
  <c r="AO96" i="1"/>
  <c r="AO100" i="1"/>
  <c r="AO122" i="1"/>
  <c r="AO88" i="1"/>
  <c r="AO104" i="1"/>
  <c r="AO124" i="1"/>
  <c r="G132" i="1"/>
  <c r="AO132" i="1" s="1"/>
  <c r="G131" i="1"/>
  <c r="AO131" i="1" s="1"/>
  <c r="G130" i="1"/>
  <c r="AO130" i="1" s="1"/>
  <c r="G129" i="1"/>
  <c r="AO129" i="1" s="1"/>
  <c r="G128" i="1"/>
  <c r="AO128" i="1" s="1"/>
  <c r="G127" i="1"/>
  <c r="AO127" i="1" s="1"/>
  <c r="G126" i="1"/>
  <c r="G125" i="1"/>
  <c r="G124" i="1"/>
  <c r="G123" i="1"/>
  <c r="AO123" i="1" s="1"/>
  <c r="G122" i="1"/>
  <c r="G121" i="1"/>
  <c r="AO121" i="1" s="1"/>
  <c r="G120" i="1"/>
  <c r="AO120" i="1" s="1"/>
  <c r="G119" i="1"/>
  <c r="AO119" i="1" s="1"/>
  <c r="AI132" i="1"/>
  <c r="AH132" i="1" s="1"/>
  <c r="AI131" i="1"/>
  <c r="AH131" i="1" s="1"/>
  <c r="AI130" i="1"/>
  <c r="AH130" i="1" s="1"/>
  <c r="AI129" i="1"/>
  <c r="AH129" i="1" s="1"/>
  <c r="AI128" i="1"/>
  <c r="AH128" i="1" s="1"/>
  <c r="AI127" i="1"/>
  <c r="AH127" i="1" s="1"/>
  <c r="AI126" i="1"/>
  <c r="AH126" i="1" s="1"/>
  <c r="AI125" i="1"/>
  <c r="AH125" i="1" s="1"/>
  <c r="AI124" i="1"/>
  <c r="AH124" i="1" s="1"/>
  <c r="AI123" i="1"/>
  <c r="AH123" i="1" s="1"/>
  <c r="AI122" i="1"/>
  <c r="AH122" i="1" s="1"/>
  <c r="AI121" i="1"/>
  <c r="AH121" i="1" s="1"/>
  <c r="AI120" i="1"/>
  <c r="AH120" i="1" s="1"/>
  <c r="AI119" i="1"/>
  <c r="AH119" i="1" s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I117" i="1"/>
  <c r="AI116" i="1"/>
  <c r="AI115" i="1"/>
  <c r="AO115" i="1" s="1"/>
  <c r="AI114" i="1"/>
  <c r="AI113" i="1"/>
  <c r="AI112" i="1"/>
  <c r="AO112" i="1" s="1"/>
  <c r="AI111" i="1"/>
  <c r="AI110" i="1"/>
  <c r="AI109" i="1"/>
  <c r="AI108" i="1"/>
  <c r="AI107" i="1"/>
  <c r="G117" i="1"/>
  <c r="AO117" i="1" s="1"/>
  <c r="G116" i="1"/>
  <c r="G115" i="1"/>
  <c r="G114" i="1"/>
  <c r="G113" i="1"/>
  <c r="AO113" i="1" s="1"/>
  <c r="G112" i="1"/>
  <c r="G111" i="1"/>
  <c r="G110" i="1"/>
  <c r="AO110" i="1" s="1"/>
  <c r="G109" i="1"/>
  <c r="AO109" i="1" s="1"/>
  <c r="G108" i="1"/>
  <c r="AO108" i="1" s="1"/>
  <c r="G107" i="1"/>
  <c r="AO107" i="1" s="1"/>
  <c r="AI87" i="1"/>
  <c r="AO87" i="1" s="1"/>
  <c r="AI88" i="1"/>
  <c r="AI89" i="1"/>
  <c r="AI90" i="1"/>
  <c r="AO90" i="1" s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O103" i="1" s="1"/>
  <c r="AI104" i="1"/>
  <c r="AI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86" i="1"/>
  <c r="G105" i="1"/>
  <c r="G104" i="1"/>
  <c r="G103" i="1"/>
  <c r="G102" i="1"/>
  <c r="G101" i="1"/>
  <c r="AO101" i="1" s="1"/>
  <c r="G100" i="1"/>
  <c r="G99" i="1"/>
  <c r="AO99" i="1" s="1"/>
  <c r="G98" i="1"/>
  <c r="AO98" i="1" s="1"/>
  <c r="G97" i="1"/>
  <c r="AO97" i="1" s="1"/>
  <c r="G96" i="1"/>
  <c r="G95" i="1"/>
  <c r="AO95" i="1" s="1"/>
  <c r="G94" i="1"/>
  <c r="AO94" i="1" s="1"/>
  <c r="G93" i="1"/>
  <c r="AO93" i="1" s="1"/>
  <c r="G92" i="1"/>
  <c r="AO92" i="1" s="1"/>
  <c r="G91" i="1"/>
  <c r="AO91" i="1" s="1"/>
  <c r="G90" i="1"/>
  <c r="G89" i="1"/>
  <c r="AO89" i="1" s="1"/>
  <c r="G88" i="1"/>
  <c r="G87" i="1"/>
  <c r="G86" i="1"/>
  <c r="AO86" i="1" s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I84" i="1"/>
  <c r="AH84" i="1" s="1"/>
  <c r="G84" i="1"/>
  <c r="AO84" i="1" s="1"/>
  <c r="AI70" i="1"/>
  <c r="AH70" i="1" s="1"/>
  <c r="G70" i="1"/>
  <c r="AO70" i="1" s="1"/>
  <c r="AI69" i="1"/>
  <c r="AH69" i="1" s="1"/>
  <c r="AI67" i="1"/>
  <c r="AH67" i="1" s="1"/>
  <c r="AI68" i="1"/>
  <c r="AH68" i="1" s="1"/>
  <c r="AI71" i="1"/>
  <c r="AH71" i="1" s="1"/>
  <c r="AI72" i="1"/>
  <c r="AH72" i="1" s="1"/>
  <c r="AI73" i="1"/>
  <c r="AH73" i="1" s="1"/>
  <c r="AI74" i="1"/>
  <c r="AH74" i="1" s="1"/>
  <c r="AI75" i="1"/>
  <c r="AH75" i="1" s="1"/>
  <c r="AI76" i="1"/>
  <c r="AH76" i="1" s="1"/>
  <c r="AI77" i="1"/>
  <c r="AH77" i="1" s="1"/>
  <c r="AI78" i="1"/>
  <c r="AH78" i="1" s="1"/>
  <c r="AI79" i="1"/>
  <c r="AH79" i="1" s="1"/>
  <c r="AI80" i="1"/>
  <c r="AH80" i="1" s="1"/>
  <c r="AI81" i="1"/>
  <c r="AH81" i="1" s="1"/>
  <c r="AI82" i="1"/>
  <c r="AH82" i="1" s="1"/>
  <c r="AI83" i="1"/>
  <c r="AH83" i="1" s="1"/>
  <c r="G69" i="1"/>
  <c r="AO69" i="1" s="1"/>
  <c r="G67" i="1"/>
  <c r="G68" i="1"/>
  <c r="G71" i="1"/>
  <c r="AO71" i="1" s="1"/>
  <c r="G72" i="1"/>
  <c r="AO72" i="1" s="1"/>
  <c r="G73" i="1"/>
  <c r="G74" i="1"/>
  <c r="AO74" i="1" s="1"/>
  <c r="G75" i="1"/>
  <c r="AO75" i="1" s="1"/>
  <c r="G76" i="1"/>
  <c r="AO76" i="1" s="1"/>
  <c r="G77" i="1"/>
  <c r="G78" i="1"/>
  <c r="AO78" i="1" s="1"/>
  <c r="G79" i="1"/>
  <c r="AO79" i="1" s="1"/>
  <c r="G80" i="1"/>
  <c r="AO80" i="1" s="1"/>
  <c r="G81" i="1"/>
  <c r="G82" i="1"/>
  <c r="AO82" i="1" s="1"/>
  <c r="G83" i="1"/>
  <c r="AO83" i="1" s="1"/>
  <c r="G51" i="1"/>
  <c r="AO51" i="1" s="1"/>
  <c r="AI44" i="1"/>
  <c r="AH44" i="1" s="1"/>
  <c r="AI45" i="1"/>
  <c r="AH45" i="1" s="1"/>
  <c r="AI46" i="1"/>
  <c r="AH46" i="1" s="1"/>
  <c r="AI47" i="1"/>
  <c r="AH47" i="1" s="1"/>
  <c r="AI48" i="1"/>
  <c r="AH48" i="1" s="1"/>
  <c r="AI49" i="1"/>
  <c r="AH49" i="1" s="1"/>
  <c r="G46" i="1"/>
  <c r="AO46" i="1" s="1"/>
  <c r="G50" i="1"/>
  <c r="G52" i="1"/>
  <c r="G53" i="1"/>
  <c r="G54" i="1"/>
  <c r="G55" i="1"/>
  <c r="AO55" i="1" s="1"/>
  <c r="G56" i="1"/>
  <c r="AO56" i="1" s="1"/>
  <c r="AI51" i="1"/>
  <c r="AH51" i="1" s="1"/>
  <c r="AI52" i="1"/>
  <c r="AH52" i="1" s="1"/>
  <c r="AI53" i="1"/>
  <c r="AH53" i="1" s="1"/>
  <c r="AI54" i="1"/>
  <c r="AH54" i="1" s="1"/>
  <c r="AI55" i="1"/>
  <c r="AH55" i="1" s="1"/>
  <c r="AI56" i="1"/>
  <c r="AH56" i="1" s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B485" i="5"/>
  <c r="Y485" i="5"/>
  <c r="X485" i="5"/>
  <c r="W485" i="5"/>
  <c r="N485" i="5"/>
  <c r="M485" i="5"/>
  <c r="K485" i="5"/>
  <c r="J485" i="5"/>
  <c r="G485" i="5"/>
  <c r="S484" i="5"/>
  <c r="R484" i="5"/>
  <c r="Q484" i="5"/>
  <c r="P484" i="5"/>
  <c r="L484" i="5"/>
  <c r="I484" i="5"/>
  <c r="H484" i="5"/>
  <c r="O484" i="5" s="1"/>
  <c r="V483" i="5"/>
  <c r="S483" i="5"/>
  <c r="R483" i="5"/>
  <c r="Q483" i="5"/>
  <c r="P483" i="5"/>
  <c r="L483" i="5"/>
  <c r="I483" i="5"/>
  <c r="H483" i="5"/>
  <c r="U483" i="5" s="1"/>
  <c r="S482" i="5"/>
  <c r="R482" i="5"/>
  <c r="Q482" i="5"/>
  <c r="P482" i="5"/>
  <c r="L482" i="5"/>
  <c r="I482" i="5"/>
  <c r="H482" i="5"/>
  <c r="U482" i="5" s="1"/>
  <c r="Z482" i="5" s="1"/>
  <c r="S481" i="5"/>
  <c r="R481" i="5"/>
  <c r="Q481" i="5"/>
  <c r="P481" i="5"/>
  <c r="L481" i="5"/>
  <c r="I481" i="5"/>
  <c r="H481" i="5"/>
  <c r="U481" i="5" s="1"/>
  <c r="Z481" i="5" s="1"/>
  <c r="S480" i="5"/>
  <c r="R480" i="5"/>
  <c r="Q480" i="5"/>
  <c r="P480" i="5"/>
  <c r="L480" i="5"/>
  <c r="I480" i="5"/>
  <c r="H480" i="5"/>
  <c r="U480" i="5" s="1"/>
  <c r="Z480" i="5" s="1"/>
  <c r="S479" i="5"/>
  <c r="R479" i="5"/>
  <c r="Q479" i="5"/>
  <c r="P479" i="5"/>
  <c r="L479" i="5"/>
  <c r="I479" i="5"/>
  <c r="H479" i="5"/>
  <c r="U479" i="5" s="1"/>
  <c r="Z479" i="5" s="1"/>
  <c r="V478" i="5"/>
  <c r="S478" i="5"/>
  <c r="R478" i="5"/>
  <c r="Q478" i="5"/>
  <c r="P478" i="5"/>
  <c r="L478" i="5"/>
  <c r="I478" i="5"/>
  <c r="H478" i="5"/>
  <c r="U478" i="5" s="1"/>
  <c r="V477" i="5"/>
  <c r="S477" i="5"/>
  <c r="R477" i="5"/>
  <c r="Q477" i="5"/>
  <c r="P477" i="5"/>
  <c r="L477" i="5"/>
  <c r="I477" i="5"/>
  <c r="H477" i="5"/>
  <c r="U477" i="5" s="1"/>
  <c r="S476" i="5"/>
  <c r="R476" i="5"/>
  <c r="Q476" i="5"/>
  <c r="P476" i="5"/>
  <c r="L476" i="5"/>
  <c r="I476" i="5"/>
  <c r="H476" i="5"/>
  <c r="S475" i="5"/>
  <c r="R475" i="5"/>
  <c r="Q475" i="5"/>
  <c r="P475" i="5"/>
  <c r="L475" i="5"/>
  <c r="I475" i="5"/>
  <c r="H475" i="5"/>
  <c r="O475" i="5" s="1"/>
  <c r="V474" i="5"/>
  <c r="S474" i="5"/>
  <c r="R474" i="5"/>
  <c r="Q474" i="5"/>
  <c r="P474" i="5"/>
  <c r="L474" i="5"/>
  <c r="I474" i="5"/>
  <c r="H474" i="5"/>
  <c r="O474" i="5" s="1"/>
  <c r="S473" i="5"/>
  <c r="R473" i="5"/>
  <c r="Q473" i="5"/>
  <c r="P473" i="5"/>
  <c r="L473" i="5"/>
  <c r="I473" i="5"/>
  <c r="H473" i="5"/>
  <c r="U473" i="5" s="1"/>
  <c r="Z473" i="5" s="1"/>
  <c r="S472" i="5"/>
  <c r="R472" i="5"/>
  <c r="Q472" i="5"/>
  <c r="P472" i="5"/>
  <c r="L472" i="5"/>
  <c r="I472" i="5"/>
  <c r="H472" i="5"/>
  <c r="O472" i="5" s="1"/>
  <c r="S471" i="5"/>
  <c r="R471" i="5"/>
  <c r="Q471" i="5"/>
  <c r="P471" i="5"/>
  <c r="L471" i="5"/>
  <c r="I471" i="5"/>
  <c r="H471" i="5"/>
  <c r="O471" i="5" s="1"/>
  <c r="S470" i="5"/>
  <c r="R470" i="5"/>
  <c r="Q470" i="5"/>
  <c r="P470" i="5"/>
  <c r="L470" i="5"/>
  <c r="I470" i="5"/>
  <c r="H470" i="5"/>
  <c r="O470" i="5" s="1"/>
  <c r="S469" i="5"/>
  <c r="R469" i="5"/>
  <c r="Q469" i="5"/>
  <c r="P469" i="5"/>
  <c r="L469" i="5"/>
  <c r="I469" i="5"/>
  <c r="H469" i="5"/>
  <c r="U469" i="5" s="1"/>
  <c r="Z469" i="5" s="1"/>
  <c r="S468" i="5"/>
  <c r="R468" i="5"/>
  <c r="Q468" i="5"/>
  <c r="P468" i="5"/>
  <c r="L468" i="5"/>
  <c r="I468" i="5"/>
  <c r="H468" i="5"/>
  <c r="O468" i="5" s="1"/>
  <c r="S467" i="5"/>
  <c r="R467" i="5"/>
  <c r="Q467" i="5"/>
  <c r="P467" i="5"/>
  <c r="L467" i="5"/>
  <c r="I467" i="5"/>
  <c r="H467" i="5"/>
  <c r="U467" i="5" s="1"/>
  <c r="S466" i="5"/>
  <c r="R466" i="5"/>
  <c r="Q466" i="5"/>
  <c r="P466" i="5"/>
  <c r="L466" i="5"/>
  <c r="I466" i="5"/>
  <c r="H466" i="5"/>
  <c r="U466" i="5" s="1"/>
  <c r="Z466" i="5" s="1"/>
  <c r="S465" i="5"/>
  <c r="R465" i="5"/>
  <c r="Q465" i="5"/>
  <c r="P465" i="5"/>
  <c r="L465" i="5"/>
  <c r="I465" i="5"/>
  <c r="H465" i="5"/>
  <c r="O465" i="5" s="1"/>
  <c r="S464" i="5"/>
  <c r="R464" i="5"/>
  <c r="Q464" i="5"/>
  <c r="P464" i="5"/>
  <c r="L464" i="5"/>
  <c r="I464" i="5"/>
  <c r="H464" i="5"/>
  <c r="O464" i="5" s="1"/>
  <c r="V464" i="5" s="1"/>
  <c r="S463" i="5"/>
  <c r="R463" i="5"/>
  <c r="Q463" i="5"/>
  <c r="P463" i="5"/>
  <c r="L463" i="5"/>
  <c r="I463" i="5"/>
  <c r="H463" i="5"/>
  <c r="S462" i="5"/>
  <c r="R462" i="5"/>
  <c r="Q462" i="5"/>
  <c r="P462" i="5"/>
  <c r="L462" i="5"/>
  <c r="I462" i="5"/>
  <c r="H462" i="5"/>
  <c r="U462" i="5" s="1"/>
  <c r="S461" i="5"/>
  <c r="R461" i="5"/>
  <c r="Q461" i="5"/>
  <c r="P461" i="5"/>
  <c r="L461" i="5"/>
  <c r="I461" i="5"/>
  <c r="H461" i="5"/>
  <c r="O461" i="5" s="1"/>
  <c r="S460" i="5"/>
  <c r="R460" i="5"/>
  <c r="Q460" i="5"/>
  <c r="P460" i="5"/>
  <c r="L460" i="5"/>
  <c r="I460" i="5"/>
  <c r="H460" i="5"/>
  <c r="U460" i="5" s="1"/>
  <c r="Z460" i="5" s="1"/>
  <c r="S459" i="5"/>
  <c r="R459" i="5"/>
  <c r="Q459" i="5"/>
  <c r="P459" i="5"/>
  <c r="L459" i="5"/>
  <c r="I459" i="5"/>
  <c r="H459" i="5"/>
  <c r="U459" i="5" s="1"/>
  <c r="S458" i="5"/>
  <c r="R458" i="5"/>
  <c r="Q458" i="5"/>
  <c r="P458" i="5"/>
  <c r="L458" i="5"/>
  <c r="I458" i="5"/>
  <c r="H458" i="5"/>
  <c r="U458" i="5" s="1"/>
  <c r="Z458" i="5" s="1"/>
  <c r="S457" i="5"/>
  <c r="R457" i="5"/>
  <c r="Q457" i="5"/>
  <c r="P457" i="5"/>
  <c r="L457" i="5"/>
  <c r="I457" i="5"/>
  <c r="H457" i="5"/>
  <c r="U457" i="5" s="1"/>
  <c r="Z457" i="5" s="1"/>
  <c r="S456" i="5"/>
  <c r="R456" i="5"/>
  <c r="Q456" i="5"/>
  <c r="P456" i="5"/>
  <c r="L456" i="5"/>
  <c r="I456" i="5"/>
  <c r="H456" i="5"/>
  <c r="U456" i="5" s="1"/>
  <c r="Z456" i="5" s="1"/>
  <c r="S455" i="5"/>
  <c r="R455" i="5"/>
  <c r="Q455" i="5"/>
  <c r="P455" i="5"/>
  <c r="L455" i="5"/>
  <c r="I455" i="5"/>
  <c r="H455" i="5"/>
  <c r="U455" i="5" s="1"/>
  <c r="Z455" i="5" s="1"/>
  <c r="S454" i="5"/>
  <c r="R454" i="5"/>
  <c r="Q454" i="5"/>
  <c r="P454" i="5"/>
  <c r="L454" i="5"/>
  <c r="I454" i="5"/>
  <c r="H454" i="5"/>
  <c r="U454" i="5" s="1"/>
  <c r="Z454" i="5" s="1"/>
  <c r="S453" i="5"/>
  <c r="R453" i="5"/>
  <c r="Q453" i="5"/>
  <c r="P453" i="5"/>
  <c r="L453" i="5"/>
  <c r="I453" i="5"/>
  <c r="H453" i="5"/>
  <c r="U453" i="5" s="1"/>
  <c r="Z453" i="5" s="1"/>
  <c r="S452" i="5"/>
  <c r="R452" i="5"/>
  <c r="Q452" i="5"/>
  <c r="P452" i="5"/>
  <c r="L452" i="5"/>
  <c r="I452" i="5"/>
  <c r="H452" i="5"/>
  <c r="O452" i="5" s="1"/>
  <c r="S451" i="5"/>
  <c r="R451" i="5"/>
  <c r="Q451" i="5"/>
  <c r="P451" i="5"/>
  <c r="L451" i="5"/>
  <c r="I451" i="5"/>
  <c r="H451" i="5"/>
  <c r="U451" i="5" s="1"/>
  <c r="Z451" i="5" s="1"/>
  <c r="S450" i="5"/>
  <c r="R450" i="5"/>
  <c r="Q450" i="5"/>
  <c r="P450" i="5"/>
  <c r="L450" i="5"/>
  <c r="I450" i="5"/>
  <c r="H450" i="5"/>
  <c r="O450" i="5" s="1"/>
  <c r="S449" i="5"/>
  <c r="R449" i="5"/>
  <c r="Q449" i="5"/>
  <c r="P449" i="5"/>
  <c r="L449" i="5"/>
  <c r="I449" i="5"/>
  <c r="H449" i="5"/>
  <c r="U449" i="5" s="1"/>
  <c r="Z449" i="5" s="1"/>
  <c r="S448" i="5"/>
  <c r="R448" i="5"/>
  <c r="Q448" i="5"/>
  <c r="P448" i="5"/>
  <c r="L448" i="5"/>
  <c r="I448" i="5"/>
  <c r="H448" i="5"/>
  <c r="O448" i="5" s="1"/>
  <c r="S447" i="5"/>
  <c r="R447" i="5"/>
  <c r="Q447" i="5"/>
  <c r="P447" i="5"/>
  <c r="L447" i="5"/>
  <c r="I447" i="5"/>
  <c r="H447" i="5"/>
  <c r="O447" i="5" s="1"/>
  <c r="V447" i="5" s="1"/>
  <c r="S446" i="5"/>
  <c r="R446" i="5"/>
  <c r="Q446" i="5"/>
  <c r="P446" i="5"/>
  <c r="L446" i="5"/>
  <c r="I446" i="5"/>
  <c r="H446" i="5"/>
  <c r="S445" i="5"/>
  <c r="R445" i="5"/>
  <c r="Q445" i="5"/>
  <c r="P445" i="5"/>
  <c r="L445" i="5"/>
  <c r="I445" i="5"/>
  <c r="H445" i="5"/>
  <c r="O445" i="5" s="1"/>
  <c r="S444" i="5"/>
  <c r="R444" i="5"/>
  <c r="Q444" i="5"/>
  <c r="P444" i="5"/>
  <c r="L444" i="5"/>
  <c r="I444" i="5"/>
  <c r="H444" i="5"/>
  <c r="O444" i="5" s="1"/>
  <c r="S443" i="5"/>
  <c r="R443" i="5"/>
  <c r="Q443" i="5"/>
  <c r="P443" i="5"/>
  <c r="L443" i="5"/>
  <c r="I443" i="5"/>
  <c r="H443" i="5"/>
  <c r="U443" i="5" s="1"/>
  <c r="Z443" i="5" s="1"/>
  <c r="S442" i="5"/>
  <c r="R442" i="5"/>
  <c r="Q442" i="5"/>
  <c r="P442" i="5"/>
  <c r="L442" i="5"/>
  <c r="I442" i="5"/>
  <c r="H442" i="5"/>
  <c r="O442" i="5" s="1"/>
  <c r="S441" i="5"/>
  <c r="R441" i="5"/>
  <c r="Q441" i="5"/>
  <c r="P441" i="5"/>
  <c r="L441" i="5"/>
  <c r="I441" i="5"/>
  <c r="H441" i="5"/>
  <c r="U441" i="5" s="1"/>
  <c r="S440" i="5"/>
  <c r="R440" i="5"/>
  <c r="Q440" i="5"/>
  <c r="P440" i="5"/>
  <c r="L440" i="5"/>
  <c r="I440" i="5"/>
  <c r="H440" i="5"/>
  <c r="U440" i="5" s="1"/>
  <c r="S439" i="5"/>
  <c r="R439" i="5"/>
  <c r="Q439" i="5"/>
  <c r="P439" i="5"/>
  <c r="L439" i="5"/>
  <c r="I439" i="5"/>
  <c r="H439" i="5"/>
  <c r="S438" i="5"/>
  <c r="R438" i="5"/>
  <c r="Q438" i="5"/>
  <c r="P438" i="5"/>
  <c r="L438" i="5"/>
  <c r="I438" i="5"/>
  <c r="H438" i="5"/>
  <c r="U438" i="5" s="1"/>
  <c r="S437" i="5"/>
  <c r="R437" i="5"/>
  <c r="Q437" i="5"/>
  <c r="P437" i="5"/>
  <c r="L437" i="5"/>
  <c r="I437" i="5"/>
  <c r="H437" i="5"/>
  <c r="O437" i="5" s="1"/>
  <c r="S436" i="5"/>
  <c r="R436" i="5"/>
  <c r="Q436" i="5"/>
  <c r="P436" i="5"/>
  <c r="L436" i="5"/>
  <c r="I436" i="5"/>
  <c r="H436" i="5"/>
  <c r="U436" i="5" s="1"/>
  <c r="Z436" i="5" s="1"/>
  <c r="S435" i="5"/>
  <c r="R435" i="5"/>
  <c r="Q435" i="5"/>
  <c r="P435" i="5"/>
  <c r="L435" i="5"/>
  <c r="I435" i="5"/>
  <c r="H435" i="5"/>
  <c r="O435" i="5" s="1"/>
  <c r="S434" i="5"/>
  <c r="R434" i="5"/>
  <c r="Q434" i="5"/>
  <c r="P434" i="5"/>
  <c r="L434" i="5"/>
  <c r="I434" i="5"/>
  <c r="H434" i="5"/>
  <c r="U434" i="5" s="1"/>
  <c r="Z434" i="5" s="1"/>
  <c r="S433" i="5"/>
  <c r="R433" i="5"/>
  <c r="Q433" i="5"/>
  <c r="P433" i="5"/>
  <c r="L433" i="5"/>
  <c r="I433" i="5"/>
  <c r="H433" i="5"/>
  <c r="O433" i="5" s="1"/>
  <c r="S432" i="5"/>
  <c r="R432" i="5"/>
  <c r="Q432" i="5"/>
  <c r="P432" i="5"/>
  <c r="L432" i="5"/>
  <c r="I432" i="5"/>
  <c r="H432" i="5"/>
  <c r="U432" i="5" s="1"/>
  <c r="Z432" i="5" s="1"/>
  <c r="S431" i="5"/>
  <c r="R431" i="5"/>
  <c r="Q431" i="5"/>
  <c r="P431" i="5"/>
  <c r="L431" i="5"/>
  <c r="I431" i="5"/>
  <c r="H431" i="5"/>
  <c r="U431" i="5" s="1"/>
  <c r="S430" i="5"/>
  <c r="R430" i="5"/>
  <c r="Q430" i="5"/>
  <c r="P430" i="5"/>
  <c r="L430" i="5"/>
  <c r="I430" i="5"/>
  <c r="H430" i="5"/>
  <c r="S429" i="5"/>
  <c r="R429" i="5"/>
  <c r="Q429" i="5"/>
  <c r="P429" i="5"/>
  <c r="L429" i="5"/>
  <c r="I429" i="5"/>
  <c r="H429" i="5"/>
  <c r="U429" i="5" s="1"/>
  <c r="Z429" i="5" s="1"/>
  <c r="S428" i="5"/>
  <c r="R428" i="5"/>
  <c r="Q428" i="5"/>
  <c r="P428" i="5"/>
  <c r="L428" i="5"/>
  <c r="I428" i="5"/>
  <c r="H428" i="5"/>
  <c r="S427" i="5"/>
  <c r="R427" i="5"/>
  <c r="Q427" i="5"/>
  <c r="P427" i="5"/>
  <c r="L427" i="5"/>
  <c r="I427" i="5"/>
  <c r="H427" i="5"/>
  <c r="U427" i="5" s="1"/>
  <c r="Z427" i="5" s="1"/>
  <c r="S426" i="5"/>
  <c r="R426" i="5"/>
  <c r="Q426" i="5"/>
  <c r="P426" i="5"/>
  <c r="L426" i="5"/>
  <c r="I426" i="5"/>
  <c r="H426" i="5"/>
  <c r="S425" i="5"/>
  <c r="R425" i="5"/>
  <c r="Q425" i="5"/>
  <c r="P425" i="5"/>
  <c r="L425" i="5"/>
  <c r="I425" i="5"/>
  <c r="H425" i="5"/>
  <c r="U425" i="5" s="1"/>
  <c r="Z425" i="5" s="1"/>
  <c r="S424" i="5"/>
  <c r="R424" i="5"/>
  <c r="Q424" i="5"/>
  <c r="P424" i="5"/>
  <c r="L424" i="5"/>
  <c r="I424" i="5"/>
  <c r="H424" i="5"/>
  <c r="S423" i="5"/>
  <c r="R423" i="5"/>
  <c r="Q423" i="5"/>
  <c r="P423" i="5"/>
  <c r="L423" i="5"/>
  <c r="I423" i="5"/>
  <c r="H423" i="5"/>
  <c r="U423" i="5" s="1"/>
  <c r="Z423" i="5" s="1"/>
  <c r="S422" i="5"/>
  <c r="R422" i="5"/>
  <c r="Q422" i="5"/>
  <c r="P422" i="5"/>
  <c r="L422" i="5"/>
  <c r="I422" i="5"/>
  <c r="H422" i="5"/>
  <c r="S421" i="5"/>
  <c r="R421" i="5"/>
  <c r="Q421" i="5"/>
  <c r="P421" i="5"/>
  <c r="L421" i="5"/>
  <c r="I421" i="5"/>
  <c r="H421" i="5"/>
  <c r="O421" i="5" s="1"/>
  <c r="V421" i="5" s="1"/>
  <c r="S420" i="5"/>
  <c r="R420" i="5"/>
  <c r="Q420" i="5"/>
  <c r="P420" i="5"/>
  <c r="L420" i="5"/>
  <c r="I420" i="5"/>
  <c r="H420" i="5"/>
  <c r="O420" i="5" s="1"/>
  <c r="S419" i="5"/>
  <c r="R419" i="5"/>
  <c r="Q419" i="5"/>
  <c r="P419" i="5"/>
  <c r="L419" i="5"/>
  <c r="I419" i="5"/>
  <c r="H419" i="5"/>
  <c r="O419" i="5" s="1"/>
  <c r="S418" i="5"/>
  <c r="R418" i="5"/>
  <c r="Q418" i="5"/>
  <c r="P418" i="5"/>
  <c r="L418" i="5"/>
  <c r="I418" i="5"/>
  <c r="H418" i="5"/>
  <c r="O418" i="5" s="1"/>
  <c r="S417" i="5"/>
  <c r="R417" i="5"/>
  <c r="Q417" i="5"/>
  <c r="P417" i="5"/>
  <c r="L417" i="5"/>
  <c r="I417" i="5"/>
  <c r="H417" i="5"/>
  <c r="U417" i="5" s="1"/>
  <c r="S416" i="5"/>
  <c r="R416" i="5"/>
  <c r="Q416" i="5"/>
  <c r="P416" i="5"/>
  <c r="L416" i="5"/>
  <c r="I416" i="5"/>
  <c r="H416" i="5"/>
  <c r="O416" i="5" s="1"/>
  <c r="S415" i="5"/>
  <c r="R415" i="5"/>
  <c r="Q415" i="5"/>
  <c r="P415" i="5"/>
  <c r="L415" i="5"/>
  <c r="I415" i="5"/>
  <c r="H415" i="5"/>
  <c r="O415" i="5" s="1"/>
  <c r="S414" i="5"/>
  <c r="R414" i="5"/>
  <c r="Q414" i="5"/>
  <c r="P414" i="5"/>
  <c r="L414" i="5"/>
  <c r="I414" i="5"/>
  <c r="H414" i="5"/>
  <c r="O414" i="5" s="1"/>
  <c r="S413" i="5"/>
  <c r="R413" i="5"/>
  <c r="Q413" i="5"/>
  <c r="P413" i="5"/>
  <c r="L413" i="5"/>
  <c r="I413" i="5"/>
  <c r="H413" i="5"/>
  <c r="U413" i="5" s="1"/>
  <c r="S412" i="5"/>
  <c r="R412" i="5"/>
  <c r="Q412" i="5"/>
  <c r="P412" i="5"/>
  <c r="L412" i="5"/>
  <c r="I412" i="5"/>
  <c r="H412" i="5"/>
  <c r="U412" i="5" s="1"/>
  <c r="Z412" i="5" s="1"/>
  <c r="S411" i="5"/>
  <c r="R411" i="5"/>
  <c r="Q411" i="5"/>
  <c r="P411" i="5"/>
  <c r="L411" i="5"/>
  <c r="I411" i="5"/>
  <c r="H411" i="5"/>
  <c r="U411" i="5" s="1"/>
  <c r="S410" i="5"/>
  <c r="R410" i="5"/>
  <c r="Q410" i="5"/>
  <c r="P410" i="5"/>
  <c r="L410" i="5"/>
  <c r="I410" i="5"/>
  <c r="H410" i="5"/>
  <c r="U410" i="5" s="1"/>
  <c r="Z410" i="5" s="1"/>
  <c r="S409" i="5"/>
  <c r="R409" i="5"/>
  <c r="Q409" i="5"/>
  <c r="P409" i="5"/>
  <c r="L409" i="5"/>
  <c r="I409" i="5"/>
  <c r="H409" i="5"/>
  <c r="O409" i="5" s="1"/>
  <c r="V409" i="5" s="1"/>
  <c r="S408" i="5"/>
  <c r="R408" i="5"/>
  <c r="Q408" i="5"/>
  <c r="P408" i="5"/>
  <c r="L408" i="5"/>
  <c r="I408" i="5"/>
  <c r="H408" i="5"/>
  <c r="O408" i="5" s="1"/>
  <c r="S407" i="5"/>
  <c r="R407" i="5"/>
  <c r="Q407" i="5"/>
  <c r="P407" i="5"/>
  <c r="L407" i="5"/>
  <c r="I407" i="5"/>
  <c r="H407" i="5"/>
  <c r="O407" i="5" s="1"/>
  <c r="S406" i="5"/>
  <c r="R406" i="5"/>
  <c r="Q406" i="5"/>
  <c r="P406" i="5"/>
  <c r="L406" i="5"/>
  <c r="I406" i="5"/>
  <c r="H406" i="5"/>
  <c r="U406" i="5" s="1"/>
  <c r="Z406" i="5" s="1"/>
  <c r="S405" i="5"/>
  <c r="R405" i="5"/>
  <c r="Q405" i="5"/>
  <c r="P405" i="5"/>
  <c r="L405" i="5"/>
  <c r="I405" i="5"/>
  <c r="H405" i="5"/>
  <c r="O405" i="5" s="1"/>
  <c r="S404" i="5"/>
  <c r="R404" i="5"/>
  <c r="Q404" i="5"/>
  <c r="P404" i="5"/>
  <c r="L404" i="5"/>
  <c r="I404" i="5"/>
  <c r="H404" i="5"/>
  <c r="U404" i="5" s="1"/>
  <c r="Z404" i="5" s="1"/>
  <c r="S403" i="5"/>
  <c r="R403" i="5"/>
  <c r="Q403" i="5"/>
  <c r="P403" i="5"/>
  <c r="L403" i="5"/>
  <c r="I403" i="5"/>
  <c r="H403" i="5"/>
  <c r="O403" i="5" s="1"/>
  <c r="S402" i="5"/>
  <c r="R402" i="5"/>
  <c r="Q402" i="5"/>
  <c r="P402" i="5"/>
  <c r="L402" i="5"/>
  <c r="I402" i="5"/>
  <c r="H402" i="5"/>
  <c r="U402" i="5" s="1"/>
  <c r="S401" i="5"/>
  <c r="R401" i="5"/>
  <c r="Q401" i="5"/>
  <c r="P401" i="5"/>
  <c r="L401" i="5"/>
  <c r="I401" i="5"/>
  <c r="H401" i="5"/>
  <c r="U401" i="5" s="1"/>
  <c r="S400" i="5"/>
  <c r="R400" i="5"/>
  <c r="Q400" i="5"/>
  <c r="P400" i="5"/>
  <c r="L400" i="5"/>
  <c r="I400" i="5"/>
  <c r="H400" i="5"/>
  <c r="O400" i="5" s="1"/>
  <c r="V400" i="5" s="1"/>
  <c r="S399" i="5"/>
  <c r="R399" i="5"/>
  <c r="Q399" i="5"/>
  <c r="P399" i="5"/>
  <c r="L399" i="5"/>
  <c r="I399" i="5"/>
  <c r="H399" i="5"/>
  <c r="U399" i="5" s="1"/>
  <c r="S398" i="5"/>
  <c r="R398" i="5"/>
  <c r="Q398" i="5"/>
  <c r="P398" i="5"/>
  <c r="L398" i="5"/>
  <c r="I398" i="5"/>
  <c r="H398" i="5"/>
  <c r="U398" i="5" s="1"/>
  <c r="S397" i="5"/>
  <c r="R397" i="5"/>
  <c r="Q397" i="5"/>
  <c r="P397" i="5"/>
  <c r="L397" i="5"/>
  <c r="I397" i="5"/>
  <c r="H397" i="5"/>
  <c r="U397" i="5" s="1"/>
  <c r="Z397" i="5" s="1"/>
  <c r="S396" i="5"/>
  <c r="R396" i="5"/>
  <c r="Q396" i="5"/>
  <c r="P396" i="5"/>
  <c r="L396" i="5"/>
  <c r="I396" i="5"/>
  <c r="H396" i="5"/>
  <c r="U396" i="5" s="1"/>
  <c r="Z396" i="5" s="1"/>
  <c r="S395" i="5"/>
  <c r="R395" i="5"/>
  <c r="Q395" i="5"/>
  <c r="P395" i="5"/>
  <c r="L395" i="5"/>
  <c r="I395" i="5"/>
  <c r="H395" i="5"/>
  <c r="U395" i="5" s="1"/>
  <c r="Z395" i="5" s="1"/>
  <c r="S394" i="5"/>
  <c r="R394" i="5"/>
  <c r="Q394" i="5"/>
  <c r="P394" i="5"/>
  <c r="L394" i="5"/>
  <c r="I394" i="5"/>
  <c r="H394" i="5"/>
  <c r="U394" i="5" s="1"/>
  <c r="Z394" i="5" s="1"/>
  <c r="S393" i="5"/>
  <c r="R393" i="5"/>
  <c r="Q393" i="5"/>
  <c r="P393" i="5"/>
  <c r="L393" i="5"/>
  <c r="I393" i="5"/>
  <c r="H393" i="5"/>
  <c r="U393" i="5" s="1"/>
  <c r="Z393" i="5" s="1"/>
  <c r="S392" i="5"/>
  <c r="R392" i="5"/>
  <c r="Q392" i="5"/>
  <c r="P392" i="5"/>
  <c r="L392" i="5"/>
  <c r="I392" i="5"/>
  <c r="H392" i="5"/>
  <c r="U392" i="5" s="1"/>
  <c r="V391" i="5"/>
  <c r="S391" i="5"/>
  <c r="R391" i="5"/>
  <c r="Q391" i="5"/>
  <c r="P391" i="5"/>
  <c r="L391" i="5"/>
  <c r="I391" i="5"/>
  <c r="H391" i="5"/>
  <c r="O391" i="5" s="1"/>
  <c r="S390" i="5"/>
  <c r="R390" i="5"/>
  <c r="Q390" i="5"/>
  <c r="P390" i="5"/>
  <c r="L390" i="5"/>
  <c r="I390" i="5"/>
  <c r="H390" i="5"/>
  <c r="O390" i="5" s="1"/>
  <c r="S389" i="5"/>
  <c r="R389" i="5"/>
  <c r="Q389" i="5"/>
  <c r="P389" i="5"/>
  <c r="L389" i="5"/>
  <c r="I389" i="5"/>
  <c r="H389" i="5"/>
  <c r="O389" i="5" s="1"/>
  <c r="S388" i="5"/>
  <c r="R388" i="5"/>
  <c r="Q388" i="5"/>
  <c r="P388" i="5"/>
  <c r="L388" i="5"/>
  <c r="I388" i="5"/>
  <c r="H388" i="5"/>
  <c r="U388" i="5" s="1"/>
  <c r="S387" i="5"/>
  <c r="R387" i="5"/>
  <c r="Q387" i="5"/>
  <c r="P387" i="5"/>
  <c r="L387" i="5"/>
  <c r="I387" i="5"/>
  <c r="H387" i="5"/>
  <c r="O387" i="5" s="1"/>
  <c r="S386" i="5"/>
  <c r="R386" i="5"/>
  <c r="Q386" i="5"/>
  <c r="P386" i="5"/>
  <c r="L386" i="5"/>
  <c r="I386" i="5"/>
  <c r="H386" i="5"/>
  <c r="U386" i="5" s="1"/>
  <c r="Z386" i="5" s="1"/>
  <c r="S385" i="5"/>
  <c r="R385" i="5"/>
  <c r="Q385" i="5"/>
  <c r="P385" i="5"/>
  <c r="L385" i="5"/>
  <c r="I385" i="5"/>
  <c r="H385" i="5"/>
  <c r="U385" i="5" s="1"/>
  <c r="S384" i="5"/>
  <c r="R384" i="5"/>
  <c r="Q384" i="5"/>
  <c r="P384" i="5"/>
  <c r="L384" i="5"/>
  <c r="I384" i="5"/>
  <c r="H384" i="5"/>
  <c r="U384" i="5" s="1"/>
  <c r="Z384" i="5" s="1"/>
  <c r="S383" i="5"/>
  <c r="R383" i="5"/>
  <c r="Q383" i="5"/>
  <c r="P383" i="5"/>
  <c r="L383" i="5"/>
  <c r="I383" i="5"/>
  <c r="H383" i="5"/>
  <c r="U383" i="5" s="1"/>
  <c r="Z383" i="5" s="1"/>
  <c r="S382" i="5"/>
  <c r="R382" i="5"/>
  <c r="Q382" i="5"/>
  <c r="P382" i="5"/>
  <c r="L382" i="5"/>
  <c r="I382" i="5"/>
  <c r="H382" i="5"/>
  <c r="U382" i="5" s="1"/>
  <c r="Z382" i="5" s="1"/>
  <c r="S381" i="5"/>
  <c r="R381" i="5"/>
  <c r="Q381" i="5"/>
  <c r="P381" i="5"/>
  <c r="L381" i="5"/>
  <c r="I381" i="5"/>
  <c r="H381" i="5"/>
  <c r="U381" i="5" s="1"/>
  <c r="S380" i="5"/>
  <c r="R380" i="5"/>
  <c r="Q380" i="5"/>
  <c r="P380" i="5"/>
  <c r="L380" i="5"/>
  <c r="I380" i="5"/>
  <c r="H380" i="5"/>
  <c r="U380" i="5" s="1"/>
  <c r="Z380" i="5" s="1"/>
  <c r="S379" i="5"/>
  <c r="R379" i="5"/>
  <c r="Q379" i="5"/>
  <c r="P379" i="5"/>
  <c r="L379" i="5"/>
  <c r="I379" i="5"/>
  <c r="H379" i="5"/>
  <c r="U379" i="5" s="1"/>
  <c r="Z379" i="5" s="1"/>
  <c r="S378" i="5"/>
  <c r="R378" i="5"/>
  <c r="Q378" i="5"/>
  <c r="P378" i="5"/>
  <c r="L378" i="5"/>
  <c r="I378" i="5"/>
  <c r="H378" i="5"/>
  <c r="U378" i="5" s="1"/>
  <c r="Z378" i="5" s="1"/>
  <c r="S377" i="5"/>
  <c r="R377" i="5"/>
  <c r="Q377" i="5"/>
  <c r="P377" i="5"/>
  <c r="L377" i="5"/>
  <c r="I377" i="5"/>
  <c r="H377" i="5"/>
  <c r="O377" i="5" s="1"/>
  <c r="S376" i="5"/>
  <c r="R376" i="5"/>
  <c r="Q376" i="5"/>
  <c r="P376" i="5"/>
  <c r="L376" i="5"/>
  <c r="I376" i="5"/>
  <c r="H376" i="5"/>
  <c r="U376" i="5" s="1"/>
  <c r="Z376" i="5" s="1"/>
  <c r="S375" i="5"/>
  <c r="R375" i="5"/>
  <c r="Q375" i="5"/>
  <c r="P375" i="5"/>
  <c r="L375" i="5"/>
  <c r="I375" i="5"/>
  <c r="H375" i="5"/>
  <c r="U375" i="5" s="1"/>
  <c r="Z375" i="5" s="1"/>
  <c r="S374" i="5"/>
  <c r="R374" i="5"/>
  <c r="Q374" i="5"/>
  <c r="P374" i="5"/>
  <c r="L374" i="5"/>
  <c r="I374" i="5"/>
  <c r="H374" i="5"/>
  <c r="O374" i="5" s="1"/>
  <c r="S373" i="5"/>
  <c r="R373" i="5"/>
  <c r="Q373" i="5"/>
  <c r="P373" i="5"/>
  <c r="L373" i="5"/>
  <c r="I373" i="5"/>
  <c r="H373" i="5"/>
  <c r="U373" i="5" s="1"/>
  <c r="S372" i="5"/>
  <c r="R372" i="5"/>
  <c r="Q372" i="5"/>
  <c r="P372" i="5"/>
  <c r="L372" i="5"/>
  <c r="I372" i="5"/>
  <c r="H372" i="5"/>
  <c r="U372" i="5" s="1"/>
  <c r="S371" i="5"/>
  <c r="R371" i="5"/>
  <c r="Q371" i="5"/>
  <c r="P371" i="5"/>
  <c r="L371" i="5"/>
  <c r="I371" i="5"/>
  <c r="H371" i="5"/>
  <c r="U371" i="5" s="1"/>
  <c r="Z371" i="5" s="1"/>
  <c r="S370" i="5"/>
  <c r="R370" i="5"/>
  <c r="Q370" i="5"/>
  <c r="P370" i="5"/>
  <c r="L370" i="5"/>
  <c r="I370" i="5"/>
  <c r="H370" i="5"/>
  <c r="U370" i="5" s="1"/>
  <c r="Z370" i="5" s="1"/>
  <c r="S369" i="5"/>
  <c r="R369" i="5"/>
  <c r="Q369" i="5"/>
  <c r="P369" i="5"/>
  <c r="L369" i="5"/>
  <c r="I369" i="5"/>
  <c r="H369" i="5"/>
  <c r="U369" i="5" s="1"/>
  <c r="Z369" i="5" s="1"/>
  <c r="S368" i="5"/>
  <c r="R368" i="5"/>
  <c r="Q368" i="5"/>
  <c r="P368" i="5"/>
  <c r="L368" i="5"/>
  <c r="I368" i="5"/>
  <c r="H368" i="5"/>
  <c r="O368" i="5" s="1"/>
  <c r="V368" i="5" s="1"/>
  <c r="S367" i="5"/>
  <c r="R367" i="5"/>
  <c r="Q367" i="5"/>
  <c r="P367" i="5"/>
  <c r="L367" i="5"/>
  <c r="I367" i="5"/>
  <c r="H367" i="5"/>
  <c r="U367" i="5" s="1"/>
  <c r="Z367" i="5" s="1"/>
  <c r="S366" i="5"/>
  <c r="R366" i="5"/>
  <c r="Q366" i="5"/>
  <c r="P366" i="5"/>
  <c r="L366" i="5"/>
  <c r="I366" i="5"/>
  <c r="H366" i="5"/>
  <c r="O366" i="5" s="1"/>
  <c r="V366" i="5" s="1"/>
  <c r="S365" i="5"/>
  <c r="R365" i="5"/>
  <c r="Q365" i="5"/>
  <c r="P365" i="5"/>
  <c r="L365" i="5"/>
  <c r="I365" i="5"/>
  <c r="H365" i="5"/>
  <c r="O365" i="5" s="1"/>
  <c r="V365" i="5" s="1"/>
  <c r="S364" i="5"/>
  <c r="R364" i="5"/>
  <c r="Q364" i="5"/>
  <c r="P364" i="5"/>
  <c r="L364" i="5"/>
  <c r="I364" i="5"/>
  <c r="H364" i="5"/>
  <c r="U364" i="5" s="1"/>
  <c r="S363" i="5"/>
  <c r="R363" i="5"/>
  <c r="Q363" i="5"/>
  <c r="P363" i="5"/>
  <c r="L363" i="5"/>
  <c r="I363" i="5"/>
  <c r="H363" i="5"/>
  <c r="U363" i="5" s="1"/>
  <c r="S362" i="5"/>
  <c r="R362" i="5"/>
  <c r="Q362" i="5"/>
  <c r="P362" i="5"/>
  <c r="L362" i="5"/>
  <c r="I362" i="5"/>
  <c r="H362" i="5"/>
  <c r="O362" i="5" s="1"/>
  <c r="S361" i="5"/>
  <c r="R361" i="5"/>
  <c r="Q361" i="5"/>
  <c r="P361" i="5"/>
  <c r="L361" i="5"/>
  <c r="I361" i="5"/>
  <c r="H361" i="5"/>
  <c r="U361" i="5" s="1"/>
  <c r="S360" i="5"/>
  <c r="R360" i="5"/>
  <c r="Q360" i="5"/>
  <c r="P360" i="5"/>
  <c r="L360" i="5"/>
  <c r="I360" i="5"/>
  <c r="H360" i="5"/>
  <c r="U360" i="5" s="1"/>
  <c r="Z360" i="5" s="1"/>
  <c r="S359" i="5"/>
  <c r="R359" i="5"/>
  <c r="Q359" i="5"/>
  <c r="P359" i="5"/>
  <c r="L359" i="5"/>
  <c r="I359" i="5"/>
  <c r="H359" i="5"/>
  <c r="U359" i="5" s="1"/>
  <c r="Z359" i="5" s="1"/>
  <c r="S358" i="5"/>
  <c r="R358" i="5"/>
  <c r="Q358" i="5"/>
  <c r="P358" i="5"/>
  <c r="L358" i="5"/>
  <c r="I358" i="5"/>
  <c r="H358" i="5"/>
  <c r="U358" i="5" s="1"/>
  <c r="Z358" i="5" s="1"/>
  <c r="S357" i="5"/>
  <c r="R357" i="5"/>
  <c r="Q357" i="5"/>
  <c r="P357" i="5"/>
  <c r="L357" i="5"/>
  <c r="I357" i="5"/>
  <c r="H357" i="5"/>
  <c r="O357" i="5" s="1"/>
  <c r="S356" i="5"/>
  <c r="R356" i="5"/>
  <c r="Q356" i="5"/>
  <c r="P356" i="5"/>
  <c r="L356" i="5"/>
  <c r="I356" i="5"/>
  <c r="H356" i="5"/>
  <c r="U356" i="5" s="1"/>
  <c r="S355" i="5"/>
  <c r="R355" i="5"/>
  <c r="Q355" i="5"/>
  <c r="P355" i="5"/>
  <c r="L355" i="5"/>
  <c r="I355" i="5"/>
  <c r="H355" i="5"/>
  <c r="O355" i="5" s="1"/>
  <c r="S354" i="5"/>
  <c r="R354" i="5"/>
  <c r="Q354" i="5"/>
  <c r="P354" i="5"/>
  <c r="L354" i="5"/>
  <c r="I354" i="5"/>
  <c r="H354" i="5"/>
  <c r="U354" i="5" s="1"/>
  <c r="Z354" i="5" s="1"/>
  <c r="S353" i="5"/>
  <c r="R353" i="5"/>
  <c r="Q353" i="5"/>
  <c r="P353" i="5"/>
  <c r="L353" i="5"/>
  <c r="I353" i="5"/>
  <c r="H353" i="5"/>
  <c r="O353" i="5" s="1"/>
  <c r="S352" i="5"/>
  <c r="R352" i="5"/>
  <c r="Q352" i="5"/>
  <c r="P352" i="5"/>
  <c r="L352" i="5"/>
  <c r="I352" i="5"/>
  <c r="H352" i="5"/>
  <c r="O352" i="5" s="1"/>
  <c r="S351" i="5"/>
  <c r="R351" i="5"/>
  <c r="Q351" i="5"/>
  <c r="P351" i="5"/>
  <c r="L351" i="5"/>
  <c r="I351" i="5"/>
  <c r="H351" i="5"/>
  <c r="U351" i="5" s="1"/>
  <c r="Z351" i="5" s="1"/>
  <c r="S350" i="5"/>
  <c r="R350" i="5"/>
  <c r="Q350" i="5"/>
  <c r="P350" i="5"/>
  <c r="L350" i="5"/>
  <c r="I350" i="5"/>
  <c r="H350" i="5"/>
  <c r="O350" i="5" s="1"/>
  <c r="S349" i="5"/>
  <c r="R349" i="5"/>
  <c r="Q349" i="5"/>
  <c r="P349" i="5"/>
  <c r="L349" i="5"/>
  <c r="I349" i="5"/>
  <c r="H349" i="5"/>
  <c r="U349" i="5" s="1"/>
  <c r="S348" i="5"/>
  <c r="R348" i="5"/>
  <c r="Q348" i="5"/>
  <c r="P348" i="5"/>
  <c r="L348" i="5"/>
  <c r="I348" i="5"/>
  <c r="H348" i="5"/>
  <c r="O348" i="5" s="1"/>
  <c r="S347" i="5"/>
  <c r="R347" i="5"/>
  <c r="Q347" i="5"/>
  <c r="P347" i="5"/>
  <c r="L347" i="5"/>
  <c r="I347" i="5"/>
  <c r="H347" i="5"/>
  <c r="O347" i="5" s="1"/>
  <c r="S346" i="5"/>
  <c r="R346" i="5"/>
  <c r="Q346" i="5"/>
  <c r="P346" i="5"/>
  <c r="L346" i="5"/>
  <c r="I346" i="5"/>
  <c r="H346" i="5"/>
  <c r="O346" i="5" s="1"/>
  <c r="S345" i="5"/>
  <c r="R345" i="5"/>
  <c r="Q345" i="5"/>
  <c r="P345" i="5"/>
  <c r="L345" i="5"/>
  <c r="I345" i="5"/>
  <c r="H345" i="5"/>
  <c r="U345" i="5" s="1"/>
  <c r="S344" i="5"/>
  <c r="R344" i="5"/>
  <c r="Q344" i="5"/>
  <c r="P344" i="5"/>
  <c r="L344" i="5"/>
  <c r="I344" i="5"/>
  <c r="H344" i="5"/>
  <c r="U344" i="5" s="1"/>
  <c r="Z344" i="5" s="1"/>
  <c r="S343" i="5"/>
  <c r="R343" i="5"/>
  <c r="Q343" i="5"/>
  <c r="P343" i="5"/>
  <c r="L343" i="5"/>
  <c r="I343" i="5"/>
  <c r="H343" i="5"/>
  <c r="U343" i="5" s="1"/>
  <c r="Z343" i="5" s="1"/>
  <c r="S342" i="5"/>
  <c r="R342" i="5"/>
  <c r="Q342" i="5"/>
  <c r="P342" i="5"/>
  <c r="L342" i="5"/>
  <c r="I342" i="5"/>
  <c r="H342" i="5"/>
  <c r="O342" i="5" s="1"/>
  <c r="S341" i="5"/>
  <c r="R341" i="5"/>
  <c r="Q341" i="5"/>
  <c r="P341" i="5"/>
  <c r="L341" i="5"/>
  <c r="I341" i="5"/>
  <c r="H341" i="5"/>
  <c r="U341" i="5" s="1"/>
  <c r="Z341" i="5" s="1"/>
  <c r="S340" i="5"/>
  <c r="R340" i="5"/>
  <c r="Q340" i="5"/>
  <c r="P340" i="5"/>
  <c r="L340" i="5"/>
  <c r="I340" i="5"/>
  <c r="H340" i="5"/>
  <c r="U340" i="5" s="1"/>
  <c r="S339" i="5"/>
  <c r="R339" i="5"/>
  <c r="Q339" i="5"/>
  <c r="P339" i="5"/>
  <c r="L339" i="5"/>
  <c r="I339" i="5"/>
  <c r="H339" i="5"/>
  <c r="O339" i="5" s="1"/>
  <c r="S338" i="5"/>
  <c r="R338" i="5"/>
  <c r="Q338" i="5"/>
  <c r="P338" i="5"/>
  <c r="L338" i="5"/>
  <c r="I338" i="5"/>
  <c r="H338" i="5"/>
  <c r="O338" i="5" s="1"/>
  <c r="V338" i="5" s="1"/>
  <c r="S337" i="5"/>
  <c r="R337" i="5"/>
  <c r="Q337" i="5"/>
  <c r="P337" i="5"/>
  <c r="L337" i="5"/>
  <c r="I337" i="5"/>
  <c r="H337" i="5"/>
  <c r="O337" i="5" s="1"/>
  <c r="S336" i="5"/>
  <c r="R336" i="5"/>
  <c r="Q336" i="5"/>
  <c r="P336" i="5"/>
  <c r="L336" i="5"/>
  <c r="I336" i="5"/>
  <c r="H336" i="5"/>
  <c r="O336" i="5" s="1"/>
  <c r="S335" i="5"/>
  <c r="R335" i="5"/>
  <c r="Q335" i="5"/>
  <c r="P335" i="5"/>
  <c r="L335" i="5"/>
  <c r="I335" i="5"/>
  <c r="H335" i="5"/>
  <c r="AB111" i="9"/>
  <c r="Y111" i="9"/>
  <c r="X111" i="9"/>
  <c r="W111" i="9"/>
  <c r="V111" i="9"/>
  <c r="N111" i="9"/>
  <c r="M111" i="9"/>
  <c r="K111" i="9"/>
  <c r="J111" i="9"/>
  <c r="G111" i="9"/>
  <c r="S110" i="9"/>
  <c r="R110" i="9"/>
  <c r="Q110" i="9"/>
  <c r="P110" i="9"/>
  <c r="L110" i="9"/>
  <c r="I110" i="9"/>
  <c r="H110" i="9"/>
  <c r="U110" i="9" s="1"/>
  <c r="Z110" i="9" s="1"/>
  <c r="S109" i="9"/>
  <c r="R109" i="9"/>
  <c r="Q109" i="9"/>
  <c r="P109" i="9"/>
  <c r="H109" i="9"/>
  <c r="U109" i="9" s="1"/>
  <c r="Z109" i="9" s="1"/>
  <c r="AA109" i="9" s="1"/>
  <c r="S108" i="9"/>
  <c r="R108" i="9"/>
  <c r="Q108" i="9"/>
  <c r="P108" i="9"/>
  <c r="L108" i="9"/>
  <c r="I108" i="9"/>
  <c r="H108" i="9"/>
  <c r="O108" i="9" s="1"/>
  <c r="S107" i="9"/>
  <c r="R107" i="9"/>
  <c r="Q107" i="9"/>
  <c r="P107" i="9"/>
  <c r="L107" i="9"/>
  <c r="I107" i="9"/>
  <c r="H107" i="9"/>
  <c r="U107" i="9" s="1"/>
  <c r="Z107" i="9" s="1"/>
  <c r="S106" i="9"/>
  <c r="R106" i="9"/>
  <c r="Q106" i="9"/>
  <c r="P106" i="9"/>
  <c r="L106" i="9"/>
  <c r="I106" i="9"/>
  <c r="H106" i="9"/>
  <c r="O106" i="9" s="1"/>
  <c r="S105" i="9"/>
  <c r="R105" i="9"/>
  <c r="Q105" i="9"/>
  <c r="P105" i="9"/>
  <c r="L105" i="9"/>
  <c r="I105" i="9"/>
  <c r="H105" i="9"/>
  <c r="U105" i="9" s="1"/>
  <c r="Z105" i="9" s="1"/>
  <c r="S104" i="9"/>
  <c r="R104" i="9"/>
  <c r="Q104" i="9"/>
  <c r="P104" i="9"/>
  <c r="L104" i="9"/>
  <c r="I104" i="9"/>
  <c r="H104" i="9"/>
  <c r="O104" i="9" s="1"/>
  <c r="S103" i="9"/>
  <c r="R103" i="9"/>
  <c r="Q103" i="9"/>
  <c r="P103" i="9"/>
  <c r="L103" i="9"/>
  <c r="I103" i="9"/>
  <c r="H103" i="9"/>
  <c r="U103" i="9" s="1"/>
  <c r="Z103" i="9" s="1"/>
  <c r="S102" i="9"/>
  <c r="R102" i="9"/>
  <c r="Q102" i="9"/>
  <c r="P102" i="9"/>
  <c r="L102" i="9"/>
  <c r="I102" i="9"/>
  <c r="H102" i="9"/>
  <c r="O102" i="9" s="1"/>
  <c r="S101" i="9"/>
  <c r="R101" i="9"/>
  <c r="Q101" i="9"/>
  <c r="P101" i="9"/>
  <c r="O101" i="9"/>
  <c r="L101" i="9"/>
  <c r="I101" i="9"/>
  <c r="H101" i="9"/>
  <c r="U101" i="9" s="1"/>
  <c r="Z101" i="9" s="1"/>
  <c r="S100" i="9"/>
  <c r="R100" i="9"/>
  <c r="Q100" i="9"/>
  <c r="P100" i="9"/>
  <c r="L100" i="9"/>
  <c r="I100" i="9"/>
  <c r="H100" i="9"/>
  <c r="O100" i="9" s="1"/>
  <c r="S99" i="9"/>
  <c r="R99" i="9"/>
  <c r="Q99" i="9"/>
  <c r="P99" i="9"/>
  <c r="L99" i="9"/>
  <c r="I99" i="9"/>
  <c r="H99" i="9"/>
  <c r="U99" i="9" s="1"/>
  <c r="Z99" i="9" s="1"/>
  <c r="S98" i="9"/>
  <c r="R98" i="9"/>
  <c r="Q98" i="9"/>
  <c r="P98" i="9"/>
  <c r="L98" i="9"/>
  <c r="I98" i="9"/>
  <c r="H98" i="9"/>
  <c r="O98" i="9" s="1"/>
  <c r="S97" i="9"/>
  <c r="R97" i="9"/>
  <c r="Q97" i="9"/>
  <c r="P97" i="9"/>
  <c r="L97" i="9"/>
  <c r="I97" i="9"/>
  <c r="H97" i="9"/>
  <c r="O97" i="9" s="1"/>
  <c r="S96" i="9"/>
  <c r="R96" i="9"/>
  <c r="Q96" i="9"/>
  <c r="P96" i="9"/>
  <c r="L96" i="9"/>
  <c r="I96" i="9"/>
  <c r="H96" i="9"/>
  <c r="O96" i="9" s="1"/>
  <c r="S95" i="9"/>
  <c r="R95" i="9"/>
  <c r="Q95" i="9"/>
  <c r="P95" i="9"/>
  <c r="L95" i="9"/>
  <c r="I95" i="9"/>
  <c r="H95" i="9"/>
  <c r="U95" i="9" s="1"/>
  <c r="Z95" i="9" s="1"/>
  <c r="S94" i="9"/>
  <c r="R94" i="9"/>
  <c r="Q94" i="9"/>
  <c r="P94" i="9"/>
  <c r="L94" i="9"/>
  <c r="I94" i="9"/>
  <c r="H94" i="9"/>
  <c r="O94" i="9" s="1"/>
  <c r="S93" i="9"/>
  <c r="R93" i="9"/>
  <c r="Q93" i="9"/>
  <c r="P93" i="9"/>
  <c r="L93" i="9"/>
  <c r="I93" i="9"/>
  <c r="H93" i="9"/>
  <c r="U93" i="9" s="1"/>
  <c r="S92" i="9"/>
  <c r="R92" i="9"/>
  <c r="T92" i="9" s="1"/>
  <c r="Q92" i="9"/>
  <c r="P92" i="9"/>
  <c r="L92" i="9"/>
  <c r="I92" i="9"/>
  <c r="H92" i="9"/>
  <c r="O92" i="9" s="1"/>
  <c r="S91" i="9"/>
  <c r="R91" i="9"/>
  <c r="Q91" i="9"/>
  <c r="P91" i="9"/>
  <c r="O91" i="9"/>
  <c r="L91" i="9"/>
  <c r="I91" i="9"/>
  <c r="H91" i="9"/>
  <c r="U91" i="9" s="1"/>
  <c r="Z91" i="9" s="1"/>
  <c r="S90" i="9"/>
  <c r="R90" i="9"/>
  <c r="Q90" i="9"/>
  <c r="T90" i="9" s="1"/>
  <c r="P90" i="9"/>
  <c r="L90" i="9"/>
  <c r="I90" i="9"/>
  <c r="H90" i="9"/>
  <c r="O90" i="9" s="1"/>
  <c r="S89" i="9"/>
  <c r="R89" i="9"/>
  <c r="Q89" i="9"/>
  <c r="P89" i="9"/>
  <c r="L89" i="9"/>
  <c r="I89" i="9"/>
  <c r="H89" i="9"/>
  <c r="O89" i="9" s="1"/>
  <c r="S88" i="9"/>
  <c r="R88" i="9"/>
  <c r="Q88" i="9"/>
  <c r="P88" i="9"/>
  <c r="L88" i="9"/>
  <c r="I88" i="9"/>
  <c r="H88" i="9"/>
  <c r="O88" i="9" s="1"/>
  <c r="S87" i="9"/>
  <c r="R87" i="9"/>
  <c r="Q87" i="9"/>
  <c r="P87" i="9"/>
  <c r="I87" i="9"/>
  <c r="H87" i="9"/>
  <c r="O87" i="9" s="1"/>
  <c r="S86" i="9"/>
  <c r="R86" i="9"/>
  <c r="Q86" i="9"/>
  <c r="P86" i="9"/>
  <c r="L86" i="9"/>
  <c r="I86" i="9"/>
  <c r="H86" i="9"/>
  <c r="O86" i="9" s="1"/>
  <c r="S85" i="9"/>
  <c r="R85" i="9"/>
  <c r="Q85" i="9"/>
  <c r="P85" i="9"/>
  <c r="L85" i="9"/>
  <c r="I85" i="9"/>
  <c r="H85" i="9"/>
  <c r="O85" i="9" s="1"/>
  <c r="S84" i="9"/>
  <c r="R84" i="9"/>
  <c r="T84" i="9" s="1"/>
  <c r="Q84" i="9"/>
  <c r="P84" i="9"/>
  <c r="L84" i="9"/>
  <c r="I84" i="9"/>
  <c r="H84" i="9"/>
  <c r="O84" i="9" s="1"/>
  <c r="S83" i="9"/>
  <c r="R83" i="9"/>
  <c r="Q83" i="9"/>
  <c r="P83" i="9"/>
  <c r="L83" i="9"/>
  <c r="I83" i="9"/>
  <c r="H83" i="9"/>
  <c r="O83" i="9" s="1"/>
  <c r="S82" i="9"/>
  <c r="R82" i="9"/>
  <c r="Q82" i="9"/>
  <c r="P82" i="9"/>
  <c r="L82" i="9"/>
  <c r="I82" i="9"/>
  <c r="H82" i="9"/>
  <c r="O82" i="9" s="1"/>
  <c r="S81" i="9"/>
  <c r="R81" i="9"/>
  <c r="Q81" i="9"/>
  <c r="P81" i="9"/>
  <c r="L81" i="9"/>
  <c r="I81" i="9"/>
  <c r="H81" i="9"/>
  <c r="O81" i="9" s="1"/>
  <c r="T80" i="9"/>
  <c r="S80" i="9"/>
  <c r="R80" i="9"/>
  <c r="Q80" i="9"/>
  <c r="P80" i="9"/>
  <c r="L80" i="9"/>
  <c r="I80" i="9"/>
  <c r="H80" i="9"/>
  <c r="O80" i="9" s="1"/>
  <c r="S79" i="9"/>
  <c r="R79" i="9"/>
  <c r="Q79" i="9"/>
  <c r="P79" i="9"/>
  <c r="L79" i="9"/>
  <c r="I79" i="9"/>
  <c r="H79" i="9"/>
  <c r="O79" i="9" s="1"/>
  <c r="S78" i="9"/>
  <c r="R78" i="9"/>
  <c r="Q78" i="9"/>
  <c r="P78" i="9"/>
  <c r="L78" i="9"/>
  <c r="I78" i="9"/>
  <c r="H78" i="9"/>
  <c r="O78" i="9" s="1"/>
  <c r="S77" i="9"/>
  <c r="R77" i="9"/>
  <c r="Q77" i="9"/>
  <c r="P77" i="9"/>
  <c r="L77" i="9"/>
  <c r="I77" i="9"/>
  <c r="H77" i="9"/>
  <c r="O77" i="9" s="1"/>
  <c r="S76" i="9"/>
  <c r="R76" i="9"/>
  <c r="Q76" i="9"/>
  <c r="P76" i="9"/>
  <c r="L76" i="9"/>
  <c r="I76" i="9"/>
  <c r="H76" i="9"/>
  <c r="O76" i="9" s="1"/>
  <c r="S75" i="9"/>
  <c r="R75" i="9"/>
  <c r="Q75" i="9"/>
  <c r="P75" i="9"/>
  <c r="L75" i="9"/>
  <c r="I75" i="9"/>
  <c r="H75" i="9"/>
  <c r="O75" i="9" s="1"/>
  <c r="S74" i="9"/>
  <c r="R74" i="9"/>
  <c r="Q74" i="9"/>
  <c r="P74" i="9"/>
  <c r="L74" i="9"/>
  <c r="I74" i="9"/>
  <c r="H74" i="9"/>
  <c r="O74" i="9" s="1"/>
  <c r="S73" i="9"/>
  <c r="R73" i="9"/>
  <c r="Q73" i="9"/>
  <c r="P73" i="9"/>
  <c r="L73" i="9"/>
  <c r="I73" i="9"/>
  <c r="H73" i="9"/>
  <c r="O73" i="9" s="1"/>
  <c r="S72" i="9"/>
  <c r="R72" i="9"/>
  <c r="Q72" i="9"/>
  <c r="P72" i="9"/>
  <c r="L72" i="9"/>
  <c r="I72" i="9"/>
  <c r="H72" i="9"/>
  <c r="U72" i="9" s="1"/>
  <c r="S71" i="9"/>
  <c r="R71" i="9"/>
  <c r="Q71" i="9"/>
  <c r="P71" i="9"/>
  <c r="L71" i="9"/>
  <c r="I71" i="9"/>
  <c r="H71" i="9"/>
  <c r="S70" i="9"/>
  <c r="R70" i="9"/>
  <c r="Q70" i="9"/>
  <c r="P70" i="9"/>
  <c r="O70" i="9"/>
  <c r="L70" i="9"/>
  <c r="I70" i="9"/>
  <c r="H70" i="9"/>
  <c r="U70" i="9" s="1"/>
  <c r="S69" i="9"/>
  <c r="R69" i="9"/>
  <c r="Q69" i="9"/>
  <c r="P69" i="9"/>
  <c r="L69" i="9"/>
  <c r="I69" i="9"/>
  <c r="H69" i="9"/>
  <c r="O69" i="9" s="1"/>
  <c r="S68" i="9"/>
  <c r="R68" i="9"/>
  <c r="Q68" i="9"/>
  <c r="P68" i="9"/>
  <c r="L68" i="9"/>
  <c r="I68" i="9"/>
  <c r="H68" i="9"/>
  <c r="O68" i="9" s="1"/>
  <c r="S67" i="9"/>
  <c r="T67" i="9" s="1"/>
  <c r="R67" i="9"/>
  <c r="Q67" i="9"/>
  <c r="P67" i="9"/>
  <c r="L67" i="9"/>
  <c r="I67" i="9"/>
  <c r="H67" i="9"/>
  <c r="O67" i="9" s="1"/>
  <c r="V67" i="9" s="1"/>
  <c r="S66" i="9"/>
  <c r="R66" i="9"/>
  <c r="Q66" i="9"/>
  <c r="P66" i="9"/>
  <c r="L66" i="9"/>
  <c r="I66" i="9"/>
  <c r="H66" i="9"/>
  <c r="O66" i="9" s="1"/>
  <c r="S65" i="9"/>
  <c r="R65" i="9"/>
  <c r="Q65" i="9"/>
  <c r="P65" i="9"/>
  <c r="L65" i="9"/>
  <c r="I65" i="9"/>
  <c r="H65" i="9"/>
  <c r="O65" i="9" s="1"/>
  <c r="V65" i="9" s="1"/>
  <c r="S64" i="9"/>
  <c r="R64" i="9"/>
  <c r="Q64" i="9"/>
  <c r="P64" i="9"/>
  <c r="O64" i="9"/>
  <c r="L64" i="9"/>
  <c r="I64" i="9"/>
  <c r="H64" i="9"/>
  <c r="U64" i="9" s="1"/>
  <c r="Z64" i="9" s="1"/>
  <c r="S63" i="9"/>
  <c r="R63" i="9"/>
  <c r="Q63" i="9"/>
  <c r="P63" i="9"/>
  <c r="O63" i="9"/>
  <c r="L63" i="9"/>
  <c r="I63" i="9"/>
  <c r="H63" i="9"/>
  <c r="U63" i="9" s="1"/>
  <c r="Z63" i="9" s="1"/>
  <c r="S62" i="9"/>
  <c r="R62" i="9"/>
  <c r="Q62" i="9"/>
  <c r="P62" i="9"/>
  <c r="L62" i="9"/>
  <c r="I62" i="9"/>
  <c r="H62" i="9"/>
  <c r="O62" i="9" s="1"/>
  <c r="S61" i="9"/>
  <c r="R61" i="9"/>
  <c r="Q61" i="9"/>
  <c r="P61" i="9"/>
  <c r="L61" i="9"/>
  <c r="I61" i="9"/>
  <c r="H61" i="9"/>
  <c r="U61" i="9" s="1"/>
  <c r="S60" i="9"/>
  <c r="R60" i="9"/>
  <c r="Q60" i="9"/>
  <c r="P60" i="9"/>
  <c r="L60" i="9"/>
  <c r="I60" i="9"/>
  <c r="H60" i="9"/>
  <c r="S59" i="9"/>
  <c r="R59" i="9"/>
  <c r="Q59" i="9"/>
  <c r="P59" i="9"/>
  <c r="L59" i="9"/>
  <c r="I59" i="9"/>
  <c r="H59" i="9"/>
  <c r="U59" i="9" s="1"/>
  <c r="Z59" i="9" s="1"/>
  <c r="S58" i="9"/>
  <c r="R58" i="9"/>
  <c r="Q58" i="9"/>
  <c r="P58" i="9"/>
  <c r="L58" i="9"/>
  <c r="I58" i="9"/>
  <c r="H58" i="9"/>
  <c r="S57" i="9"/>
  <c r="R57" i="9"/>
  <c r="Q57" i="9"/>
  <c r="P57" i="9"/>
  <c r="L57" i="9"/>
  <c r="I57" i="9"/>
  <c r="H57" i="9"/>
  <c r="U57" i="9" s="1"/>
  <c r="S56" i="9"/>
  <c r="T56" i="9" s="1"/>
  <c r="R56" i="9"/>
  <c r="Q56" i="9"/>
  <c r="P56" i="9"/>
  <c r="L56" i="9"/>
  <c r="I56" i="9"/>
  <c r="H56" i="9"/>
  <c r="O56" i="9" s="1"/>
  <c r="S55" i="9"/>
  <c r="R55" i="9"/>
  <c r="Q55" i="9"/>
  <c r="P55" i="9"/>
  <c r="L55" i="9"/>
  <c r="I55" i="9"/>
  <c r="H55" i="9"/>
  <c r="O55" i="9" s="1"/>
  <c r="S54" i="9"/>
  <c r="R54" i="9"/>
  <c r="Q54" i="9"/>
  <c r="T54" i="9" s="1"/>
  <c r="P54" i="9"/>
  <c r="L54" i="9"/>
  <c r="I54" i="9"/>
  <c r="H54" i="9"/>
  <c r="O54" i="9" s="1"/>
  <c r="U53" i="9"/>
  <c r="S53" i="9"/>
  <c r="R53" i="9"/>
  <c r="Q53" i="9"/>
  <c r="P53" i="9"/>
  <c r="L53" i="9"/>
  <c r="I53" i="9"/>
  <c r="H53" i="9"/>
  <c r="O53" i="9" s="1"/>
  <c r="S52" i="9"/>
  <c r="R52" i="9"/>
  <c r="Q52" i="9"/>
  <c r="P52" i="9"/>
  <c r="L52" i="9"/>
  <c r="I52" i="9"/>
  <c r="H52" i="9"/>
  <c r="O52" i="9" s="1"/>
  <c r="U51" i="9"/>
  <c r="Z51" i="9" s="1"/>
  <c r="S51" i="9"/>
  <c r="R51" i="9"/>
  <c r="Q51" i="9"/>
  <c r="P51" i="9"/>
  <c r="L51" i="9"/>
  <c r="I51" i="9"/>
  <c r="H51" i="9"/>
  <c r="O51" i="9" s="1"/>
  <c r="S50" i="9"/>
  <c r="R50" i="9"/>
  <c r="Q50" i="9"/>
  <c r="P50" i="9"/>
  <c r="L50" i="9"/>
  <c r="I50" i="9"/>
  <c r="H50" i="9"/>
  <c r="U50" i="9" s="1"/>
  <c r="Z50" i="9" s="1"/>
  <c r="S49" i="9"/>
  <c r="R49" i="9"/>
  <c r="Q49" i="9"/>
  <c r="P49" i="9"/>
  <c r="L49" i="9"/>
  <c r="I49" i="9"/>
  <c r="H49" i="9"/>
  <c r="S48" i="9"/>
  <c r="R48" i="9"/>
  <c r="Q48" i="9"/>
  <c r="P48" i="9"/>
  <c r="L48" i="9"/>
  <c r="I48" i="9"/>
  <c r="H48" i="9"/>
  <c r="U48" i="9" s="1"/>
  <c r="Z48" i="9" s="1"/>
  <c r="S47" i="9"/>
  <c r="R47" i="9"/>
  <c r="Q47" i="9"/>
  <c r="P47" i="9"/>
  <c r="L47" i="9"/>
  <c r="I47" i="9"/>
  <c r="H47" i="9"/>
  <c r="S46" i="9"/>
  <c r="R46" i="9"/>
  <c r="Q46" i="9"/>
  <c r="P46" i="9"/>
  <c r="L46" i="9"/>
  <c r="I46" i="9"/>
  <c r="H46" i="9"/>
  <c r="U46" i="9" s="1"/>
  <c r="Z46" i="9" s="1"/>
  <c r="S45" i="9"/>
  <c r="R45" i="9"/>
  <c r="Q45" i="9"/>
  <c r="P45" i="9"/>
  <c r="L45" i="9"/>
  <c r="I45" i="9"/>
  <c r="H45" i="9"/>
  <c r="S44" i="9"/>
  <c r="R44" i="9"/>
  <c r="Q44" i="9"/>
  <c r="P44" i="9"/>
  <c r="L44" i="9"/>
  <c r="I44" i="9"/>
  <c r="H44" i="9"/>
  <c r="U44" i="9" s="1"/>
  <c r="S43" i="9"/>
  <c r="R43" i="9"/>
  <c r="Q43" i="9"/>
  <c r="T43" i="9" s="1"/>
  <c r="P43" i="9"/>
  <c r="L43" i="9"/>
  <c r="I43" i="9"/>
  <c r="H43" i="9"/>
  <c r="O43" i="9" s="1"/>
  <c r="S42" i="9"/>
  <c r="R42" i="9"/>
  <c r="Q42" i="9"/>
  <c r="P42" i="9"/>
  <c r="L42" i="9"/>
  <c r="I42" i="9"/>
  <c r="H42" i="9"/>
  <c r="O42" i="9" s="1"/>
  <c r="S41" i="9"/>
  <c r="R41" i="9"/>
  <c r="Q41" i="9"/>
  <c r="P41" i="9"/>
  <c r="L41" i="9"/>
  <c r="I41" i="9"/>
  <c r="H41" i="9"/>
  <c r="O41" i="9" s="1"/>
  <c r="V41" i="9" s="1"/>
  <c r="U40" i="9"/>
  <c r="Z40" i="9" s="1"/>
  <c r="S40" i="9"/>
  <c r="R40" i="9"/>
  <c r="Q40" i="9"/>
  <c r="P40" i="9"/>
  <c r="L40" i="9"/>
  <c r="I40" i="9"/>
  <c r="H40" i="9"/>
  <c r="O40" i="9" s="1"/>
  <c r="S39" i="9"/>
  <c r="R39" i="9"/>
  <c r="Q39" i="9"/>
  <c r="P39" i="9"/>
  <c r="L39" i="9"/>
  <c r="I39" i="9"/>
  <c r="H39" i="9"/>
  <c r="U39" i="9" s="1"/>
  <c r="S38" i="9"/>
  <c r="R38" i="9"/>
  <c r="Q38" i="9"/>
  <c r="P38" i="9"/>
  <c r="L38" i="9"/>
  <c r="I38" i="9"/>
  <c r="H38" i="9"/>
  <c r="S37" i="9"/>
  <c r="R37" i="9"/>
  <c r="Q37" i="9"/>
  <c r="P37" i="9"/>
  <c r="L37" i="9"/>
  <c r="I37" i="9"/>
  <c r="H37" i="9"/>
  <c r="U37" i="9" s="1"/>
  <c r="Z37" i="9" s="1"/>
  <c r="S36" i="9"/>
  <c r="R36" i="9"/>
  <c r="Q36" i="9"/>
  <c r="P36" i="9"/>
  <c r="L36" i="9"/>
  <c r="I36" i="9"/>
  <c r="H36" i="9"/>
  <c r="O36" i="9" s="1"/>
  <c r="S35" i="9"/>
  <c r="R35" i="9"/>
  <c r="Q35" i="9"/>
  <c r="P35" i="9"/>
  <c r="L35" i="9"/>
  <c r="I35" i="9"/>
  <c r="H35" i="9"/>
  <c r="O35" i="9" s="1"/>
  <c r="S34" i="9"/>
  <c r="R34" i="9"/>
  <c r="Q34" i="9"/>
  <c r="T34" i="9" s="1"/>
  <c r="P34" i="9"/>
  <c r="L34" i="9"/>
  <c r="I34" i="9"/>
  <c r="H34" i="9"/>
  <c r="O34" i="9" s="1"/>
  <c r="S33" i="9"/>
  <c r="R33" i="9"/>
  <c r="Q33" i="9"/>
  <c r="P33" i="9"/>
  <c r="L33" i="9"/>
  <c r="I33" i="9"/>
  <c r="H33" i="9"/>
  <c r="O33" i="9" s="1"/>
  <c r="S32" i="9"/>
  <c r="R32" i="9"/>
  <c r="Q32" i="9"/>
  <c r="P32" i="9"/>
  <c r="L32" i="9"/>
  <c r="I32" i="9"/>
  <c r="H32" i="9"/>
  <c r="O32" i="9" s="1"/>
  <c r="S31" i="9"/>
  <c r="R31" i="9"/>
  <c r="Q31" i="9"/>
  <c r="P31" i="9"/>
  <c r="L31" i="9"/>
  <c r="I31" i="9"/>
  <c r="H31" i="9"/>
  <c r="O31" i="9" s="1"/>
  <c r="S30" i="9"/>
  <c r="R30" i="9"/>
  <c r="Q30" i="9"/>
  <c r="P30" i="9"/>
  <c r="L30" i="9"/>
  <c r="I30" i="9"/>
  <c r="H30" i="9"/>
  <c r="U30" i="9" s="1"/>
  <c r="S29" i="9"/>
  <c r="R29" i="9"/>
  <c r="Q29" i="9"/>
  <c r="P29" i="9"/>
  <c r="L29" i="9"/>
  <c r="I29" i="9"/>
  <c r="H29" i="9"/>
  <c r="O29" i="9" s="1"/>
  <c r="S28" i="9"/>
  <c r="R28" i="9"/>
  <c r="Q28" i="9"/>
  <c r="P28" i="9"/>
  <c r="L28" i="9"/>
  <c r="I28" i="9"/>
  <c r="H28" i="9"/>
  <c r="U28" i="9" s="1"/>
  <c r="Z28" i="9" s="1"/>
  <c r="U27" i="9"/>
  <c r="Z27" i="9" s="1"/>
  <c r="S27" i="9"/>
  <c r="R27" i="9"/>
  <c r="Q27" i="9"/>
  <c r="P27" i="9"/>
  <c r="L27" i="9"/>
  <c r="I27" i="9"/>
  <c r="H27" i="9"/>
  <c r="O27" i="9" s="1"/>
  <c r="S26" i="9"/>
  <c r="R26" i="9"/>
  <c r="Q26" i="9"/>
  <c r="P26" i="9"/>
  <c r="L26" i="9"/>
  <c r="I26" i="9"/>
  <c r="H26" i="9"/>
  <c r="O26" i="9" s="1"/>
  <c r="S25" i="9"/>
  <c r="R25" i="9"/>
  <c r="Q25" i="9"/>
  <c r="P25" i="9"/>
  <c r="L25" i="9"/>
  <c r="I25" i="9"/>
  <c r="H25" i="9"/>
  <c r="S24" i="9"/>
  <c r="R24" i="9"/>
  <c r="Q24" i="9"/>
  <c r="P24" i="9"/>
  <c r="L24" i="9"/>
  <c r="I24" i="9"/>
  <c r="H24" i="9"/>
  <c r="U24" i="9" s="1"/>
  <c r="Z24" i="9" s="1"/>
  <c r="S23" i="9"/>
  <c r="R23" i="9"/>
  <c r="Q23" i="9"/>
  <c r="P23" i="9"/>
  <c r="L23" i="9"/>
  <c r="I23" i="9"/>
  <c r="H23" i="9"/>
  <c r="S22" i="9"/>
  <c r="R22" i="9"/>
  <c r="Q22" i="9"/>
  <c r="P22" i="9"/>
  <c r="L22" i="9"/>
  <c r="I22" i="9"/>
  <c r="H22" i="9"/>
  <c r="U22" i="9" s="1"/>
  <c r="Z22" i="9" s="1"/>
  <c r="S21" i="9"/>
  <c r="R21" i="9"/>
  <c r="Q21" i="9"/>
  <c r="P21" i="9"/>
  <c r="L21" i="9"/>
  <c r="I21" i="9"/>
  <c r="H21" i="9"/>
  <c r="S20" i="9"/>
  <c r="R20" i="9"/>
  <c r="Q20" i="9"/>
  <c r="P20" i="9"/>
  <c r="L20" i="9"/>
  <c r="I20" i="9"/>
  <c r="H20" i="9"/>
  <c r="U20" i="9" s="1"/>
  <c r="S19" i="9"/>
  <c r="R19" i="9"/>
  <c r="Q19" i="9"/>
  <c r="P19" i="9"/>
  <c r="L19" i="9"/>
  <c r="I19" i="9"/>
  <c r="H19" i="9"/>
  <c r="O19" i="9" s="1"/>
  <c r="S18" i="9"/>
  <c r="R18" i="9"/>
  <c r="Q18" i="9"/>
  <c r="P18" i="9"/>
  <c r="O18" i="9"/>
  <c r="L18" i="9"/>
  <c r="I18" i="9"/>
  <c r="H18" i="9"/>
  <c r="U18" i="9" s="1"/>
  <c r="Z18" i="9" s="1"/>
  <c r="S17" i="9"/>
  <c r="R17" i="9"/>
  <c r="Q17" i="9"/>
  <c r="P17" i="9"/>
  <c r="L17" i="9"/>
  <c r="I17" i="9"/>
  <c r="H17" i="9"/>
  <c r="O17" i="9" s="1"/>
  <c r="S16" i="9"/>
  <c r="R16" i="9"/>
  <c r="Q16" i="9"/>
  <c r="P16" i="9"/>
  <c r="H16" i="9"/>
  <c r="U16" i="9" s="1"/>
  <c r="Z16" i="9" s="1"/>
  <c r="AA16" i="9" s="1"/>
  <c r="S15" i="9"/>
  <c r="R15" i="9"/>
  <c r="Q15" i="9"/>
  <c r="P15" i="9"/>
  <c r="L15" i="9"/>
  <c r="I15" i="9"/>
  <c r="H15" i="9"/>
  <c r="O15" i="9" s="1"/>
  <c r="S14" i="9"/>
  <c r="R14" i="9"/>
  <c r="Q14" i="9"/>
  <c r="P14" i="9"/>
  <c r="O14" i="9"/>
  <c r="AA14" i="9" s="1"/>
  <c r="L14" i="9"/>
  <c r="I14" i="9"/>
  <c r="H14" i="9"/>
  <c r="U14" i="9" s="1"/>
  <c r="Z14" i="9" s="1"/>
  <c r="S13" i="9"/>
  <c r="R13" i="9"/>
  <c r="Q13" i="9"/>
  <c r="P13" i="9"/>
  <c r="L13" i="9"/>
  <c r="I13" i="9"/>
  <c r="H13" i="9"/>
  <c r="S12" i="9"/>
  <c r="R12" i="9"/>
  <c r="Q12" i="9"/>
  <c r="P12" i="9"/>
  <c r="O12" i="9"/>
  <c r="AA12" i="9" s="1"/>
  <c r="L12" i="9"/>
  <c r="I12" i="9"/>
  <c r="H12" i="9"/>
  <c r="U12" i="9" s="1"/>
  <c r="Z12" i="9" s="1"/>
  <c r="S11" i="9"/>
  <c r="R11" i="9"/>
  <c r="Q11" i="9"/>
  <c r="P11" i="9"/>
  <c r="L11" i="9"/>
  <c r="I11" i="9"/>
  <c r="H11" i="9"/>
  <c r="S10" i="9"/>
  <c r="R10" i="9"/>
  <c r="Q10" i="9"/>
  <c r="P10" i="9"/>
  <c r="L10" i="9"/>
  <c r="I10" i="9"/>
  <c r="H10" i="9"/>
  <c r="U10" i="9" s="1"/>
  <c r="Z10" i="9" s="1"/>
  <c r="S9" i="9"/>
  <c r="R9" i="9"/>
  <c r="Q9" i="9"/>
  <c r="P9" i="9"/>
  <c r="L9" i="9"/>
  <c r="I9" i="9"/>
  <c r="H9" i="9"/>
  <c r="S8" i="9"/>
  <c r="R8" i="9"/>
  <c r="Q8" i="9"/>
  <c r="P8" i="9"/>
  <c r="L8" i="9"/>
  <c r="I8" i="9"/>
  <c r="H8" i="9"/>
  <c r="U8" i="9" s="1"/>
  <c r="Z8" i="9" s="1"/>
  <c r="S7" i="9"/>
  <c r="R7" i="9"/>
  <c r="Q7" i="9"/>
  <c r="P7" i="9"/>
  <c r="L7" i="9"/>
  <c r="I7" i="9"/>
  <c r="H7" i="9"/>
  <c r="S6" i="9"/>
  <c r="R6" i="9"/>
  <c r="Q6" i="9"/>
  <c r="P6" i="9"/>
  <c r="L6" i="9"/>
  <c r="I6" i="9"/>
  <c r="H6" i="9"/>
  <c r="U6" i="9" s="1"/>
  <c r="Z6" i="9" s="1"/>
  <c r="S5" i="9"/>
  <c r="R5" i="9"/>
  <c r="Q5" i="9"/>
  <c r="P5" i="9"/>
  <c r="L5" i="9"/>
  <c r="I5" i="9"/>
  <c r="H5" i="9"/>
  <c r="H111" i="9" s="1"/>
  <c r="AB204" i="8"/>
  <c r="Y204" i="8"/>
  <c r="X204" i="8"/>
  <c r="W204" i="8"/>
  <c r="N204" i="8"/>
  <c r="M204" i="8"/>
  <c r="K204" i="8"/>
  <c r="J204" i="8"/>
  <c r="G204" i="8"/>
  <c r="S203" i="8"/>
  <c r="R203" i="8"/>
  <c r="Q203" i="8"/>
  <c r="P203" i="8"/>
  <c r="L203" i="8"/>
  <c r="I203" i="8"/>
  <c r="H203" i="8"/>
  <c r="O203" i="8" s="1"/>
  <c r="S202" i="8"/>
  <c r="R202" i="8"/>
  <c r="Q202" i="8"/>
  <c r="P202" i="8"/>
  <c r="L202" i="8"/>
  <c r="I202" i="8"/>
  <c r="H202" i="8"/>
  <c r="S201" i="8"/>
  <c r="R201" i="8"/>
  <c r="Q201" i="8"/>
  <c r="P201" i="8"/>
  <c r="L201" i="8"/>
  <c r="I201" i="8"/>
  <c r="H201" i="8"/>
  <c r="O201" i="8" s="1"/>
  <c r="S200" i="8"/>
  <c r="R200" i="8"/>
  <c r="Q200" i="8"/>
  <c r="P200" i="8"/>
  <c r="L200" i="8"/>
  <c r="I200" i="8"/>
  <c r="H200" i="8"/>
  <c r="S199" i="8"/>
  <c r="R199" i="8"/>
  <c r="Q199" i="8"/>
  <c r="P199" i="8"/>
  <c r="L199" i="8"/>
  <c r="I199" i="8"/>
  <c r="H199" i="8"/>
  <c r="O199" i="8" s="1"/>
  <c r="S198" i="8"/>
  <c r="R198" i="8"/>
  <c r="Q198" i="8"/>
  <c r="P198" i="8"/>
  <c r="L198" i="8"/>
  <c r="I198" i="8"/>
  <c r="H198" i="8"/>
  <c r="S197" i="8"/>
  <c r="R197" i="8"/>
  <c r="Q197" i="8"/>
  <c r="P197" i="8"/>
  <c r="L197" i="8"/>
  <c r="I197" i="8"/>
  <c r="H197" i="8"/>
  <c r="O197" i="8" s="1"/>
  <c r="S196" i="8"/>
  <c r="R196" i="8"/>
  <c r="T196" i="8" s="1"/>
  <c r="Q196" i="8"/>
  <c r="P196" i="8"/>
  <c r="L196" i="8"/>
  <c r="I196" i="8"/>
  <c r="H196" i="8"/>
  <c r="S195" i="8"/>
  <c r="R195" i="8"/>
  <c r="Q195" i="8"/>
  <c r="P195" i="8"/>
  <c r="L195" i="8"/>
  <c r="I195" i="8"/>
  <c r="H195" i="8"/>
  <c r="U195" i="8" s="1"/>
  <c r="S194" i="8"/>
  <c r="R194" i="8"/>
  <c r="Q194" i="8"/>
  <c r="P194" i="8"/>
  <c r="L194" i="8"/>
  <c r="I194" i="8"/>
  <c r="H194" i="8"/>
  <c r="S193" i="8"/>
  <c r="R193" i="8"/>
  <c r="Q193" i="8"/>
  <c r="P193" i="8"/>
  <c r="L193" i="8"/>
  <c r="I193" i="8"/>
  <c r="H193" i="8"/>
  <c r="O193" i="8" s="1"/>
  <c r="S192" i="8"/>
  <c r="R192" i="8"/>
  <c r="T192" i="8" s="1"/>
  <c r="Q192" i="8"/>
  <c r="P192" i="8"/>
  <c r="L192" i="8"/>
  <c r="I192" i="8"/>
  <c r="H192" i="8"/>
  <c r="O192" i="8" s="1"/>
  <c r="S191" i="8"/>
  <c r="R191" i="8"/>
  <c r="Q191" i="8"/>
  <c r="P191" i="8"/>
  <c r="L191" i="8"/>
  <c r="I191" i="8"/>
  <c r="H191" i="8"/>
  <c r="U191" i="8" s="1"/>
  <c r="Z191" i="8" s="1"/>
  <c r="S190" i="8"/>
  <c r="R190" i="8"/>
  <c r="T190" i="8" s="1"/>
  <c r="Q190" i="8"/>
  <c r="P190" i="8"/>
  <c r="L190" i="8"/>
  <c r="I190" i="8"/>
  <c r="H190" i="8"/>
  <c r="O190" i="8" s="1"/>
  <c r="S189" i="8"/>
  <c r="R189" i="8"/>
  <c r="Q189" i="8"/>
  <c r="P189" i="8"/>
  <c r="L189" i="8"/>
  <c r="I189" i="8"/>
  <c r="H189" i="8"/>
  <c r="U189" i="8" s="1"/>
  <c r="Z189" i="8" s="1"/>
  <c r="S188" i="8"/>
  <c r="R188" i="8"/>
  <c r="T188" i="8" s="1"/>
  <c r="Q188" i="8"/>
  <c r="P188" i="8"/>
  <c r="L188" i="8"/>
  <c r="I188" i="8"/>
  <c r="H188" i="8"/>
  <c r="O188" i="8" s="1"/>
  <c r="S187" i="8"/>
  <c r="R187" i="8"/>
  <c r="Q187" i="8"/>
  <c r="P187" i="8"/>
  <c r="L187" i="8"/>
  <c r="I187" i="8"/>
  <c r="H187" i="8"/>
  <c r="U187" i="8" s="1"/>
  <c r="Z187" i="8" s="1"/>
  <c r="U186" i="8"/>
  <c r="S186" i="8"/>
  <c r="T186" i="8" s="1"/>
  <c r="R186" i="8"/>
  <c r="Q186" i="8"/>
  <c r="P186" i="8"/>
  <c r="O186" i="8"/>
  <c r="V186" i="8" s="1"/>
  <c r="L186" i="8"/>
  <c r="I186" i="8"/>
  <c r="H186" i="8"/>
  <c r="S185" i="8"/>
  <c r="T185" i="8" s="1"/>
  <c r="R185" i="8"/>
  <c r="Q185" i="8"/>
  <c r="P185" i="8"/>
  <c r="L185" i="8"/>
  <c r="I185" i="8"/>
  <c r="H185" i="8"/>
  <c r="U184" i="8"/>
  <c r="S184" i="8"/>
  <c r="R184" i="8"/>
  <c r="Q184" i="8"/>
  <c r="P184" i="8"/>
  <c r="O184" i="8"/>
  <c r="L184" i="8"/>
  <c r="I184" i="8"/>
  <c r="H184" i="8"/>
  <c r="T183" i="8"/>
  <c r="S183" i="8"/>
  <c r="R183" i="8"/>
  <c r="Q183" i="8"/>
  <c r="P183" i="8"/>
  <c r="L183" i="8"/>
  <c r="I183" i="8"/>
  <c r="H183" i="8"/>
  <c r="O183" i="8" s="1"/>
  <c r="S182" i="8"/>
  <c r="R182" i="8"/>
  <c r="Q182" i="8"/>
  <c r="P182" i="8"/>
  <c r="L182" i="8"/>
  <c r="I182" i="8"/>
  <c r="H182" i="8"/>
  <c r="U182" i="8" s="1"/>
  <c r="S181" i="8"/>
  <c r="R181" i="8"/>
  <c r="Q181" i="8"/>
  <c r="P181" i="8"/>
  <c r="L181" i="8"/>
  <c r="I181" i="8"/>
  <c r="H181" i="8"/>
  <c r="U181" i="8" s="1"/>
  <c r="S180" i="8"/>
  <c r="R180" i="8"/>
  <c r="Q180" i="8"/>
  <c r="P180" i="8"/>
  <c r="L180" i="8"/>
  <c r="I180" i="8"/>
  <c r="H180" i="8"/>
  <c r="O180" i="8" s="1"/>
  <c r="S179" i="8"/>
  <c r="R179" i="8"/>
  <c r="Q179" i="8"/>
  <c r="P179" i="8"/>
  <c r="L179" i="8"/>
  <c r="I179" i="8"/>
  <c r="H179" i="8"/>
  <c r="O179" i="8" s="1"/>
  <c r="V179" i="8" s="1"/>
  <c r="U178" i="8"/>
  <c r="S178" i="8"/>
  <c r="T178" i="8" s="1"/>
  <c r="R178" i="8"/>
  <c r="Q178" i="8"/>
  <c r="P178" i="8"/>
  <c r="L178" i="8"/>
  <c r="I178" i="8"/>
  <c r="H178" i="8"/>
  <c r="O178" i="8" s="1"/>
  <c r="V178" i="8" s="1"/>
  <c r="Z178" i="8" s="1"/>
  <c r="S177" i="8"/>
  <c r="R177" i="8"/>
  <c r="Q177" i="8"/>
  <c r="P177" i="8"/>
  <c r="L177" i="8"/>
  <c r="I177" i="8"/>
  <c r="H177" i="8"/>
  <c r="S176" i="8"/>
  <c r="R176" i="8"/>
  <c r="Q176" i="8"/>
  <c r="P176" i="8"/>
  <c r="L176" i="8"/>
  <c r="I176" i="8"/>
  <c r="H176" i="8"/>
  <c r="U176" i="8" s="1"/>
  <c r="Z176" i="8" s="1"/>
  <c r="S175" i="8"/>
  <c r="T175" i="8" s="1"/>
  <c r="R175" i="8"/>
  <c r="Q175" i="8"/>
  <c r="P175" i="8"/>
  <c r="L175" i="8"/>
  <c r="I175" i="8"/>
  <c r="H175" i="8"/>
  <c r="S174" i="8"/>
  <c r="R174" i="8"/>
  <c r="Q174" i="8"/>
  <c r="P174" i="8"/>
  <c r="L174" i="8"/>
  <c r="I174" i="8"/>
  <c r="H174" i="8"/>
  <c r="U174" i="8" s="1"/>
  <c r="Z174" i="8" s="1"/>
  <c r="S173" i="8"/>
  <c r="T173" i="8" s="1"/>
  <c r="R173" i="8"/>
  <c r="Q173" i="8"/>
  <c r="P173" i="8"/>
  <c r="L173" i="8"/>
  <c r="I173" i="8"/>
  <c r="H173" i="8"/>
  <c r="O173" i="8" s="1"/>
  <c r="S172" i="8"/>
  <c r="R172" i="8"/>
  <c r="Q172" i="8"/>
  <c r="P172" i="8"/>
  <c r="L172" i="8"/>
  <c r="I172" i="8"/>
  <c r="H172" i="8"/>
  <c r="O172" i="8" s="1"/>
  <c r="V172" i="8" s="1"/>
  <c r="T171" i="8"/>
  <c r="S171" i="8"/>
  <c r="R171" i="8"/>
  <c r="Q171" i="8"/>
  <c r="P171" i="8"/>
  <c r="L171" i="8"/>
  <c r="I171" i="8"/>
  <c r="H171" i="8"/>
  <c r="O171" i="8" s="1"/>
  <c r="S170" i="8"/>
  <c r="R170" i="8"/>
  <c r="Q170" i="8"/>
  <c r="P170" i="8"/>
  <c r="L170" i="8"/>
  <c r="I170" i="8"/>
  <c r="H170" i="8"/>
  <c r="U170" i="8" s="1"/>
  <c r="S169" i="8"/>
  <c r="R169" i="8"/>
  <c r="Q169" i="8"/>
  <c r="P169" i="8"/>
  <c r="L169" i="8"/>
  <c r="I169" i="8"/>
  <c r="H169" i="8"/>
  <c r="U169" i="8" s="1"/>
  <c r="Z169" i="8" s="1"/>
  <c r="U168" i="8"/>
  <c r="Z168" i="8" s="1"/>
  <c r="S168" i="8"/>
  <c r="R168" i="8"/>
  <c r="Q168" i="8"/>
  <c r="P168" i="8"/>
  <c r="L168" i="8"/>
  <c r="I168" i="8"/>
  <c r="H168" i="8"/>
  <c r="O168" i="8" s="1"/>
  <c r="S167" i="8"/>
  <c r="R167" i="8"/>
  <c r="Q167" i="8"/>
  <c r="P167" i="8"/>
  <c r="L167" i="8"/>
  <c r="I167" i="8"/>
  <c r="H167" i="8"/>
  <c r="U167" i="8" s="1"/>
  <c r="S166" i="8"/>
  <c r="R166" i="8"/>
  <c r="Q166" i="8"/>
  <c r="P166" i="8"/>
  <c r="L166" i="8"/>
  <c r="I166" i="8"/>
  <c r="H166" i="8"/>
  <c r="O166" i="8" s="1"/>
  <c r="S165" i="8"/>
  <c r="R165" i="8"/>
  <c r="Q165" i="8"/>
  <c r="P165" i="8"/>
  <c r="L165" i="8"/>
  <c r="I165" i="8"/>
  <c r="H165" i="8"/>
  <c r="U165" i="8" s="1"/>
  <c r="Z165" i="8" s="1"/>
  <c r="U164" i="8"/>
  <c r="Z164" i="8" s="1"/>
  <c r="S164" i="8"/>
  <c r="T164" i="8" s="1"/>
  <c r="R164" i="8"/>
  <c r="Q164" i="8"/>
  <c r="P164" i="8"/>
  <c r="L164" i="8"/>
  <c r="I164" i="8"/>
  <c r="H164" i="8"/>
  <c r="O164" i="8" s="1"/>
  <c r="S163" i="8"/>
  <c r="R163" i="8"/>
  <c r="Q163" i="8"/>
  <c r="P163" i="8"/>
  <c r="L163" i="8"/>
  <c r="I163" i="8"/>
  <c r="H163" i="8"/>
  <c r="O163" i="8" s="1"/>
  <c r="U162" i="8"/>
  <c r="S162" i="8"/>
  <c r="T162" i="8" s="1"/>
  <c r="R162" i="8"/>
  <c r="Q162" i="8"/>
  <c r="P162" i="8"/>
  <c r="L162" i="8"/>
  <c r="I162" i="8"/>
  <c r="H162" i="8"/>
  <c r="O162" i="8" s="1"/>
  <c r="S161" i="8"/>
  <c r="R161" i="8"/>
  <c r="Q161" i="8"/>
  <c r="P161" i="8"/>
  <c r="L161" i="8"/>
  <c r="I161" i="8"/>
  <c r="H161" i="8"/>
  <c r="U161" i="8" s="1"/>
  <c r="Z161" i="8" s="1"/>
  <c r="S160" i="8"/>
  <c r="R160" i="8"/>
  <c r="Q160" i="8"/>
  <c r="P160" i="8"/>
  <c r="T160" i="8" s="1"/>
  <c r="L160" i="8"/>
  <c r="I160" i="8"/>
  <c r="H160" i="8"/>
  <c r="U160" i="8" s="1"/>
  <c r="T159" i="8"/>
  <c r="S159" i="8"/>
  <c r="R159" i="8"/>
  <c r="Q159" i="8"/>
  <c r="P159" i="8"/>
  <c r="L159" i="8"/>
  <c r="I159" i="8"/>
  <c r="H159" i="8"/>
  <c r="S158" i="8"/>
  <c r="R158" i="8"/>
  <c r="Q158" i="8"/>
  <c r="P158" i="8"/>
  <c r="T158" i="8" s="1"/>
  <c r="L158" i="8"/>
  <c r="I158" i="8"/>
  <c r="H158" i="8"/>
  <c r="U158" i="8" s="1"/>
  <c r="Z158" i="8" s="1"/>
  <c r="T157" i="8"/>
  <c r="S157" i="8"/>
  <c r="R157" i="8"/>
  <c r="Q157" i="8"/>
  <c r="P157" i="8"/>
  <c r="L157" i="8"/>
  <c r="I157" i="8"/>
  <c r="H157" i="8"/>
  <c r="S156" i="8"/>
  <c r="R156" i="8"/>
  <c r="Q156" i="8"/>
  <c r="P156" i="8"/>
  <c r="L156" i="8"/>
  <c r="I156" i="8"/>
  <c r="H156" i="8"/>
  <c r="O156" i="8" s="1"/>
  <c r="V156" i="8" s="1"/>
  <c r="V155" i="8"/>
  <c r="S155" i="8"/>
  <c r="T155" i="8" s="1"/>
  <c r="R155" i="8"/>
  <c r="Q155" i="8"/>
  <c r="P155" i="8"/>
  <c r="L155" i="8"/>
  <c r="I155" i="8"/>
  <c r="H155" i="8"/>
  <c r="O155" i="8" s="1"/>
  <c r="S154" i="8"/>
  <c r="T154" i="8" s="1"/>
  <c r="R154" i="8"/>
  <c r="Q154" i="8"/>
  <c r="P154" i="8"/>
  <c r="O154" i="8"/>
  <c r="L154" i="8"/>
  <c r="I154" i="8"/>
  <c r="H154" i="8"/>
  <c r="U154" i="8" s="1"/>
  <c r="U153" i="8"/>
  <c r="Z153" i="8" s="1"/>
  <c r="AA153" i="8" s="1"/>
  <c r="S153" i="8"/>
  <c r="T153" i="8" s="1"/>
  <c r="R153" i="8"/>
  <c r="Q153" i="8"/>
  <c r="P153" i="8"/>
  <c r="O153" i="8"/>
  <c r="L153" i="8"/>
  <c r="I153" i="8"/>
  <c r="H153" i="8"/>
  <c r="S152" i="8"/>
  <c r="R152" i="8"/>
  <c r="Q152" i="8"/>
  <c r="P152" i="8"/>
  <c r="L152" i="8"/>
  <c r="I152" i="8"/>
  <c r="H152" i="8"/>
  <c r="S151" i="8"/>
  <c r="R151" i="8"/>
  <c r="Q151" i="8"/>
  <c r="P151" i="8"/>
  <c r="L151" i="8"/>
  <c r="I151" i="8"/>
  <c r="H151" i="8"/>
  <c r="U151" i="8" s="1"/>
  <c r="Z151" i="8" s="1"/>
  <c r="S150" i="8"/>
  <c r="R150" i="8"/>
  <c r="Q150" i="8"/>
  <c r="P150" i="8"/>
  <c r="L150" i="8"/>
  <c r="I150" i="8"/>
  <c r="H150" i="8"/>
  <c r="S149" i="8"/>
  <c r="R149" i="8"/>
  <c r="Q149" i="8"/>
  <c r="P149" i="8"/>
  <c r="O149" i="8"/>
  <c r="L149" i="8"/>
  <c r="I149" i="8"/>
  <c r="H149" i="8"/>
  <c r="U149" i="8" s="1"/>
  <c r="Z149" i="8" s="1"/>
  <c r="T148" i="8"/>
  <c r="S148" i="8"/>
  <c r="R148" i="8"/>
  <c r="Q148" i="8"/>
  <c r="P148" i="8"/>
  <c r="L148" i="8"/>
  <c r="I148" i="8"/>
  <c r="H148" i="8"/>
  <c r="O148" i="8" s="1"/>
  <c r="U147" i="8"/>
  <c r="Z147" i="8" s="1"/>
  <c r="S147" i="8"/>
  <c r="T147" i="8" s="1"/>
  <c r="R147" i="8"/>
  <c r="Q147" i="8"/>
  <c r="P147" i="8"/>
  <c r="L147" i="8"/>
  <c r="I147" i="8"/>
  <c r="H147" i="8"/>
  <c r="O147" i="8" s="1"/>
  <c r="AA147" i="8" s="1"/>
  <c r="S146" i="8"/>
  <c r="R146" i="8"/>
  <c r="Q146" i="8"/>
  <c r="P146" i="8"/>
  <c r="L146" i="8"/>
  <c r="I146" i="8"/>
  <c r="H146" i="8"/>
  <c r="O146" i="8" s="1"/>
  <c r="U145" i="8"/>
  <c r="Z145" i="8" s="1"/>
  <c r="S145" i="8"/>
  <c r="R145" i="8"/>
  <c r="Q145" i="8"/>
  <c r="P145" i="8"/>
  <c r="L145" i="8"/>
  <c r="I145" i="8"/>
  <c r="H145" i="8"/>
  <c r="O145" i="8" s="1"/>
  <c r="AA145" i="8" s="1"/>
  <c r="S144" i="8"/>
  <c r="T144" i="8" s="1"/>
  <c r="R144" i="8"/>
  <c r="Q144" i="8"/>
  <c r="P144" i="8"/>
  <c r="L144" i="8"/>
  <c r="I144" i="8"/>
  <c r="H144" i="8"/>
  <c r="O144" i="8" s="1"/>
  <c r="V144" i="8" s="1"/>
  <c r="U143" i="8"/>
  <c r="S143" i="8"/>
  <c r="T143" i="8" s="1"/>
  <c r="R143" i="8"/>
  <c r="Q143" i="8"/>
  <c r="P143" i="8"/>
  <c r="O143" i="8"/>
  <c r="L143" i="8"/>
  <c r="I143" i="8"/>
  <c r="H143" i="8"/>
  <c r="S142" i="8"/>
  <c r="R142" i="8"/>
  <c r="Q142" i="8"/>
  <c r="P142" i="8"/>
  <c r="O142" i="8"/>
  <c r="V142" i="8" s="1"/>
  <c r="Z142" i="8" s="1"/>
  <c r="L142" i="8"/>
  <c r="I142" i="8"/>
  <c r="H142" i="8"/>
  <c r="U142" i="8" s="1"/>
  <c r="S141" i="8"/>
  <c r="R141" i="8"/>
  <c r="Q141" i="8"/>
  <c r="P141" i="8"/>
  <c r="L141" i="8"/>
  <c r="I141" i="8"/>
  <c r="H141" i="8"/>
  <c r="O141" i="8" s="1"/>
  <c r="S140" i="8"/>
  <c r="R140" i="8"/>
  <c r="Q140" i="8"/>
  <c r="P140" i="8"/>
  <c r="L140" i="8"/>
  <c r="I140" i="8"/>
  <c r="H140" i="8"/>
  <c r="O140" i="8" s="1"/>
  <c r="V140" i="8" s="1"/>
  <c r="S139" i="8"/>
  <c r="R139" i="8"/>
  <c r="Q139" i="8"/>
  <c r="P139" i="8"/>
  <c r="L139" i="8"/>
  <c r="I139" i="8"/>
  <c r="H139" i="8"/>
  <c r="O139" i="8" s="1"/>
  <c r="V139" i="8" s="1"/>
  <c r="S138" i="8"/>
  <c r="T138" i="8" s="1"/>
  <c r="R138" i="8"/>
  <c r="Q138" i="8"/>
  <c r="P138" i="8"/>
  <c r="L138" i="8"/>
  <c r="I138" i="8"/>
  <c r="H138" i="8"/>
  <c r="S137" i="8"/>
  <c r="R137" i="8"/>
  <c r="Q137" i="8"/>
  <c r="P137" i="8"/>
  <c r="L137" i="8"/>
  <c r="I137" i="8"/>
  <c r="H137" i="8"/>
  <c r="O137" i="8" s="1"/>
  <c r="V137" i="8" s="1"/>
  <c r="S136" i="8"/>
  <c r="R136" i="8"/>
  <c r="Q136" i="8"/>
  <c r="P136" i="8"/>
  <c r="L136" i="8"/>
  <c r="I136" i="8"/>
  <c r="H136" i="8"/>
  <c r="O136" i="8" s="1"/>
  <c r="S135" i="8"/>
  <c r="R135" i="8"/>
  <c r="Q135" i="8"/>
  <c r="P135" i="8"/>
  <c r="L135" i="8"/>
  <c r="I135" i="8"/>
  <c r="H135" i="8"/>
  <c r="O135" i="8" s="1"/>
  <c r="S134" i="8"/>
  <c r="R134" i="8"/>
  <c r="Q134" i="8"/>
  <c r="P134" i="8"/>
  <c r="L134" i="8"/>
  <c r="I134" i="8"/>
  <c r="H134" i="8"/>
  <c r="O134" i="8" s="1"/>
  <c r="S133" i="8"/>
  <c r="R133" i="8"/>
  <c r="Q133" i="8"/>
  <c r="P133" i="8"/>
  <c r="L133" i="8"/>
  <c r="I133" i="8"/>
  <c r="H133" i="8"/>
  <c r="O133" i="8" s="1"/>
  <c r="V133" i="8" s="1"/>
  <c r="S132" i="8"/>
  <c r="T132" i="8" s="1"/>
  <c r="R132" i="8"/>
  <c r="Q132" i="8"/>
  <c r="P132" i="8"/>
  <c r="L132" i="8"/>
  <c r="I132" i="8"/>
  <c r="H132" i="8"/>
  <c r="O132" i="8" s="1"/>
  <c r="S131" i="8"/>
  <c r="R131" i="8"/>
  <c r="Q131" i="8"/>
  <c r="P131" i="8"/>
  <c r="L131" i="8"/>
  <c r="I131" i="8"/>
  <c r="H131" i="8"/>
  <c r="O131" i="8" s="1"/>
  <c r="S130" i="8"/>
  <c r="T130" i="8" s="1"/>
  <c r="R130" i="8"/>
  <c r="Q130" i="8"/>
  <c r="P130" i="8"/>
  <c r="O130" i="8"/>
  <c r="V130" i="8" s="1"/>
  <c r="L130" i="8"/>
  <c r="I130" i="8"/>
  <c r="H130" i="8"/>
  <c r="U130" i="8" s="1"/>
  <c r="S129" i="8"/>
  <c r="T129" i="8" s="1"/>
  <c r="R129" i="8"/>
  <c r="Q129" i="8"/>
  <c r="P129" i="8"/>
  <c r="L129" i="8"/>
  <c r="I129" i="8"/>
  <c r="H129" i="8"/>
  <c r="U128" i="8"/>
  <c r="S128" i="8"/>
  <c r="R128" i="8"/>
  <c r="Q128" i="8"/>
  <c r="P128" i="8"/>
  <c r="O128" i="8"/>
  <c r="V128" i="8" s="1"/>
  <c r="L128" i="8"/>
  <c r="I128" i="8"/>
  <c r="H128" i="8"/>
  <c r="S127" i="8"/>
  <c r="R127" i="8"/>
  <c r="Q127" i="8"/>
  <c r="P127" i="8"/>
  <c r="L127" i="8"/>
  <c r="I127" i="8"/>
  <c r="H127" i="8"/>
  <c r="O127" i="8" s="1"/>
  <c r="S126" i="8"/>
  <c r="R126" i="8"/>
  <c r="Q126" i="8"/>
  <c r="P126" i="8"/>
  <c r="L126" i="8"/>
  <c r="I126" i="8"/>
  <c r="H126" i="8"/>
  <c r="O126" i="8" s="1"/>
  <c r="V126" i="8" s="1"/>
  <c r="S125" i="8"/>
  <c r="R125" i="8"/>
  <c r="Q125" i="8"/>
  <c r="P125" i="8"/>
  <c r="T125" i="8" s="1"/>
  <c r="L125" i="8"/>
  <c r="I125" i="8"/>
  <c r="H125" i="8"/>
  <c r="O125" i="8" s="1"/>
  <c r="S124" i="8"/>
  <c r="R124" i="8"/>
  <c r="T124" i="8" s="1"/>
  <c r="Q124" i="8"/>
  <c r="P124" i="8"/>
  <c r="L124" i="8"/>
  <c r="I124" i="8"/>
  <c r="H124" i="8"/>
  <c r="O124" i="8" s="1"/>
  <c r="U123" i="8"/>
  <c r="S123" i="8"/>
  <c r="T123" i="8" s="1"/>
  <c r="R123" i="8"/>
  <c r="Q123" i="8"/>
  <c r="P123" i="8"/>
  <c r="O123" i="8"/>
  <c r="L123" i="8"/>
  <c r="I123" i="8"/>
  <c r="H123" i="8"/>
  <c r="S122" i="8"/>
  <c r="R122" i="8"/>
  <c r="Q122" i="8"/>
  <c r="P122" i="8"/>
  <c r="L122" i="8"/>
  <c r="I122" i="8"/>
  <c r="H122" i="8"/>
  <c r="Z121" i="8"/>
  <c r="S121" i="8"/>
  <c r="R121" i="8"/>
  <c r="Q121" i="8"/>
  <c r="P121" i="8"/>
  <c r="L121" i="8"/>
  <c r="I121" i="8"/>
  <c r="H121" i="8"/>
  <c r="U121" i="8" s="1"/>
  <c r="S120" i="8"/>
  <c r="T120" i="8" s="1"/>
  <c r="R120" i="8"/>
  <c r="Q120" i="8"/>
  <c r="P120" i="8"/>
  <c r="L120" i="8"/>
  <c r="I120" i="8"/>
  <c r="H120" i="8"/>
  <c r="O120" i="8" s="1"/>
  <c r="S119" i="8"/>
  <c r="R119" i="8"/>
  <c r="Q119" i="8"/>
  <c r="P119" i="8"/>
  <c r="L119" i="8"/>
  <c r="I119" i="8"/>
  <c r="H119" i="8"/>
  <c r="O119" i="8" s="1"/>
  <c r="S118" i="8"/>
  <c r="T118" i="8" s="1"/>
  <c r="R118" i="8"/>
  <c r="Q118" i="8"/>
  <c r="P118" i="8"/>
  <c r="L118" i="8"/>
  <c r="I118" i="8"/>
  <c r="H118" i="8"/>
  <c r="O118" i="8" s="1"/>
  <c r="V117" i="8"/>
  <c r="S117" i="8"/>
  <c r="R117" i="8"/>
  <c r="Q117" i="8"/>
  <c r="P117" i="8"/>
  <c r="L117" i="8"/>
  <c r="I117" i="8"/>
  <c r="H117" i="8"/>
  <c r="O117" i="8" s="1"/>
  <c r="S116" i="8"/>
  <c r="R116" i="8"/>
  <c r="T116" i="8" s="1"/>
  <c r="Q116" i="8"/>
  <c r="P116" i="8"/>
  <c r="L116" i="8"/>
  <c r="I116" i="8"/>
  <c r="H116" i="8"/>
  <c r="O116" i="8" s="1"/>
  <c r="S115" i="8"/>
  <c r="R115" i="8"/>
  <c r="Q115" i="8"/>
  <c r="P115" i="8"/>
  <c r="L115" i="8"/>
  <c r="I115" i="8"/>
  <c r="H115" i="8"/>
  <c r="O115" i="8" s="1"/>
  <c r="S114" i="8"/>
  <c r="R114" i="8"/>
  <c r="Q114" i="8"/>
  <c r="P114" i="8"/>
  <c r="L114" i="8"/>
  <c r="I114" i="8"/>
  <c r="H114" i="8"/>
  <c r="U114" i="8" s="1"/>
  <c r="S113" i="8"/>
  <c r="R113" i="8"/>
  <c r="Q113" i="8"/>
  <c r="P113" i="8"/>
  <c r="T113" i="8" s="1"/>
  <c r="L113" i="8"/>
  <c r="I113" i="8"/>
  <c r="H113" i="8"/>
  <c r="S112" i="8"/>
  <c r="R112" i="8"/>
  <c r="Q112" i="8"/>
  <c r="P112" i="8"/>
  <c r="L112" i="8"/>
  <c r="I112" i="8"/>
  <c r="H112" i="8"/>
  <c r="U112" i="8" s="1"/>
  <c r="Z112" i="8" s="1"/>
  <c r="S111" i="8"/>
  <c r="T111" i="8" s="1"/>
  <c r="R111" i="8"/>
  <c r="Q111" i="8"/>
  <c r="P111" i="8"/>
  <c r="L111" i="8"/>
  <c r="I111" i="8"/>
  <c r="H111" i="8"/>
  <c r="O111" i="8" s="1"/>
  <c r="S110" i="8"/>
  <c r="R110" i="8"/>
  <c r="Q110" i="8"/>
  <c r="P110" i="8"/>
  <c r="L110" i="8"/>
  <c r="I110" i="8"/>
  <c r="H110" i="8"/>
  <c r="U110" i="8" s="1"/>
  <c r="Z110" i="8" s="1"/>
  <c r="S109" i="8"/>
  <c r="T109" i="8" s="1"/>
  <c r="R109" i="8"/>
  <c r="Q109" i="8"/>
  <c r="P109" i="8"/>
  <c r="L109" i="8"/>
  <c r="I109" i="8"/>
  <c r="H109" i="8"/>
  <c r="O109" i="8" s="1"/>
  <c r="V109" i="8" s="1"/>
  <c r="S108" i="8"/>
  <c r="R108" i="8"/>
  <c r="Q108" i="8"/>
  <c r="P108" i="8"/>
  <c r="L108" i="8"/>
  <c r="I108" i="8"/>
  <c r="H108" i="8"/>
  <c r="O108" i="8" s="1"/>
  <c r="S107" i="8"/>
  <c r="R107" i="8"/>
  <c r="Q107" i="8"/>
  <c r="P107" i="8"/>
  <c r="L107" i="8"/>
  <c r="I107" i="8"/>
  <c r="H107" i="8"/>
  <c r="O107" i="8" s="1"/>
  <c r="S106" i="8"/>
  <c r="R106" i="8"/>
  <c r="Q106" i="8"/>
  <c r="P106" i="8"/>
  <c r="L106" i="8"/>
  <c r="I106" i="8"/>
  <c r="H106" i="8"/>
  <c r="O106" i="8" s="1"/>
  <c r="S105" i="8"/>
  <c r="R105" i="8"/>
  <c r="Q105" i="8"/>
  <c r="P105" i="8"/>
  <c r="L105" i="8"/>
  <c r="I105" i="8"/>
  <c r="H105" i="8"/>
  <c r="O105" i="8" s="1"/>
  <c r="S104" i="8"/>
  <c r="R104" i="8"/>
  <c r="Q104" i="8"/>
  <c r="P104" i="8"/>
  <c r="L104" i="8"/>
  <c r="I104" i="8"/>
  <c r="H104" i="8"/>
  <c r="U104" i="8" s="1"/>
  <c r="U103" i="8"/>
  <c r="Z103" i="8" s="1"/>
  <c r="S103" i="8"/>
  <c r="R103" i="8"/>
  <c r="Q103" i="8"/>
  <c r="P103" i="8"/>
  <c r="L103" i="8"/>
  <c r="I103" i="8"/>
  <c r="H103" i="8"/>
  <c r="O103" i="8" s="1"/>
  <c r="S102" i="8"/>
  <c r="R102" i="8"/>
  <c r="Q102" i="8"/>
  <c r="P102" i="8"/>
  <c r="L102" i="8"/>
  <c r="I102" i="8"/>
  <c r="H102" i="8"/>
  <c r="U102" i="8" s="1"/>
  <c r="Z102" i="8" s="1"/>
  <c r="S101" i="8"/>
  <c r="R101" i="8"/>
  <c r="Q101" i="8"/>
  <c r="P101" i="8"/>
  <c r="T101" i="8" s="1"/>
  <c r="L101" i="8"/>
  <c r="I101" i="8"/>
  <c r="H101" i="8"/>
  <c r="U100" i="8"/>
  <c r="S100" i="8"/>
  <c r="T100" i="8" s="1"/>
  <c r="R100" i="8"/>
  <c r="Q100" i="8"/>
  <c r="P100" i="8"/>
  <c r="O100" i="8"/>
  <c r="L100" i="8"/>
  <c r="I100" i="8"/>
  <c r="H100" i="8"/>
  <c r="S99" i="8"/>
  <c r="R99" i="8"/>
  <c r="Q99" i="8"/>
  <c r="P99" i="8"/>
  <c r="L99" i="8"/>
  <c r="I99" i="8"/>
  <c r="H99" i="8"/>
  <c r="S98" i="8"/>
  <c r="T98" i="8" s="1"/>
  <c r="R98" i="8"/>
  <c r="Q98" i="8"/>
  <c r="P98" i="8"/>
  <c r="L98" i="8"/>
  <c r="I98" i="8"/>
  <c r="H98" i="8"/>
  <c r="O98" i="8" s="1"/>
  <c r="S97" i="8"/>
  <c r="R97" i="8"/>
  <c r="Q97" i="8"/>
  <c r="P97" i="8"/>
  <c r="L97" i="8"/>
  <c r="I97" i="8"/>
  <c r="H97" i="8"/>
  <c r="S96" i="8"/>
  <c r="R96" i="8"/>
  <c r="Q96" i="8"/>
  <c r="P96" i="8"/>
  <c r="L96" i="8"/>
  <c r="I96" i="8"/>
  <c r="H96" i="8"/>
  <c r="O96" i="8" s="1"/>
  <c r="U95" i="8"/>
  <c r="S95" i="8"/>
  <c r="R95" i="8"/>
  <c r="Q95" i="8"/>
  <c r="P95" i="8"/>
  <c r="L95" i="8"/>
  <c r="I95" i="8"/>
  <c r="H95" i="8"/>
  <c r="O95" i="8" s="1"/>
  <c r="S94" i="8"/>
  <c r="R94" i="8"/>
  <c r="Q94" i="8"/>
  <c r="P94" i="8"/>
  <c r="L94" i="8"/>
  <c r="I94" i="8"/>
  <c r="H94" i="8"/>
  <c r="U94" i="8" s="1"/>
  <c r="Z94" i="8" s="1"/>
  <c r="S93" i="8"/>
  <c r="R93" i="8"/>
  <c r="Q93" i="8"/>
  <c r="P93" i="8"/>
  <c r="T93" i="8" s="1"/>
  <c r="L93" i="8"/>
  <c r="I93" i="8"/>
  <c r="H93" i="8"/>
  <c r="U92" i="8"/>
  <c r="S92" i="8"/>
  <c r="R92" i="8"/>
  <c r="Q92" i="8"/>
  <c r="P92" i="8"/>
  <c r="O92" i="8"/>
  <c r="V92" i="8" s="1"/>
  <c r="Z92" i="8" s="1"/>
  <c r="AA92" i="8" s="1"/>
  <c r="L92" i="8"/>
  <c r="I92" i="8"/>
  <c r="H92" i="8"/>
  <c r="S91" i="8"/>
  <c r="R91" i="8"/>
  <c r="T91" i="8" s="1"/>
  <c r="Q91" i="8"/>
  <c r="P91" i="8"/>
  <c r="L91" i="8"/>
  <c r="I91" i="8"/>
  <c r="H91" i="8"/>
  <c r="O91" i="8" s="1"/>
  <c r="S90" i="8"/>
  <c r="R90" i="8"/>
  <c r="Q90" i="8"/>
  <c r="P90" i="8"/>
  <c r="T90" i="8" s="1"/>
  <c r="L90" i="8"/>
  <c r="I90" i="8"/>
  <c r="H90" i="8"/>
  <c r="S89" i="8"/>
  <c r="R89" i="8"/>
  <c r="Q89" i="8"/>
  <c r="P89" i="8"/>
  <c r="L89" i="8"/>
  <c r="I89" i="8"/>
  <c r="H89" i="8"/>
  <c r="O89" i="8" s="1"/>
  <c r="S88" i="8"/>
  <c r="R88" i="8"/>
  <c r="T88" i="8" s="1"/>
  <c r="Q88" i="8"/>
  <c r="P88" i="8"/>
  <c r="L88" i="8"/>
  <c r="I88" i="8"/>
  <c r="H88" i="8"/>
  <c r="U87" i="8"/>
  <c r="Z87" i="8" s="1"/>
  <c r="S87" i="8"/>
  <c r="R87" i="8"/>
  <c r="Q87" i="8"/>
  <c r="P87" i="8"/>
  <c r="L87" i="8"/>
  <c r="I87" i="8"/>
  <c r="H87" i="8"/>
  <c r="O87" i="8" s="1"/>
  <c r="S86" i="8"/>
  <c r="R86" i="8"/>
  <c r="Q86" i="8"/>
  <c r="P86" i="8"/>
  <c r="L86" i="8"/>
  <c r="I86" i="8"/>
  <c r="H86" i="8"/>
  <c r="U85" i="8"/>
  <c r="Z85" i="8" s="1"/>
  <c r="S85" i="8"/>
  <c r="T85" i="8" s="1"/>
  <c r="R85" i="8"/>
  <c r="Q85" i="8"/>
  <c r="P85" i="8"/>
  <c r="L85" i="8"/>
  <c r="I85" i="8"/>
  <c r="H85" i="8"/>
  <c r="O85" i="8" s="1"/>
  <c r="S84" i="8"/>
  <c r="R84" i="8"/>
  <c r="Q84" i="8"/>
  <c r="P84" i="8"/>
  <c r="L84" i="8"/>
  <c r="I84" i="8"/>
  <c r="H84" i="8"/>
  <c r="U83" i="8"/>
  <c r="Z83" i="8" s="1"/>
  <c r="S83" i="8"/>
  <c r="T83" i="8" s="1"/>
  <c r="R83" i="8"/>
  <c r="Q83" i="8"/>
  <c r="P83" i="8"/>
  <c r="L83" i="8"/>
  <c r="I83" i="8"/>
  <c r="H83" i="8"/>
  <c r="O83" i="8" s="1"/>
  <c r="AA83" i="8" s="1"/>
  <c r="S82" i="8"/>
  <c r="R82" i="8"/>
  <c r="Q82" i="8"/>
  <c r="P82" i="8"/>
  <c r="L82" i="8"/>
  <c r="I82" i="8"/>
  <c r="H82" i="8"/>
  <c r="U82" i="8" s="1"/>
  <c r="V81" i="8"/>
  <c r="S81" i="8"/>
  <c r="R81" i="8"/>
  <c r="Q81" i="8"/>
  <c r="P81" i="8"/>
  <c r="T81" i="8" s="1"/>
  <c r="L81" i="8"/>
  <c r="I81" i="8"/>
  <c r="H81" i="8"/>
  <c r="U81" i="8" s="1"/>
  <c r="U80" i="8"/>
  <c r="Z80" i="8" s="1"/>
  <c r="S80" i="8"/>
  <c r="T80" i="8" s="1"/>
  <c r="R80" i="8"/>
  <c r="Q80" i="8"/>
  <c r="P80" i="8"/>
  <c r="O80" i="8"/>
  <c r="L80" i="8"/>
  <c r="I80" i="8"/>
  <c r="H80" i="8"/>
  <c r="S79" i="8"/>
  <c r="R79" i="8"/>
  <c r="Q79" i="8"/>
  <c r="P79" i="8"/>
  <c r="L79" i="8"/>
  <c r="I79" i="8"/>
  <c r="H79" i="8"/>
  <c r="O79" i="8" s="1"/>
  <c r="V79" i="8" s="1"/>
  <c r="T78" i="8"/>
  <c r="S78" i="8"/>
  <c r="R78" i="8"/>
  <c r="Q78" i="8"/>
  <c r="P78" i="8"/>
  <c r="O78" i="8"/>
  <c r="AA78" i="8" s="1"/>
  <c r="L78" i="8"/>
  <c r="I78" i="8"/>
  <c r="H78" i="8"/>
  <c r="U78" i="8" s="1"/>
  <c r="Z78" i="8" s="1"/>
  <c r="S77" i="8"/>
  <c r="R77" i="8"/>
  <c r="T77" i="8" s="1"/>
  <c r="Q77" i="8"/>
  <c r="P77" i="8"/>
  <c r="L77" i="8"/>
  <c r="I77" i="8"/>
  <c r="H77" i="8"/>
  <c r="U76" i="8"/>
  <c r="Z76" i="8" s="1"/>
  <c r="S76" i="8"/>
  <c r="R76" i="8"/>
  <c r="Q76" i="8"/>
  <c r="P76" i="8"/>
  <c r="O76" i="8"/>
  <c r="AA76" i="8" s="1"/>
  <c r="L76" i="8"/>
  <c r="I76" i="8"/>
  <c r="H76" i="8"/>
  <c r="U75" i="8"/>
  <c r="S75" i="8"/>
  <c r="R75" i="8"/>
  <c r="Q75" i="8"/>
  <c r="P75" i="8"/>
  <c r="O75" i="8"/>
  <c r="L75" i="8"/>
  <c r="I75" i="8"/>
  <c r="H75" i="8"/>
  <c r="S74" i="8"/>
  <c r="R74" i="8"/>
  <c r="T74" i="8" s="1"/>
  <c r="Q74" i="8"/>
  <c r="P74" i="8"/>
  <c r="L74" i="8"/>
  <c r="I74" i="8"/>
  <c r="H74" i="8"/>
  <c r="U74" i="8" s="1"/>
  <c r="S73" i="8"/>
  <c r="T73" i="8" s="1"/>
  <c r="R73" i="8"/>
  <c r="Q73" i="8"/>
  <c r="P73" i="8"/>
  <c r="L73" i="8"/>
  <c r="I73" i="8"/>
  <c r="H73" i="8"/>
  <c r="U73" i="8" s="1"/>
  <c r="T72" i="8"/>
  <c r="S72" i="8"/>
  <c r="R72" i="8"/>
  <c r="Q72" i="8"/>
  <c r="P72" i="8"/>
  <c r="L72" i="8"/>
  <c r="I72" i="8"/>
  <c r="H72" i="8"/>
  <c r="U71" i="8"/>
  <c r="Z71" i="8" s="1"/>
  <c r="S71" i="8"/>
  <c r="R71" i="8"/>
  <c r="Q71" i="8"/>
  <c r="P71" i="8"/>
  <c r="O71" i="8"/>
  <c r="AA71" i="8" s="1"/>
  <c r="L71" i="8"/>
  <c r="I71" i="8"/>
  <c r="H71" i="8"/>
  <c r="S70" i="8"/>
  <c r="T70" i="8" s="1"/>
  <c r="R70" i="8"/>
  <c r="Q70" i="8"/>
  <c r="P70" i="8"/>
  <c r="L70" i="8"/>
  <c r="I70" i="8"/>
  <c r="H70" i="8"/>
  <c r="O70" i="8" s="1"/>
  <c r="S69" i="8"/>
  <c r="R69" i="8"/>
  <c r="Q69" i="8"/>
  <c r="P69" i="8"/>
  <c r="O69" i="8"/>
  <c r="L69" i="8"/>
  <c r="I69" i="8"/>
  <c r="H69" i="8"/>
  <c r="U69" i="8" s="1"/>
  <c r="S68" i="8"/>
  <c r="R68" i="8"/>
  <c r="Q68" i="8"/>
  <c r="T68" i="8" s="1"/>
  <c r="P68" i="8"/>
  <c r="L68" i="8"/>
  <c r="I68" i="8"/>
  <c r="H68" i="8"/>
  <c r="U68" i="8" s="1"/>
  <c r="S67" i="8"/>
  <c r="R67" i="8"/>
  <c r="Q67" i="8"/>
  <c r="P67" i="8"/>
  <c r="L67" i="8"/>
  <c r="I67" i="8"/>
  <c r="H67" i="8"/>
  <c r="O67" i="8" s="1"/>
  <c r="S66" i="8"/>
  <c r="R66" i="8"/>
  <c r="T66" i="8" s="1"/>
  <c r="Q66" i="8"/>
  <c r="P66" i="8"/>
  <c r="L66" i="8"/>
  <c r="I66" i="8"/>
  <c r="H66" i="8"/>
  <c r="U66" i="8" s="1"/>
  <c r="Z66" i="8" s="1"/>
  <c r="S65" i="8"/>
  <c r="R65" i="8"/>
  <c r="Q65" i="8"/>
  <c r="P65" i="8"/>
  <c r="L65" i="8"/>
  <c r="I65" i="8"/>
  <c r="H65" i="8"/>
  <c r="S64" i="8"/>
  <c r="R64" i="8"/>
  <c r="Q64" i="8"/>
  <c r="P64" i="8"/>
  <c r="L64" i="8"/>
  <c r="I64" i="8"/>
  <c r="H64" i="8"/>
  <c r="O64" i="8" s="1"/>
  <c r="S63" i="8"/>
  <c r="R63" i="8"/>
  <c r="Q63" i="8"/>
  <c r="P63" i="8"/>
  <c r="O63" i="8"/>
  <c r="L63" i="8"/>
  <c r="I63" i="8"/>
  <c r="H63" i="8"/>
  <c r="U63" i="8" s="1"/>
  <c r="S62" i="8"/>
  <c r="R62" i="8"/>
  <c r="Q62" i="8"/>
  <c r="P62" i="8"/>
  <c r="O62" i="8"/>
  <c r="L62" i="8"/>
  <c r="I62" i="8"/>
  <c r="H62" i="8"/>
  <c r="U62" i="8" s="1"/>
  <c r="Z62" i="8" s="1"/>
  <c r="U61" i="8"/>
  <c r="Z61" i="8" s="1"/>
  <c r="AA61" i="8" s="1"/>
  <c r="S61" i="8"/>
  <c r="R61" i="8"/>
  <c r="Q61" i="8"/>
  <c r="P61" i="8"/>
  <c r="O61" i="8"/>
  <c r="L61" i="8"/>
  <c r="I61" i="8"/>
  <c r="H61" i="8"/>
  <c r="S60" i="8"/>
  <c r="T60" i="8" s="1"/>
  <c r="R60" i="8"/>
  <c r="Q60" i="8"/>
  <c r="P60" i="8"/>
  <c r="O60" i="8"/>
  <c r="L60" i="8"/>
  <c r="I60" i="8"/>
  <c r="H60" i="8"/>
  <c r="U60" i="8" s="1"/>
  <c r="Z60" i="8" s="1"/>
  <c r="U59" i="8"/>
  <c r="S59" i="8"/>
  <c r="T59" i="8" s="1"/>
  <c r="R59" i="8"/>
  <c r="Q59" i="8"/>
  <c r="P59" i="8"/>
  <c r="L59" i="8"/>
  <c r="I59" i="8"/>
  <c r="H59" i="8"/>
  <c r="O59" i="8" s="1"/>
  <c r="S58" i="8"/>
  <c r="R58" i="8"/>
  <c r="Q58" i="8"/>
  <c r="P58" i="8"/>
  <c r="L58" i="8"/>
  <c r="I58" i="8"/>
  <c r="H58" i="8"/>
  <c r="O58" i="8" s="1"/>
  <c r="V58" i="8" s="1"/>
  <c r="Z57" i="8"/>
  <c r="AA57" i="8" s="1"/>
  <c r="S57" i="8"/>
  <c r="R57" i="8"/>
  <c r="Q57" i="8"/>
  <c r="P57" i="8"/>
  <c r="O57" i="8"/>
  <c r="L57" i="8"/>
  <c r="I57" i="8"/>
  <c r="H57" i="8"/>
  <c r="U57" i="8" s="1"/>
  <c r="S56" i="8"/>
  <c r="T56" i="8" s="1"/>
  <c r="R56" i="8"/>
  <c r="Q56" i="8"/>
  <c r="P56" i="8"/>
  <c r="L56" i="8"/>
  <c r="I56" i="8"/>
  <c r="H56" i="8"/>
  <c r="O56" i="8" s="1"/>
  <c r="S55" i="8"/>
  <c r="R55" i="8"/>
  <c r="Q55" i="8"/>
  <c r="P55" i="8"/>
  <c r="L55" i="8"/>
  <c r="I55" i="8"/>
  <c r="H55" i="8"/>
  <c r="O55" i="8" s="1"/>
  <c r="V55" i="8" s="1"/>
  <c r="S54" i="8"/>
  <c r="R54" i="8"/>
  <c r="Q54" i="8"/>
  <c r="P54" i="8"/>
  <c r="L54" i="8"/>
  <c r="I54" i="8"/>
  <c r="H54" i="8"/>
  <c r="S53" i="8"/>
  <c r="R53" i="8"/>
  <c r="Q53" i="8"/>
  <c r="P53" i="8"/>
  <c r="L53" i="8"/>
  <c r="I53" i="8"/>
  <c r="H53" i="8"/>
  <c r="O53" i="8" s="1"/>
  <c r="S52" i="8"/>
  <c r="T52" i="8" s="1"/>
  <c r="R52" i="8"/>
  <c r="Q52" i="8"/>
  <c r="P52" i="8"/>
  <c r="O52" i="8"/>
  <c r="L52" i="8"/>
  <c r="I52" i="8"/>
  <c r="H52" i="8"/>
  <c r="U52" i="8" s="1"/>
  <c r="S51" i="8"/>
  <c r="R51" i="8"/>
  <c r="Q51" i="8"/>
  <c r="P51" i="8"/>
  <c r="L51" i="8"/>
  <c r="I51" i="8"/>
  <c r="H51" i="8"/>
  <c r="U51" i="8" s="1"/>
  <c r="Z51" i="8" s="1"/>
  <c r="S50" i="8"/>
  <c r="R50" i="8"/>
  <c r="Q50" i="8"/>
  <c r="P50" i="8"/>
  <c r="L50" i="8"/>
  <c r="I50" i="8"/>
  <c r="H50" i="8"/>
  <c r="U50" i="8" s="1"/>
  <c r="S49" i="8"/>
  <c r="T49" i="8" s="1"/>
  <c r="R49" i="8"/>
  <c r="Q49" i="8"/>
  <c r="P49" i="8"/>
  <c r="L49" i="8"/>
  <c r="I49" i="8"/>
  <c r="H49" i="8"/>
  <c r="U49" i="8" s="1"/>
  <c r="Z49" i="8" s="1"/>
  <c r="U48" i="8"/>
  <c r="Z48" i="8" s="1"/>
  <c r="S48" i="8"/>
  <c r="T48" i="8" s="1"/>
  <c r="R48" i="8"/>
  <c r="Q48" i="8"/>
  <c r="P48" i="8"/>
  <c r="O48" i="8"/>
  <c r="L48" i="8"/>
  <c r="I48" i="8"/>
  <c r="H48" i="8"/>
  <c r="S47" i="8"/>
  <c r="R47" i="8"/>
  <c r="Q47" i="8"/>
  <c r="P47" i="8"/>
  <c r="L47" i="8"/>
  <c r="I47" i="8"/>
  <c r="H47" i="8"/>
  <c r="U47" i="8" s="1"/>
  <c r="Z47" i="8" s="1"/>
  <c r="T46" i="8"/>
  <c r="S46" i="8"/>
  <c r="R46" i="8"/>
  <c r="Q46" i="8"/>
  <c r="P46" i="8"/>
  <c r="L46" i="8"/>
  <c r="I46" i="8"/>
  <c r="H46" i="8"/>
  <c r="U46" i="8" s="1"/>
  <c r="S45" i="8"/>
  <c r="R45" i="8"/>
  <c r="Q45" i="8"/>
  <c r="P45" i="8"/>
  <c r="L45" i="8"/>
  <c r="I45" i="8"/>
  <c r="H45" i="8"/>
  <c r="O45" i="8" s="1"/>
  <c r="Z44" i="8"/>
  <c r="AA44" i="8" s="1"/>
  <c r="U44" i="8"/>
  <c r="S44" i="8"/>
  <c r="R44" i="8"/>
  <c r="Q44" i="8"/>
  <c r="P44" i="8"/>
  <c r="O44" i="8"/>
  <c r="V44" i="8" s="1"/>
  <c r="L44" i="8"/>
  <c r="I44" i="8"/>
  <c r="H44" i="8"/>
  <c r="S43" i="8"/>
  <c r="T43" i="8" s="1"/>
  <c r="R43" i="8"/>
  <c r="Q43" i="8"/>
  <c r="P43" i="8"/>
  <c r="L43" i="8"/>
  <c r="I43" i="8"/>
  <c r="H43" i="8"/>
  <c r="O43" i="8" s="1"/>
  <c r="S42" i="8"/>
  <c r="R42" i="8"/>
  <c r="Q42" i="8"/>
  <c r="P42" i="8"/>
  <c r="O42" i="8"/>
  <c r="L42" i="8"/>
  <c r="I42" i="8"/>
  <c r="H42" i="8"/>
  <c r="U42" i="8" s="1"/>
  <c r="Z42" i="8" s="1"/>
  <c r="U41" i="8"/>
  <c r="Z41" i="8" s="1"/>
  <c r="S41" i="8"/>
  <c r="R41" i="8"/>
  <c r="Q41" i="8"/>
  <c r="P41" i="8"/>
  <c r="O41" i="8"/>
  <c r="L41" i="8"/>
  <c r="I41" i="8"/>
  <c r="H41" i="8"/>
  <c r="S40" i="8"/>
  <c r="R40" i="8"/>
  <c r="Q40" i="8"/>
  <c r="P40" i="8"/>
  <c r="L40" i="8"/>
  <c r="I40" i="8"/>
  <c r="H40" i="8"/>
  <c r="U40" i="8" s="1"/>
  <c r="Z40" i="8" s="1"/>
  <c r="S39" i="8"/>
  <c r="T39" i="8" s="1"/>
  <c r="R39" i="8"/>
  <c r="Q39" i="8"/>
  <c r="P39" i="8"/>
  <c r="O39" i="8"/>
  <c r="AA39" i="8" s="1"/>
  <c r="L39" i="8"/>
  <c r="I39" i="8"/>
  <c r="H39" i="8"/>
  <c r="U39" i="8" s="1"/>
  <c r="Z39" i="8" s="1"/>
  <c r="S38" i="8"/>
  <c r="R38" i="8"/>
  <c r="T38" i="8" s="1"/>
  <c r="Q38" i="8"/>
  <c r="P38" i="8"/>
  <c r="O38" i="8"/>
  <c r="L38" i="8"/>
  <c r="I38" i="8"/>
  <c r="H38" i="8"/>
  <c r="U38" i="8" s="1"/>
  <c r="S37" i="8"/>
  <c r="T37" i="8" s="1"/>
  <c r="R37" i="8"/>
  <c r="Q37" i="8"/>
  <c r="P37" i="8"/>
  <c r="L37" i="8"/>
  <c r="I37" i="8"/>
  <c r="H37" i="8"/>
  <c r="U37" i="8" s="1"/>
  <c r="S36" i="8"/>
  <c r="R36" i="8"/>
  <c r="Q36" i="8"/>
  <c r="P36" i="8"/>
  <c r="L36" i="8"/>
  <c r="I36" i="8"/>
  <c r="H36" i="8"/>
  <c r="O36" i="8" s="1"/>
  <c r="U35" i="8"/>
  <c r="S35" i="8"/>
  <c r="R35" i="8"/>
  <c r="Q35" i="8"/>
  <c r="P35" i="8"/>
  <c r="L35" i="8"/>
  <c r="I35" i="8"/>
  <c r="H35" i="8"/>
  <c r="O35" i="8" s="1"/>
  <c r="V35" i="8" s="1"/>
  <c r="Z35" i="8" s="1"/>
  <c r="AA35" i="8" s="1"/>
  <c r="S34" i="8"/>
  <c r="T34" i="8" s="1"/>
  <c r="R34" i="8"/>
  <c r="Q34" i="8"/>
  <c r="P34" i="8"/>
  <c r="L34" i="8"/>
  <c r="I34" i="8"/>
  <c r="H34" i="8"/>
  <c r="O34" i="8" s="1"/>
  <c r="S33" i="8"/>
  <c r="R33" i="8"/>
  <c r="Q33" i="8"/>
  <c r="P33" i="8"/>
  <c r="L33" i="8"/>
  <c r="I33" i="8"/>
  <c r="H33" i="8"/>
  <c r="U33" i="8" s="1"/>
  <c r="U32" i="8"/>
  <c r="Z32" i="8" s="1"/>
  <c r="S32" i="8"/>
  <c r="R32" i="8"/>
  <c r="Q32" i="8"/>
  <c r="P32" i="8"/>
  <c r="L32" i="8"/>
  <c r="I32" i="8"/>
  <c r="H32" i="8"/>
  <c r="O32" i="8" s="1"/>
  <c r="S31" i="8"/>
  <c r="R31" i="8"/>
  <c r="Q31" i="8"/>
  <c r="P31" i="8"/>
  <c r="L31" i="8"/>
  <c r="I31" i="8"/>
  <c r="H31" i="8"/>
  <c r="U31" i="8" s="1"/>
  <c r="S30" i="8"/>
  <c r="R30" i="8"/>
  <c r="Q30" i="8"/>
  <c r="P30" i="8"/>
  <c r="L30" i="8"/>
  <c r="I30" i="8"/>
  <c r="H30" i="8"/>
  <c r="U30" i="8" s="1"/>
  <c r="Z30" i="8" s="1"/>
  <c r="T29" i="8"/>
  <c r="S29" i="8"/>
  <c r="R29" i="8"/>
  <c r="Q29" i="8"/>
  <c r="P29" i="8"/>
  <c r="O29" i="8"/>
  <c r="AA29" i="8" s="1"/>
  <c r="L29" i="8"/>
  <c r="I29" i="8"/>
  <c r="H29" i="8"/>
  <c r="U29" i="8" s="1"/>
  <c r="Z29" i="8" s="1"/>
  <c r="S28" i="8"/>
  <c r="T28" i="8" s="1"/>
  <c r="R28" i="8"/>
  <c r="Q28" i="8"/>
  <c r="P28" i="8"/>
  <c r="L28" i="8"/>
  <c r="I28" i="8"/>
  <c r="H28" i="8"/>
  <c r="U28" i="8" s="1"/>
  <c r="S27" i="8"/>
  <c r="T27" i="8" s="1"/>
  <c r="R27" i="8"/>
  <c r="Q27" i="8"/>
  <c r="P27" i="8"/>
  <c r="L27" i="8"/>
  <c r="I27" i="8"/>
  <c r="H27" i="8"/>
  <c r="O27" i="8" s="1"/>
  <c r="S26" i="8"/>
  <c r="R26" i="8"/>
  <c r="Q26" i="8"/>
  <c r="T26" i="8" s="1"/>
  <c r="P26" i="8"/>
  <c r="L26" i="8"/>
  <c r="I26" i="8"/>
  <c r="H26" i="8"/>
  <c r="O26" i="8" s="1"/>
  <c r="S25" i="8"/>
  <c r="T25" i="8" s="1"/>
  <c r="R25" i="8"/>
  <c r="Q25" i="8"/>
  <c r="P25" i="8"/>
  <c r="L25" i="8"/>
  <c r="I25" i="8"/>
  <c r="H25" i="8"/>
  <c r="O25" i="8" s="1"/>
  <c r="S24" i="8"/>
  <c r="R24" i="8"/>
  <c r="Q24" i="8"/>
  <c r="P24" i="8"/>
  <c r="L24" i="8"/>
  <c r="I24" i="8"/>
  <c r="H24" i="8"/>
  <c r="U24" i="8" s="1"/>
  <c r="Z24" i="8" s="1"/>
  <c r="S23" i="8"/>
  <c r="R23" i="8"/>
  <c r="Q23" i="8"/>
  <c r="P23" i="8"/>
  <c r="L23" i="8"/>
  <c r="I23" i="8"/>
  <c r="H23" i="8"/>
  <c r="O23" i="8" s="1"/>
  <c r="S22" i="8"/>
  <c r="R22" i="8"/>
  <c r="Q22" i="8"/>
  <c r="P22" i="8"/>
  <c r="O22" i="8"/>
  <c r="L22" i="8"/>
  <c r="I22" i="8"/>
  <c r="H22" i="8"/>
  <c r="U22" i="8" s="1"/>
  <c r="S21" i="8"/>
  <c r="R21" i="8"/>
  <c r="Q21" i="8"/>
  <c r="P21" i="8"/>
  <c r="L21" i="8"/>
  <c r="I21" i="8"/>
  <c r="H21" i="8"/>
  <c r="U21" i="8" s="1"/>
  <c r="Z21" i="8" s="1"/>
  <c r="S20" i="8"/>
  <c r="R20" i="8"/>
  <c r="Q20" i="8"/>
  <c r="P20" i="8"/>
  <c r="O20" i="8"/>
  <c r="L20" i="8"/>
  <c r="I20" i="8"/>
  <c r="H20" i="8"/>
  <c r="U20" i="8" s="1"/>
  <c r="Z20" i="8" s="1"/>
  <c r="S19" i="8"/>
  <c r="T19" i="8" s="1"/>
  <c r="R19" i="8"/>
  <c r="Q19" i="8"/>
  <c r="P19" i="8"/>
  <c r="L19" i="8"/>
  <c r="I19" i="8"/>
  <c r="H19" i="8"/>
  <c r="U19" i="8" s="1"/>
  <c r="Z19" i="8" s="1"/>
  <c r="S18" i="8"/>
  <c r="R18" i="8"/>
  <c r="Q18" i="8"/>
  <c r="P18" i="8"/>
  <c r="T18" i="8" s="1"/>
  <c r="O18" i="8"/>
  <c r="V18" i="8" s="1"/>
  <c r="Z18" i="8" s="1"/>
  <c r="L18" i="8"/>
  <c r="I18" i="8"/>
  <c r="H18" i="8"/>
  <c r="U18" i="8" s="1"/>
  <c r="S17" i="8"/>
  <c r="R17" i="8"/>
  <c r="Q17" i="8"/>
  <c r="P17" i="8"/>
  <c r="L17" i="8"/>
  <c r="I17" i="8"/>
  <c r="H17" i="8"/>
  <c r="O17" i="8" s="1"/>
  <c r="U16" i="8"/>
  <c r="S16" i="8"/>
  <c r="R16" i="8"/>
  <c r="Q16" i="8"/>
  <c r="P16" i="8"/>
  <c r="L16" i="8"/>
  <c r="I16" i="8"/>
  <c r="H16" i="8"/>
  <c r="O16" i="8" s="1"/>
  <c r="S15" i="8"/>
  <c r="T15" i="8" s="1"/>
  <c r="R15" i="8"/>
  <c r="Q15" i="8"/>
  <c r="P15" i="8"/>
  <c r="L15" i="8"/>
  <c r="I15" i="8"/>
  <c r="H15" i="8"/>
  <c r="O15" i="8" s="1"/>
  <c r="U14" i="8"/>
  <c r="Z14" i="8" s="1"/>
  <c r="S14" i="8"/>
  <c r="R14" i="8"/>
  <c r="Q14" i="8"/>
  <c r="P14" i="8"/>
  <c r="L14" i="8"/>
  <c r="I14" i="8"/>
  <c r="H14" i="8"/>
  <c r="O14" i="8" s="1"/>
  <c r="S13" i="8"/>
  <c r="T13" i="8" s="1"/>
  <c r="R13" i="8"/>
  <c r="Q13" i="8"/>
  <c r="P13" i="8"/>
  <c r="L13" i="8"/>
  <c r="I13" i="8"/>
  <c r="H13" i="8"/>
  <c r="O13" i="8" s="1"/>
  <c r="U12" i="8"/>
  <c r="Z12" i="8" s="1"/>
  <c r="S12" i="8"/>
  <c r="R12" i="8"/>
  <c r="Q12" i="8"/>
  <c r="P12" i="8"/>
  <c r="L12" i="8"/>
  <c r="I12" i="8"/>
  <c r="H12" i="8"/>
  <c r="O12" i="8" s="1"/>
  <c r="S11" i="8"/>
  <c r="T11" i="8" s="1"/>
  <c r="R11" i="8"/>
  <c r="Q11" i="8"/>
  <c r="P11" i="8"/>
  <c r="L11" i="8"/>
  <c r="I11" i="8"/>
  <c r="H11" i="8"/>
  <c r="O11" i="8" s="1"/>
  <c r="S10" i="8"/>
  <c r="R10" i="8"/>
  <c r="Q10" i="8"/>
  <c r="P10" i="8"/>
  <c r="L10" i="8"/>
  <c r="I10" i="8"/>
  <c r="H10" i="8"/>
  <c r="U10" i="8" s="1"/>
  <c r="U9" i="8"/>
  <c r="Z9" i="8" s="1"/>
  <c r="S9" i="8"/>
  <c r="T9" i="8" s="1"/>
  <c r="R9" i="8"/>
  <c r="Q9" i="8"/>
  <c r="P9" i="8"/>
  <c r="L9" i="8"/>
  <c r="I9" i="8"/>
  <c r="H9" i="8"/>
  <c r="O9" i="8" s="1"/>
  <c r="U8" i="8"/>
  <c r="Z8" i="8" s="1"/>
  <c r="S8" i="8"/>
  <c r="T8" i="8" s="1"/>
  <c r="R8" i="8"/>
  <c r="Q8" i="8"/>
  <c r="P8" i="8"/>
  <c r="O8" i="8"/>
  <c r="L8" i="8"/>
  <c r="I8" i="8"/>
  <c r="H8" i="8"/>
  <c r="S7" i="8"/>
  <c r="R7" i="8"/>
  <c r="Q7" i="8"/>
  <c r="P7" i="8"/>
  <c r="L7" i="8"/>
  <c r="I7" i="8"/>
  <c r="H7" i="8"/>
  <c r="U7" i="8" s="1"/>
  <c r="S6" i="8"/>
  <c r="R6" i="8"/>
  <c r="Q6" i="8"/>
  <c r="P6" i="8"/>
  <c r="L6" i="8"/>
  <c r="I6" i="8"/>
  <c r="H6" i="8"/>
  <c r="O6" i="8" s="1"/>
  <c r="S5" i="8"/>
  <c r="R5" i="8"/>
  <c r="Q5" i="8"/>
  <c r="P5" i="8"/>
  <c r="T5" i="8" s="1"/>
  <c r="L5" i="8"/>
  <c r="I5" i="8"/>
  <c r="H5" i="8"/>
  <c r="U5" i="8" s="1"/>
  <c r="Z5" i="8" s="1"/>
  <c r="S4" i="8"/>
  <c r="R4" i="8"/>
  <c r="Q4" i="8"/>
  <c r="P4" i="8"/>
  <c r="L4" i="8"/>
  <c r="I4" i="8"/>
  <c r="H4" i="8"/>
  <c r="O4" i="8" s="1"/>
  <c r="AD58" i="1"/>
  <c r="AD59" i="1"/>
  <c r="AD60" i="1"/>
  <c r="AD61" i="1"/>
  <c r="AD62" i="1"/>
  <c r="AD63" i="1"/>
  <c r="AD64" i="1"/>
  <c r="AD65" i="1"/>
  <c r="AD66" i="1"/>
  <c r="AI58" i="1"/>
  <c r="AH58" i="1" s="1"/>
  <c r="AI59" i="1"/>
  <c r="AH59" i="1" s="1"/>
  <c r="AI60" i="1"/>
  <c r="AH60" i="1" s="1"/>
  <c r="AI61" i="1"/>
  <c r="AH61" i="1" s="1"/>
  <c r="AI62" i="1"/>
  <c r="AH62" i="1" s="1"/>
  <c r="AI63" i="1"/>
  <c r="AH63" i="1" s="1"/>
  <c r="AI64" i="1"/>
  <c r="AH64" i="1" s="1"/>
  <c r="AI65" i="1"/>
  <c r="AH65" i="1" s="1"/>
  <c r="AI66" i="1"/>
  <c r="AH66" i="1" s="1"/>
  <c r="G58" i="1"/>
  <c r="G59" i="1"/>
  <c r="AO59" i="1" s="1"/>
  <c r="G60" i="1"/>
  <c r="AO60" i="1" s="1"/>
  <c r="G61" i="1"/>
  <c r="G62" i="1"/>
  <c r="G63" i="1"/>
  <c r="G64" i="1"/>
  <c r="G65" i="1"/>
  <c r="AO65" i="1" s="1"/>
  <c r="G66" i="1"/>
  <c r="AO66" i="1" s="1"/>
  <c r="AB36" i="7"/>
  <c r="Y36" i="7"/>
  <c r="X36" i="7"/>
  <c r="W36" i="7"/>
  <c r="V36" i="7"/>
  <c r="N36" i="7"/>
  <c r="M36" i="7"/>
  <c r="K36" i="7"/>
  <c r="J36" i="7"/>
  <c r="G36" i="7"/>
  <c r="S35" i="7"/>
  <c r="R35" i="7"/>
  <c r="Q35" i="7"/>
  <c r="P35" i="7"/>
  <c r="L35" i="7"/>
  <c r="I35" i="7"/>
  <c r="H35" i="7"/>
  <c r="U35" i="7" s="1"/>
  <c r="Z35" i="7" s="1"/>
  <c r="S34" i="7"/>
  <c r="T34" i="7" s="1"/>
  <c r="R34" i="7"/>
  <c r="Q34" i="7"/>
  <c r="P34" i="7"/>
  <c r="L34" i="7"/>
  <c r="I34" i="7"/>
  <c r="H34" i="7"/>
  <c r="O34" i="7" s="1"/>
  <c r="S33" i="7"/>
  <c r="R33" i="7"/>
  <c r="Q33" i="7"/>
  <c r="P33" i="7"/>
  <c r="L33" i="7"/>
  <c r="I33" i="7"/>
  <c r="H33" i="7"/>
  <c r="U33" i="7" s="1"/>
  <c r="Z33" i="7" s="1"/>
  <c r="S32" i="7"/>
  <c r="R32" i="7"/>
  <c r="Q32" i="7"/>
  <c r="P32" i="7"/>
  <c r="L32" i="7"/>
  <c r="I32" i="7"/>
  <c r="H32" i="7"/>
  <c r="O32" i="7" s="1"/>
  <c r="S31" i="7"/>
  <c r="R31" i="7"/>
  <c r="Q31" i="7"/>
  <c r="P31" i="7"/>
  <c r="L31" i="7"/>
  <c r="I31" i="7"/>
  <c r="H31" i="7"/>
  <c r="U31" i="7" s="1"/>
  <c r="Z31" i="7" s="1"/>
  <c r="S30" i="7"/>
  <c r="R30" i="7"/>
  <c r="Q30" i="7"/>
  <c r="P30" i="7"/>
  <c r="L30" i="7"/>
  <c r="I30" i="7"/>
  <c r="H30" i="7"/>
  <c r="O30" i="7" s="1"/>
  <c r="S29" i="7"/>
  <c r="R29" i="7"/>
  <c r="Q29" i="7"/>
  <c r="P29" i="7"/>
  <c r="L29" i="7"/>
  <c r="I29" i="7"/>
  <c r="H29" i="7"/>
  <c r="U29" i="7" s="1"/>
  <c r="Z29" i="7" s="1"/>
  <c r="S28" i="7"/>
  <c r="R28" i="7"/>
  <c r="Q28" i="7"/>
  <c r="P28" i="7"/>
  <c r="L28" i="7"/>
  <c r="I28" i="7"/>
  <c r="H28" i="7"/>
  <c r="O28" i="7" s="1"/>
  <c r="S27" i="7"/>
  <c r="R27" i="7"/>
  <c r="Q27" i="7"/>
  <c r="P27" i="7"/>
  <c r="L27" i="7"/>
  <c r="I27" i="7"/>
  <c r="H27" i="7"/>
  <c r="U27" i="7" s="1"/>
  <c r="Z27" i="7" s="1"/>
  <c r="S26" i="7"/>
  <c r="R26" i="7"/>
  <c r="Q26" i="7"/>
  <c r="P26" i="7"/>
  <c r="L26" i="7"/>
  <c r="I26" i="7"/>
  <c r="H26" i="7"/>
  <c r="O26" i="7" s="1"/>
  <c r="S25" i="7"/>
  <c r="R25" i="7"/>
  <c r="Q25" i="7"/>
  <c r="P25" i="7"/>
  <c r="L25" i="7"/>
  <c r="I25" i="7"/>
  <c r="H25" i="7"/>
  <c r="U25" i="7" s="1"/>
  <c r="Z25" i="7" s="1"/>
  <c r="S24" i="7"/>
  <c r="R24" i="7"/>
  <c r="Q24" i="7"/>
  <c r="P24" i="7"/>
  <c r="L24" i="7"/>
  <c r="I24" i="7"/>
  <c r="H24" i="7"/>
  <c r="O24" i="7" s="1"/>
  <c r="S23" i="7"/>
  <c r="R23" i="7"/>
  <c r="Q23" i="7"/>
  <c r="P23" i="7"/>
  <c r="L23" i="7"/>
  <c r="I23" i="7"/>
  <c r="H23" i="7"/>
  <c r="U23" i="7" s="1"/>
  <c r="S22" i="7"/>
  <c r="R22" i="7"/>
  <c r="Q22" i="7"/>
  <c r="P22" i="7"/>
  <c r="L22" i="7"/>
  <c r="I22" i="7"/>
  <c r="H22" i="7"/>
  <c r="O22" i="7" s="1"/>
  <c r="R21" i="7"/>
  <c r="L21" i="7"/>
  <c r="K21" i="7"/>
  <c r="S21" i="7" s="1"/>
  <c r="I21" i="7"/>
  <c r="H21" i="7"/>
  <c r="R20" i="7"/>
  <c r="L20" i="7"/>
  <c r="K20" i="7"/>
  <c r="Q20" i="7" s="1"/>
  <c r="I20" i="7"/>
  <c r="H20" i="7"/>
  <c r="S19" i="7"/>
  <c r="R19" i="7"/>
  <c r="Q19" i="7"/>
  <c r="P19" i="7"/>
  <c r="L19" i="7"/>
  <c r="I19" i="7"/>
  <c r="H19" i="7"/>
  <c r="O19" i="7" s="1"/>
  <c r="S18" i="7"/>
  <c r="R18" i="7"/>
  <c r="Q18" i="7"/>
  <c r="P18" i="7"/>
  <c r="L18" i="7"/>
  <c r="I18" i="7"/>
  <c r="H18" i="7"/>
  <c r="O18" i="7" s="1"/>
  <c r="S17" i="7"/>
  <c r="R17" i="7"/>
  <c r="Q17" i="7"/>
  <c r="P17" i="7"/>
  <c r="L17" i="7"/>
  <c r="I17" i="7"/>
  <c r="H17" i="7"/>
  <c r="O17" i="7" s="1"/>
  <c r="S16" i="7"/>
  <c r="R16" i="7"/>
  <c r="Q16" i="7"/>
  <c r="P16" i="7"/>
  <c r="L16" i="7"/>
  <c r="I16" i="7"/>
  <c r="H16" i="7"/>
  <c r="U16" i="7" s="1"/>
  <c r="S15" i="7"/>
  <c r="R15" i="7"/>
  <c r="Q15" i="7"/>
  <c r="P15" i="7"/>
  <c r="L15" i="7"/>
  <c r="I15" i="7"/>
  <c r="H15" i="7"/>
  <c r="U15" i="7" s="1"/>
  <c r="Z15" i="7" s="1"/>
  <c r="S14" i="7"/>
  <c r="R14" i="7"/>
  <c r="Q14" i="7"/>
  <c r="P14" i="7"/>
  <c r="L14" i="7"/>
  <c r="I14" i="7"/>
  <c r="H14" i="7"/>
  <c r="U14" i="7" s="1"/>
  <c r="Z14" i="7" s="1"/>
  <c r="S13" i="7"/>
  <c r="R13" i="7"/>
  <c r="Q13" i="7"/>
  <c r="P13" i="7"/>
  <c r="L13" i="7"/>
  <c r="I13" i="7"/>
  <c r="H13" i="7"/>
  <c r="U13" i="7" s="1"/>
  <c r="Z13" i="7" s="1"/>
  <c r="S12" i="7"/>
  <c r="R12" i="7"/>
  <c r="Q12" i="7"/>
  <c r="P12" i="7"/>
  <c r="L12" i="7"/>
  <c r="I12" i="7"/>
  <c r="H12" i="7"/>
  <c r="O12" i="7" s="1"/>
  <c r="S11" i="7"/>
  <c r="R11" i="7"/>
  <c r="Q11" i="7"/>
  <c r="P11" i="7"/>
  <c r="L11" i="7"/>
  <c r="I11" i="7"/>
  <c r="H11" i="7"/>
  <c r="U11" i="7" s="1"/>
  <c r="Z11" i="7" s="1"/>
  <c r="S10" i="7"/>
  <c r="T10" i="7" s="1"/>
  <c r="R10" i="7"/>
  <c r="Q10" i="7"/>
  <c r="P10" i="7"/>
  <c r="L10" i="7"/>
  <c r="I10" i="7"/>
  <c r="H10" i="7"/>
  <c r="O10" i="7" s="1"/>
  <c r="S9" i="7"/>
  <c r="R9" i="7"/>
  <c r="Q9" i="7"/>
  <c r="P9" i="7"/>
  <c r="L9" i="7"/>
  <c r="I9" i="7"/>
  <c r="H9" i="7"/>
  <c r="O9" i="7" s="1"/>
  <c r="S8" i="7"/>
  <c r="R8" i="7"/>
  <c r="Q8" i="7"/>
  <c r="P8" i="7"/>
  <c r="L8" i="7"/>
  <c r="I8" i="7"/>
  <c r="H8" i="7"/>
  <c r="O8" i="7" s="1"/>
  <c r="S7" i="7"/>
  <c r="R7" i="7"/>
  <c r="Q7" i="7"/>
  <c r="P7" i="7"/>
  <c r="L7" i="7"/>
  <c r="I7" i="7"/>
  <c r="H7" i="7"/>
  <c r="U7" i="7" s="1"/>
  <c r="Z7" i="7" s="1"/>
  <c r="S6" i="7"/>
  <c r="R6" i="7"/>
  <c r="Q6" i="7"/>
  <c r="P6" i="7"/>
  <c r="L6" i="7"/>
  <c r="I6" i="7"/>
  <c r="H6" i="7"/>
  <c r="O6" i="7" s="1"/>
  <c r="S5" i="7"/>
  <c r="R5" i="7"/>
  <c r="Q5" i="7"/>
  <c r="P5" i="7"/>
  <c r="L5" i="7"/>
  <c r="I5" i="7"/>
  <c r="H5" i="7"/>
  <c r="U5" i="7" s="1"/>
  <c r="AB144" i="6"/>
  <c r="Y144" i="6"/>
  <c r="X144" i="6"/>
  <c r="W144" i="6"/>
  <c r="V144" i="6"/>
  <c r="N144" i="6"/>
  <c r="M144" i="6"/>
  <c r="K144" i="6"/>
  <c r="J144" i="6"/>
  <c r="G144" i="6"/>
  <c r="S143" i="6"/>
  <c r="R143" i="6"/>
  <c r="Q143" i="6"/>
  <c r="P143" i="6"/>
  <c r="L143" i="6"/>
  <c r="I143" i="6"/>
  <c r="H143" i="6"/>
  <c r="U143" i="6" s="1"/>
  <c r="Z143" i="6" s="1"/>
  <c r="S142" i="6"/>
  <c r="R142" i="6"/>
  <c r="Q142" i="6"/>
  <c r="P142" i="6"/>
  <c r="L142" i="6"/>
  <c r="I142" i="6"/>
  <c r="H142" i="6"/>
  <c r="O142" i="6" s="1"/>
  <c r="S141" i="6"/>
  <c r="R141" i="6"/>
  <c r="Q141" i="6"/>
  <c r="P141" i="6"/>
  <c r="L141" i="6"/>
  <c r="I141" i="6"/>
  <c r="H141" i="6"/>
  <c r="U141" i="6" s="1"/>
  <c r="Z141" i="6" s="1"/>
  <c r="S140" i="6"/>
  <c r="R140" i="6"/>
  <c r="Q140" i="6"/>
  <c r="P140" i="6"/>
  <c r="L140" i="6"/>
  <c r="I140" i="6"/>
  <c r="H140" i="6"/>
  <c r="O140" i="6" s="1"/>
  <c r="S139" i="6"/>
  <c r="R139" i="6"/>
  <c r="Q139" i="6"/>
  <c r="P139" i="6"/>
  <c r="L139" i="6"/>
  <c r="I139" i="6"/>
  <c r="H139" i="6"/>
  <c r="U139" i="6" s="1"/>
  <c r="Z139" i="6" s="1"/>
  <c r="S138" i="6"/>
  <c r="R138" i="6"/>
  <c r="Q138" i="6"/>
  <c r="P138" i="6"/>
  <c r="L138" i="6"/>
  <c r="I138" i="6"/>
  <c r="H138" i="6"/>
  <c r="O138" i="6" s="1"/>
  <c r="S137" i="6"/>
  <c r="R137" i="6"/>
  <c r="Q137" i="6"/>
  <c r="P137" i="6"/>
  <c r="L137" i="6"/>
  <c r="I137" i="6"/>
  <c r="H137" i="6"/>
  <c r="U137" i="6" s="1"/>
  <c r="Z137" i="6" s="1"/>
  <c r="S136" i="6"/>
  <c r="R136" i="6"/>
  <c r="Q136" i="6"/>
  <c r="P136" i="6"/>
  <c r="L136" i="6"/>
  <c r="I136" i="6"/>
  <c r="H136" i="6"/>
  <c r="O136" i="6" s="1"/>
  <c r="S135" i="6"/>
  <c r="R135" i="6"/>
  <c r="Q135" i="6"/>
  <c r="P135" i="6"/>
  <c r="L135" i="6"/>
  <c r="I135" i="6"/>
  <c r="H135" i="6"/>
  <c r="U135" i="6" s="1"/>
  <c r="Z135" i="6" s="1"/>
  <c r="S134" i="6"/>
  <c r="R134" i="6"/>
  <c r="Q134" i="6"/>
  <c r="P134" i="6"/>
  <c r="L134" i="6"/>
  <c r="I134" i="6"/>
  <c r="H134" i="6"/>
  <c r="O134" i="6" s="1"/>
  <c r="S133" i="6"/>
  <c r="R133" i="6"/>
  <c r="Q133" i="6"/>
  <c r="P133" i="6"/>
  <c r="L133" i="6"/>
  <c r="I133" i="6"/>
  <c r="H133" i="6"/>
  <c r="U133" i="6" s="1"/>
  <c r="Z133" i="6" s="1"/>
  <c r="S132" i="6"/>
  <c r="R132" i="6"/>
  <c r="Q132" i="6"/>
  <c r="P132" i="6"/>
  <c r="L132" i="6"/>
  <c r="I132" i="6"/>
  <c r="H132" i="6"/>
  <c r="O132" i="6" s="1"/>
  <c r="S131" i="6"/>
  <c r="R131" i="6"/>
  <c r="Q131" i="6"/>
  <c r="P131" i="6"/>
  <c r="L131" i="6"/>
  <c r="I131" i="6"/>
  <c r="H131" i="6"/>
  <c r="U131" i="6" s="1"/>
  <c r="Z131" i="6" s="1"/>
  <c r="S130" i="6"/>
  <c r="R130" i="6"/>
  <c r="Q130" i="6"/>
  <c r="P130" i="6"/>
  <c r="L130" i="6"/>
  <c r="I130" i="6"/>
  <c r="H130" i="6"/>
  <c r="O130" i="6" s="1"/>
  <c r="S129" i="6"/>
  <c r="R129" i="6"/>
  <c r="Q129" i="6"/>
  <c r="P129" i="6"/>
  <c r="L129" i="6"/>
  <c r="I129" i="6"/>
  <c r="H129" i="6"/>
  <c r="U129" i="6" s="1"/>
  <c r="Z129" i="6" s="1"/>
  <c r="S128" i="6"/>
  <c r="R128" i="6"/>
  <c r="Q128" i="6"/>
  <c r="P128" i="6"/>
  <c r="L128" i="6"/>
  <c r="I128" i="6"/>
  <c r="H128" i="6"/>
  <c r="O128" i="6" s="1"/>
  <c r="S127" i="6"/>
  <c r="R127" i="6"/>
  <c r="Q127" i="6"/>
  <c r="P127" i="6"/>
  <c r="L127" i="6"/>
  <c r="I127" i="6"/>
  <c r="H127" i="6"/>
  <c r="U127" i="6" s="1"/>
  <c r="Z127" i="6" s="1"/>
  <c r="S126" i="6"/>
  <c r="R126" i="6"/>
  <c r="Q126" i="6"/>
  <c r="P126" i="6"/>
  <c r="L126" i="6"/>
  <c r="I126" i="6"/>
  <c r="H126" i="6"/>
  <c r="O126" i="6" s="1"/>
  <c r="S125" i="6"/>
  <c r="R125" i="6"/>
  <c r="Q125" i="6"/>
  <c r="P125" i="6"/>
  <c r="L125" i="6"/>
  <c r="I125" i="6"/>
  <c r="H125" i="6"/>
  <c r="U125" i="6" s="1"/>
  <c r="Z125" i="6" s="1"/>
  <c r="S124" i="6"/>
  <c r="R124" i="6"/>
  <c r="Q124" i="6"/>
  <c r="P124" i="6"/>
  <c r="L124" i="6"/>
  <c r="I124" i="6"/>
  <c r="H124" i="6"/>
  <c r="O124" i="6" s="1"/>
  <c r="S123" i="6"/>
  <c r="R123" i="6"/>
  <c r="Q123" i="6"/>
  <c r="P123" i="6"/>
  <c r="L123" i="6"/>
  <c r="I123" i="6"/>
  <c r="H123" i="6"/>
  <c r="U123" i="6" s="1"/>
  <c r="Z123" i="6" s="1"/>
  <c r="S122" i="6"/>
  <c r="R122" i="6"/>
  <c r="Q122" i="6"/>
  <c r="P122" i="6"/>
  <c r="L122" i="6"/>
  <c r="I122" i="6"/>
  <c r="H122" i="6"/>
  <c r="O122" i="6" s="1"/>
  <c r="S121" i="6"/>
  <c r="R121" i="6"/>
  <c r="Q121" i="6"/>
  <c r="P121" i="6"/>
  <c r="L121" i="6"/>
  <c r="I121" i="6"/>
  <c r="H121" i="6"/>
  <c r="U121" i="6" s="1"/>
  <c r="Z121" i="6" s="1"/>
  <c r="S120" i="6"/>
  <c r="R120" i="6"/>
  <c r="Q120" i="6"/>
  <c r="P120" i="6"/>
  <c r="L120" i="6"/>
  <c r="I120" i="6"/>
  <c r="H120" i="6"/>
  <c r="O120" i="6" s="1"/>
  <c r="S119" i="6"/>
  <c r="R119" i="6"/>
  <c r="Q119" i="6"/>
  <c r="P119" i="6"/>
  <c r="L119" i="6"/>
  <c r="I119" i="6"/>
  <c r="H119" i="6"/>
  <c r="U119" i="6" s="1"/>
  <c r="Z119" i="6" s="1"/>
  <c r="S118" i="6"/>
  <c r="R118" i="6"/>
  <c r="Q118" i="6"/>
  <c r="P118" i="6"/>
  <c r="L118" i="6"/>
  <c r="I118" i="6"/>
  <c r="H118" i="6"/>
  <c r="O118" i="6" s="1"/>
  <c r="S117" i="6"/>
  <c r="R117" i="6"/>
  <c r="Q117" i="6"/>
  <c r="P117" i="6"/>
  <c r="L117" i="6"/>
  <c r="I117" i="6"/>
  <c r="H117" i="6"/>
  <c r="U117" i="6" s="1"/>
  <c r="Z117" i="6" s="1"/>
  <c r="S116" i="6"/>
  <c r="R116" i="6"/>
  <c r="Q116" i="6"/>
  <c r="P116" i="6"/>
  <c r="L116" i="6"/>
  <c r="I116" i="6"/>
  <c r="H116" i="6"/>
  <c r="O116" i="6" s="1"/>
  <c r="S115" i="6"/>
  <c r="R115" i="6"/>
  <c r="Q115" i="6"/>
  <c r="P115" i="6"/>
  <c r="L115" i="6"/>
  <c r="I115" i="6"/>
  <c r="H115" i="6"/>
  <c r="U115" i="6" s="1"/>
  <c r="Z115" i="6" s="1"/>
  <c r="S114" i="6"/>
  <c r="R114" i="6"/>
  <c r="Q114" i="6"/>
  <c r="P114" i="6"/>
  <c r="L114" i="6"/>
  <c r="I114" i="6"/>
  <c r="H114" i="6"/>
  <c r="O114" i="6" s="1"/>
  <c r="S113" i="6"/>
  <c r="R113" i="6"/>
  <c r="Q113" i="6"/>
  <c r="P113" i="6"/>
  <c r="L113" i="6"/>
  <c r="I113" i="6"/>
  <c r="H113" i="6"/>
  <c r="U113" i="6" s="1"/>
  <c r="Z113" i="6" s="1"/>
  <c r="S112" i="6"/>
  <c r="R112" i="6"/>
  <c r="Q112" i="6"/>
  <c r="P112" i="6"/>
  <c r="L112" i="6"/>
  <c r="I112" i="6"/>
  <c r="H112" i="6"/>
  <c r="O112" i="6" s="1"/>
  <c r="S111" i="6"/>
  <c r="R111" i="6"/>
  <c r="Q111" i="6"/>
  <c r="P111" i="6"/>
  <c r="L111" i="6"/>
  <c r="I111" i="6"/>
  <c r="H111" i="6"/>
  <c r="U111" i="6" s="1"/>
  <c r="Z111" i="6" s="1"/>
  <c r="S110" i="6"/>
  <c r="R110" i="6"/>
  <c r="Q110" i="6"/>
  <c r="P110" i="6"/>
  <c r="L110" i="6"/>
  <c r="I110" i="6"/>
  <c r="H110" i="6"/>
  <c r="O110" i="6" s="1"/>
  <c r="S109" i="6"/>
  <c r="R109" i="6"/>
  <c r="Q109" i="6"/>
  <c r="P109" i="6"/>
  <c r="L109" i="6"/>
  <c r="I109" i="6"/>
  <c r="H109" i="6"/>
  <c r="U109" i="6" s="1"/>
  <c r="Z109" i="6" s="1"/>
  <c r="S108" i="6"/>
  <c r="R108" i="6"/>
  <c r="Q108" i="6"/>
  <c r="P108" i="6"/>
  <c r="L108" i="6"/>
  <c r="I108" i="6"/>
  <c r="H108" i="6"/>
  <c r="O108" i="6" s="1"/>
  <c r="S107" i="6"/>
  <c r="R107" i="6"/>
  <c r="Q107" i="6"/>
  <c r="P107" i="6"/>
  <c r="L107" i="6"/>
  <c r="I107" i="6"/>
  <c r="H107" i="6"/>
  <c r="U107" i="6" s="1"/>
  <c r="Z107" i="6" s="1"/>
  <c r="S106" i="6"/>
  <c r="R106" i="6"/>
  <c r="Q106" i="6"/>
  <c r="P106" i="6"/>
  <c r="L106" i="6"/>
  <c r="I106" i="6"/>
  <c r="H106" i="6"/>
  <c r="O106" i="6" s="1"/>
  <c r="S105" i="6"/>
  <c r="R105" i="6"/>
  <c r="Q105" i="6"/>
  <c r="P105" i="6"/>
  <c r="L105" i="6"/>
  <c r="I105" i="6"/>
  <c r="H105" i="6"/>
  <c r="U105" i="6" s="1"/>
  <c r="Z105" i="6" s="1"/>
  <c r="S104" i="6"/>
  <c r="R104" i="6"/>
  <c r="Q104" i="6"/>
  <c r="P104" i="6"/>
  <c r="L104" i="6"/>
  <c r="I104" i="6"/>
  <c r="H104" i="6"/>
  <c r="O104" i="6" s="1"/>
  <c r="S103" i="6"/>
  <c r="R103" i="6"/>
  <c r="Q103" i="6"/>
  <c r="P103" i="6"/>
  <c r="L103" i="6"/>
  <c r="I103" i="6"/>
  <c r="H103" i="6"/>
  <c r="U103" i="6" s="1"/>
  <c r="Z103" i="6" s="1"/>
  <c r="S102" i="6"/>
  <c r="R102" i="6"/>
  <c r="Q102" i="6"/>
  <c r="P102" i="6"/>
  <c r="L102" i="6"/>
  <c r="I102" i="6"/>
  <c r="H102" i="6"/>
  <c r="O102" i="6" s="1"/>
  <c r="S101" i="6"/>
  <c r="R101" i="6"/>
  <c r="Q101" i="6"/>
  <c r="P101" i="6"/>
  <c r="L101" i="6"/>
  <c r="I101" i="6"/>
  <c r="H101" i="6"/>
  <c r="U101" i="6" s="1"/>
  <c r="Z101" i="6" s="1"/>
  <c r="S100" i="6"/>
  <c r="R100" i="6"/>
  <c r="Q100" i="6"/>
  <c r="P100" i="6"/>
  <c r="L100" i="6"/>
  <c r="I100" i="6"/>
  <c r="H100" i="6"/>
  <c r="O100" i="6" s="1"/>
  <c r="S99" i="6"/>
  <c r="R99" i="6"/>
  <c r="Q99" i="6"/>
  <c r="P99" i="6"/>
  <c r="L99" i="6"/>
  <c r="I99" i="6"/>
  <c r="H99" i="6"/>
  <c r="U99" i="6" s="1"/>
  <c r="Z99" i="6" s="1"/>
  <c r="S98" i="6"/>
  <c r="R98" i="6"/>
  <c r="Q98" i="6"/>
  <c r="P98" i="6"/>
  <c r="L98" i="6"/>
  <c r="I98" i="6"/>
  <c r="H98" i="6"/>
  <c r="O98" i="6" s="1"/>
  <c r="S97" i="6"/>
  <c r="R97" i="6"/>
  <c r="Q97" i="6"/>
  <c r="P97" i="6"/>
  <c r="L97" i="6"/>
  <c r="I97" i="6"/>
  <c r="H97" i="6"/>
  <c r="U97" i="6" s="1"/>
  <c r="Z97" i="6" s="1"/>
  <c r="S96" i="6"/>
  <c r="R96" i="6"/>
  <c r="Q96" i="6"/>
  <c r="P96" i="6"/>
  <c r="L96" i="6"/>
  <c r="I96" i="6"/>
  <c r="H96" i="6"/>
  <c r="O96" i="6" s="1"/>
  <c r="S95" i="6"/>
  <c r="R95" i="6"/>
  <c r="Q95" i="6"/>
  <c r="P95" i="6"/>
  <c r="L95" i="6"/>
  <c r="I95" i="6"/>
  <c r="H95" i="6"/>
  <c r="U95" i="6" s="1"/>
  <c r="Z95" i="6" s="1"/>
  <c r="S94" i="6"/>
  <c r="R94" i="6"/>
  <c r="Q94" i="6"/>
  <c r="P94" i="6"/>
  <c r="L94" i="6"/>
  <c r="I94" i="6"/>
  <c r="H94" i="6"/>
  <c r="O94" i="6" s="1"/>
  <c r="S93" i="6"/>
  <c r="R93" i="6"/>
  <c r="Q93" i="6"/>
  <c r="P93" i="6"/>
  <c r="L93" i="6"/>
  <c r="I93" i="6"/>
  <c r="H93" i="6"/>
  <c r="U93" i="6" s="1"/>
  <c r="Z93" i="6" s="1"/>
  <c r="S92" i="6"/>
  <c r="R92" i="6"/>
  <c r="Q92" i="6"/>
  <c r="P92" i="6"/>
  <c r="L92" i="6"/>
  <c r="I92" i="6"/>
  <c r="H92" i="6"/>
  <c r="O92" i="6" s="1"/>
  <c r="S91" i="6"/>
  <c r="R91" i="6"/>
  <c r="Q91" i="6"/>
  <c r="P91" i="6"/>
  <c r="L91" i="6"/>
  <c r="I91" i="6"/>
  <c r="H91" i="6"/>
  <c r="U91" i="6" s="1"/>
  <c r="Z91" i="6" s="1"/>
  <c r="S90" i="6"/>
  <c r="R90" i="6"/>
  <c r="Q90" i="6"/>
  <c r="P90" i="6"/>
  <c r="L90" i="6"/>
  <c r="I90" i="6"/>
  <c r="H90" i="6"/>
  <c r="O90" i="6" s="1"/>
  <c r="S89" i="6"/>
  <c r="R89" i="6"/>
  <c r="Q89" i="6"/>
  <c r="P89" i="6"/>
  <c r="L89" i="6"/>
  <c r="I89" i="6"/>
  <c r="H89" i="6"/>
  <c r="U89" i="6" s="1"/>
  <c r="Z89" i="6" s="1"/>
  <c r="S88" i="6"/>
  <c r="R88" i="6"/>
  <c r="Q88" i="6"/>
  <c r="P88" i="6"/>
  <c r="L88" i="6"/>
  <c r="I88" i="6"/>
  <c r="H88" i="6"/>
  <c r="O88" i="6" s="1"/>
  <c r="S87" i="6"/>
  <c r="R87" i="6"/>
  <c r="Q87" i="6"/>
  <c r="P87" i="6"/>
  <c r="L87" i="6"/>
  <c r="I87" i="6"/>
  <c r="H87" i="6"/>
  <c r="U87" i="6" s="1"/>
  <c r="Z87" i="6" s="1"/>
  <c r="S86" i="6"/>
  <c r="R86" i="6"/>
  <c r="Q86" i="6"/>
  <c r="P86" i="6"/>
  <c r="L86" i="6"/>
  <c r="I86" i="6"/>
  <c r="H86" i="6"/>
  <c r="O86" i="6" s="1"/>
  <c r="S85" i="6"/>
  <c r="R85" i="6"/>
  <c r="Q85" i="6"/>
  <c r="P85" i="6"/>
  <c r="L85" i="6"/>
  <c r="I85" i="6"/>
  <c r="H85" i="6"/>
  <c r="U85" i="6" s="1"/>
  <c r="Z85" i="6" s="1"/>
  <c r="S84" i="6"/>
  <c r="R84" i="6"/>
  <c r="Q84" i="6"/>
  <c r="P84" i="6"/>
  <c r="L84" i="6"/>
  <c r="I84" i="6"/>
  <c r="H84" i="6"/>
  <c r="O84" i="6" s="1"/>
  <c r="S83" i="6"/>
  <c r="R83" i="6"/>
  <c r="Q83" i="6"/>
  <c r="P83" i="6"/>
  <c r="L83" i="6"/>
  <c r="I83" i="6"/>
  <c r="H83" i="6"/>
  <c r="U83" i="6" s="1"/>
  <c r="Z83" i="6" s="1"/>
  <c r="S82" i="6"/>
  <c r="R82" i="6"/>
  <c r="Q82" i="6"/>
  <c r="P82" i="6"/>
  <c r="L82" i="6"/>
  <c r="I82" i="6"/>
  <c r="H82" i="6"/>
  <c r="O82" i="6" s="1"/>
  <c r="S81" i="6"/>
  <c r="R81" i="6"/>
  <c r="Q81" i="6"/>
  <c r="P81" i="6"/>
  <c r="L81" i="6"/>
  <c r="I81" i="6"/>
  <c r="H81" i="6"/>
  <c r="U81" i="6" s="1"/>
  <c r="Z81" i="6" s="1"/>
  <c r="S80" i="6"/>
  <c r="R80" i="6"/>
  <c r="Q80" i="6"/>
  <c r="P80" i="6"/>
  <c r="L80" i="6"/>
  <c r="I80" i="6"/>
  <c r="H80" i="6"/>
  <c r="O80" i="6" s="1"/>
  <c r="S79" i="6"/>
  <c r="R79" i="6"/>
  <c r="Q79" i="6"/>
  <c r="P79" i="6"/>
  <c r="L79" i="6"/>
  <c r="I79" i="6"/>
  <c r="H79" i="6"/>
  <c r="U79" i="6" s="1"/>
  <c r="Z79" i="6" s="1"/>
  <c r="S78" i="6"/>
  <c r="R78" i="6"/>
  <c r="Q78" i="6"/>
  <c r="P78" i="6"/>
  <c r="L78" i="6"/>
  <c r="I78" i="6"/>
  <c r="H78" i="6"/>
  <c r="O78" i="6" s="1"/>
  <c r="S77" i="6"/>
  <c r="R77" i="6"/>
  <c r="Q77" i="6"/>
  <c r="P77" i="6"/>
  <c r="L77" i="6"/>
  <c r="I77" i="6"/>
  <c r="H77" i="6"/>
  <c r="U77" i="6" s="1"/>
  <c r="Z77" i="6" s="1"/>
  <c r="S76" i="6"/>
  <c r="R76" i="6"/>
  <c r="Q76" i="6"/>
  <c r="P76" i="6"/>
  <c r="L76" i="6"/>
  <c r="I76" i="6"/>
  <c r="H76" i="6"/>
  <c r="O76" i="6" s="1"/>
  <c r="S75" i="6"/>
  <c r="R75" i="6"/>
  <c r="Q75" i="6"/>
  <c r="P75" i="6"/>
  <c r="L75" i="6"/>
  <c r="I75" i="6"/>
  <c r="H75" i="6"/>
  <c r="U75" i="6" s="1"/>
  <c r="Z75" i="6" s="1"/>
  <c r="S74" i="6"/>
  <c r="R74" i="6"/>
  <c r="Q74" i="6"/>
  <c r="P74" i="6"/>
  <c r="L74" i="6"/>
  <c r="I74" i="6"/>
  <c r="H74" i="6"/>
  <c r="O74" i="6" s="1"/>
  <c r="S73" i="6"/>
  <c r="R73" i="6"/>
  <c r="Q73" i="6"/>
  <c r="P73" i="6"/>
  <c r="L73" i="6"/>
  <c r="I73" i="6"/>
  <c r="H73" i="6"/>
  <c r="U73" i="6" s="1"/>
  <c r="Z73" i="6" s="1"/>
  <c r="S72" i="6"/>
  <c r="R72" i="6"/>
  <c r="Q72" i="6"/>
  <c r="P72" i="6"/>
  <c r="L72" i="6"/>
  <c r="I72" i="6"/>
  <c r="H72" i="6"/>
  <c r="O72" i="6" s="1"/>
  <c r="S71" i="6"/>
  <c r="R71" i="6"/>
  <c r="Q71" i="6"/>
  <c r="P71" i="6"/>
  <c r="L71" i="6"/>
  <c r="I71" i="6"/>
  <c r="H71" i="6"/>
  <c r="U71" i="6" s="1"/>
  <c r="Z71" i="6" s="1"/>
  <c r="S70" i="6"/>
  <c r="R70" i="6"/>
  <c r="Q70" i="6"/>
  <c r="P70" i="6"/>
  <c r="L70" i="6"/>
  <c r="I70" i="6"/>
  <c r="H70" i="6"/>
  <c r="O70" i="6" s="1"/>
  <c r="S69" i="6"/>
  <c r="R69" i="6"/>
  <c r="Q69" i="6"/>
  <c r="P69" i="6"/>
  <c r="L69" i="6"/>
  <c r="I69" i="6"/>
  <c r="H69" i="6"/>
  <c r="U69" i="6" s="1"/>
  <c r="Z69" i="6" s="1"/>
  <c r="S68" i="6"/>
  <c r="R68" i="6"/>
  <c r="Q68" i="6"/>
  <c r="P68" i="6"/>
  <c r="L68" i="6"/>
  <c r="I68" i="6"/>
  <c r="H68" i="6"/>
  <c r="O68" i="6" s="1"/>
  <c r="S67" i="6"/>
  <c r="R67" i="6"/>
  <c r="Q67" i="6"/>
  <c r="P67" i="6"/>
  <c r="L67" i="6"/>
  <c r="I67" i="6"/>
  <c r="H67" i="6"/>
  <c r="U67" i="6" s="1"/>
  <c r="Z67" i="6" s="1"/>
  <c r="S66" i="6"/>
  <c r="R66" i="6"/>
  <c r="Q66" i="6"/>
  <c r="P66" i="6"/>
  <c r="L66" i="6"/>
  <c r="I66" i="6"/>
  <c r="H66" i="6"/>
  <c r="O66" i="6" s="1"/>
  <c r="S65" i="6"/>
  <c r="R65" i="6"/>
  <c r="Q65" i="6"/>
  <c r="P65" i="6"/>
  <c r="L65" i="6"/>
  <c r="I65" i="6"/>
  <c r="H65" i="6"/>
  <c r="U65" i="6" s="1"/>
  <c r="S64" i="6"/>
  <c r="R64" i="6"/>
  <c r="Q64" i="6"/>
  <c r="P64" i="6"/>
  <c r="L64" i="6"/>
  <c r="I64" i="6"/>
  <c r="H64" i="6"/>
  <c r="O64" i="6" s="1"/>
  <c r="S63" i="6"/>
  <c r="R63" i="6"/>
  <c r="Q63" i="6"/>
  <c r="P63" i="6"/>
  <c r="L63" i="6"/>
  <c r="I63" i="6"/>
  <c r="H63" i="6"/>
  <c r="O63" i="6" s="1"/>
  <c r="S62" i="6"/>
  <c r="R62" i="6"/>
  <c r="Q62" i="6"/>
  <c r="P62" i="6"/>
  <c r="L62" i="6"/>
  <c r="I62" i="6"/>
  <c r="H62" i="6"/>
  <c r="O62" i="6" s="1"/>
  <c r="S61" i="6"/>
  <c r="R61" i="6"/>
  <c r="Q61" i="6"/>
  <c r="P61" i="6"/>
  <c r="L61" i="6"/>
  <c r="I61" i="6"/>
  <c r="H61" i="6"/>
  <c r="O61" i="6" s="1"/>
  <c r="S60" i="6"/>
  <c r="R60" i="6"/>
  <c r="Q60" i="6"/>
  <c r="P60" i="6"/>
  <c r="L60" i="6"/>
  <c r="I60" i="6"/>
  <c r="H60" i="6"/>
  <c r="O60" i="6" s="1"/>
  <c r="S59" i="6"/>
  <c r="R59" i="6"/>
  <c r="Q59" i="6"/>
  <c r="P59" i="6"/>
  <c r="L59" i="6"/>
  <c r="I59" i="6"/>
  <c r="H59" i="6"/>
  <c r="O59" i="6" s="1"/>
  <c r="S58" i="6"/>
  <c r="R58" i="6"/>
  <c r="Q58" i="6"/>
  <c r="P58" i="6"/>
  <c r="L58" i="6"/>
  <c r="I58" i="6"/>
  <c r="H58" i="6"/>
  <c r="O58" i="6" s="1"/>
  <c r="S57" i="6"/>
  <c r="R57" i="6"/>
  <c r="Q57" i="6"/>
  <c r="P57" i="6"/>
  <c r="L57" i="6"/>
  <c r="I57" i="6"/>
  <c r="H57" i="6"/>
  <c r="O57" i="6" s="1"/>
  <c r="S56" i="6"/>
  <c r="R56" i="6"/>
  <c r="Q56" i="6"/>
  <c r="P56" i="6"/>
  <c r="L56" i="6"/>
  <c r="I56" i="6"/>
  <c r="H56" i="6"/>
  <c r="O56" i="6" s="1"/>
  <c r="S55" i="6"/>
  <c r="R55" i="6"/>
  <c r="Q55" i="6"/>
  <c r="P55" i="6"/>
  <c r="L55" i="6"/>
  <c r="I55" i="6"/>
  <c r="H55" i="6"/>
  <c r="O55" i="6" s="1"/>
  <c r="S54" i="6"/>
  <c r="R54" i="6"/>
  <c r="Q54" i="6"/>
  <c r="P54" i="6"/>
  <c r="L54" i="6"/>
  <c r="I54" i="6"/>
  <c r="H54" i="6"/>
  <c r="O54" i="6" s="1"/>
  <c r="S53" i="6"/>
  <c r="R53" i="6"/>
  <c r="Q53" i="6"/>
  <c r="P53" i="6"/>
  <c r="L53" i="6"/>
  <c r="I53" i="6"/>
  <c r="H53" i="6"/>
  <c r="O53" i="6" s="1"/>
  <c r="S52" i="6"/>
  <c r="R52" i="6"/>
  <c r="Q52" i="6"/>
  <c r="P52" i="6"/>
  <c r="L52" i="6"/>
  <c r="I52" i="6"/>
  <c r="H52" i="6"/>
  <c r="O52" i="6" s="1"/>
  <c r="S51" i="6"/>
  <c r="R51" i="6"/>
  <c r="Q51" i="6"/>
  <c r="P51" i="6"/>
  <c r="L51" i="6"/>
  <c r="I51" i="6"/>
  <c r="H51" i="6"/>
  <c r="O51" i="6" s="1"/>
  <c r="S50" i="6"/>
  <c r="R50" i="6"/>
  <c r="Q50" i="6"/>
  <c r="P50" i="6"/>
  <c r="L50" i="6"/>
  <c r="I50" i="6"/>
  <c r="H50" i="6"/>
  <c r="O50" i="6" s="1"/>
  <c r="S49" i="6"/>
  <c r="R49" i="6"/>
  <c r="Q49" i="6"/>
  <c r="P49" i="6"/>
  <c r="L49" i="6"/>
  <c r="I49" i="6"/>
  <c r="H49" i="6"/>
  <c r="O49" i="6" s="1"/>
  <c r="R48" i="6"/>
  <c r="L48" i="6"/>
  <c r="K48" i="6"/>
  <c r="I48" i="6"/>
  <c r="H48" i="6"/>
  <c r="S47" i="6"/>
  <c r="R47" i="6"/>
  <c r="Q47" i="6"/>
  <c r="P47" i="6"/>
  <c r="L47" i="6"/>
  <c r="I47" i="6"/>
  <c r="H47" i="6"/>
  <c r="U47" i="6" s="1"/>
  <c r="S46" i="6"/>
  <c r="R46" i="6"/>
  <c r="Q46" i="6"/>
  <c r="P46" i="6"/>
  <c r="L46" i="6"/>
  <c r="I46" i="6"/>
  <c r="H46" i="6"/>
  <c r="S45" i="6"/>
  <c r="R45" i="6"/>
  <c r="Q45" i="6"/>
  <c r="P45" i="6"/>
  <c r="L45" i="6"/>
  <c r="I45" i="6"/>
  <c r="H45" i="6"/>
  <c r="O45" i="6" s="1"/>
  <c r="V45" i="6" s="1"/>
  <c r="S44" i="6"/>
  <c r="R44" i="6"/>
  <c r="Q44" i="6"/>
  <c r="P44" i="6"/>
  <c r="L44" i="6"/>
  <c r="I44" i="6"/>
  <c r="H44" i="6"/>
  <c r="U44" i="6" s="1"/>
  <c r="S43" i="6"/>
  <c r="R43" i="6"/>
  <c r="Q43" i="6"/>
  <c r="P43" i="6"/>
  <c r="L43" i="6"/>
  <c r="I43" i="6"/>
  <c r="H43" i="6"/>
  <c r="U43" i="6" s="1"/>
  <c r="Z43" i="6" s="1"/>
  <c r="S42" i="6"/>
  <c r="R42" i="6"/>
  <c r="Q42" i="6"/>
  <c r="P42" i="6"/>
  <c r="L42" i="6"/>
  <c r="I42" i="6"/>
  <c r="H42" i="6"/>
  <c r="O42" i="6" s="1"/>
  <c r="S41" i="6"/>
  <c r="R41" i="6"/>
  <c r="Q41" i="6"/>
  <c r="P41" i="6"/>
  <c r="L41" i="6"/>
  <c r="I41" i="6"/>
  <c r="H41" i="6"/>
  <c r="O41" i="6" s="1"/>
  <c r="S40" i="6"/>
  <c r="R40" i="6"/>
  <c r="Q40" i="6"/>
  <c r="P40" i="6"/>
  <c r="L40" i="6"/>
  <c r="I40" i="6"/>
  <c r="H40" i="6"/>
  <c r="U40" i="6" s="1"/>
  <c r="S39" i="6"/>
  <c r="R39" i="6"/>
  <c r="Q39" i="6"/>
  <c r="P39" i="6"/>
  <c r="L39" i="6"/>
  <c r="I39" i="6"/>
  <c r="H39" i="6"/>
  <c r="S38" i="6"/>
  <c r="R38" i="6"/>
  <c r="Q38" i="6"/>
  <c r="P38" i="6"/>
  <c r="L38" i="6"/>
  <c r="I38" i="6"/>
  <c r="H38" i="6"/>
  <c r="O38" i="6" s="1"/>
  <c r="S37" i="6"/>
  <c r="R37" i="6"/>
  <c r="Q37" i="6"/>
  <c r="P37" i="6"/>
  <c r="L37" i="6"/>
  <c r="I37" i="6"/>
  <c r="H37" i="6"/>
  <c r="U37" i="6" s="1"/>
  <c r="S36" i="6"/>
  <c r="R36" i="6"/>
  <c r="Q36" i="6"/>
  <c r="P36" i="6"/>
  <c r="L36" i="6"/>
  <c r="I36" i="6"/>
  <c r="H36" i="6"/>
  <c r="U36" i="6" s="1"/>
  <c r="Z36" i="6" s="1"/>
  <c r="S35" i="6"/>
  <c r="R35" i="6"/>
  <c r="Q35" i="6"/>
  <c r="P35" i="6"/>
  <c r="L35" i="6"/>
  <c r="I35" i="6"/>
  <c r="H35" i="6"/>
  <c r="U35" i="6" s="1"/>
  <c r="Z35" i="6" s="1"/>
  <c r="S34" i="6"/>
  <c r="R34" i="6"/>
  <c r="Q34" i="6"/>
  <c r="P34" i="6"/>
  <c r="L34" i="6"/>
  <c r="I34" i="6"/>
  <c r="H34" i="6"/>
  <c r="S33" i="6"/>
  <c r="R33" i="6"/>
  <c r="Q33" i="6"/>
  <c r="P33" i="6"/>
  <c r="L33" i="6"/>
  <c r="I33" i="6"/>
  <c r="H33" i="6"/>
  <c r="O33" i="6" s="1"/>
  <c r="S32" i="6"/>
  <c r="R32" i="6"/>
  <c r="Q32" i="6"/>
  <c r="P32" i="6"/>
  <c r="L32" i="6"/>
  <c r="I32" i="6"/>
  <c r="H32" i="6"/>
  <c r="U32" i="6" s="1"/>
  <c r="Z32" i="6" s="1"/>
  <c r="S31" i="6"/>
  <c r="R31" i="6"/>
  <c r="Q31" i="6"/>
  <c r="P31" i="6"/>
  <c r="L31" i="6"/>
  <c r="I31" i="6"/>
  <c r="H31" i="6"/>
  <c r="U31" i="6" s="1"/>
  <c r="S30" i="6"/>
  <c r="R30" i="6"/>
  <c r="Q30" i="6"/>
  <c r="P30" i="6"/>
  <c r="L30" i="6"/>
  <c r="I30" i="6"/>
  <c r="H30" i="6"/>
  <c r="O30" i="6" s="1"/>
  <c r="S29" i="6"/>
  <c r="R29" i="6"/>
  <c r="Q29" i="6"/>
  <c r="P29" i="6"/>
  <c r="L29" i="6"/>
  <c r="I29" i="6"/>
  <c r="H29" i="6"/>
  <c r="U29" i="6" s="1"/>
  <c r="S28" i="6"/>
  <c r="R28" i="6"/>
  <c r="Q28" i="6"/>
  <c r="P28" i="6"/>
  <c r="L28" i="6"/>
  <c r="I28" i="6"/>
  <c r="H28" i="6"/>
  <c r="U28" i="6" s="1"/>
  <c r="S27" i="6"/>
  <c r="R27" i="6"/>
  <c r="Q27" i="6"/>
  <c r="P27" i="6"/>
  <c r="L27" i="6"/>
  <c r="I27" i="6"/>
  <c r="H27" i="6"/>
  <c r="U27" i="6" s="1"/>
  <c r="S26" i="6"/>
  <c r="R26" i="6"/>
  <c r="Q26" i="6"/>
  <c r="P26" i="6"/>
  <c r="L26" i="6"/>
  <c r="I26" i="6"/>
  <c r="H26" i="6"/>
  <c r="O26" i="6" s="1"/>
  <c r="V26" i="6" s="1"/>
  <c r="S25" i="6"/>
  <c r="R25" i="6"/>
  <c r="Q25" i="6"/>
  <c r="P25" i="6"/>
  <c r="L25" i="6"/>
  <c r="I25" i="6"/>
  <c r="H25" i="6"/>
  <c r="O25" i="6" s="1"/>
  <c r="S24" i="6"/>
  <c r="R24" i="6"/>
  <c r="Q24" i="6"/>
  <c r="P24" i="6"/>
  <c r="L24" i="6"/>
  <c r="I24" i="6"/>
  <c r="H24" i="6"/>
  <c r="O24" i="6" s="1"/>
  <c r="S23" i="6"/>
  <c r="R23" i="6"/>
  <c r="Q23" i="6"/>
  <c r="P23" i="6"/>
  <c r="L23" i="6"/>
  <c r="I23" i="6"/>
  <c r="H23" i="6"/>
  <c r="U23" i="6" s="1"/>
  <c r="S22" i="6"/>
  <c r="R22" i="6"/>
  <c r="Q22" i="6"/>
  <c r="P22" i="6"/>
  <c r="L22" i="6"/>
  <c r="I22" i="6"/>
  <c r="H22" i="6"/>
  <c r="U22" i="6" s="1"/>
  <c r="Z22" i="6" s="1"/>
  <c r="S21" i="6"/>
  <c r="R21" i="6"/>
  <c r="Q21" i="6"/>
  <c r="P21" i="6"/>
  <c r="L21" i="6"/>
  <c r="I21" i="6"/>
  <c r="H21" i="6"/>
  <c r="U21" i="6" s="1"/>
  <c r="S20" i="6"/>
  <c r="R20" i="6"/>
  <c r="Q20" i="6"/>
  <c r="P20" i="6"/>
  <c r="L20" i="6"/>
  <c r="I20" i="6"/>
  <c r="H20" i="6"/>
  <c r="U20" i="6" s="1"/>
  <c r="Z20" i="6" s="1"/>
  <c r="S19" i="6"/>
  <c r="R19" i="6"/>
  <c r="Q19" i="6"/>
  <c r="P19" i="6"/>
  <c r="L19" i="6"/>
  <c r="I19" i="6"/>
  <c r="H19" i="6"/>
  <c r="U19" i="6" s="1"/>
  <c r="S18" i="6"/>
  <c r="R18" i="6"/>
  <c r="Q18" i="6"/>
  <c r="P18" i="6"/>
  <c r="L18" i="6"/>
  <c r="I18" i="6"/>
  <c r="H18" i="6"/>
  <c r="O18" i="6" s="1"/>
  <c r="S17" i="6"/>
  <c r="R17" i="6"/>
  <c r="Q17" i="6"/>
  <c r="P17" i="6"/>
  <c r="L17" i="6"/>
  <c r="I17" i="6"/>
  <c r="H17" i="6"/>
  <c r="O17" i="6" s="1"/>
  <c r="S16" i="6"/>
  <c r="R16" i="6"/>
  <c r="Q16" i="6"/>
  <c r="P16" i="6"/>
  <c r="L16" i="6"/>
  <c r="I16" i="6"/>
  <c r="H16" i="6"/>
  <c r="O16" i="6" s="1"/>
  <c r="S15" i="6"/>
  <c r="R15" i="6"/>
  <c r="Q15" i="6"/>
  <c r="P15" i="6"/>
  <c r="L15" i="6"/>
  <c r="I15" i="6"/>
  <c r="H15" i="6"/>
  <c r="U15" i="6" s="1"/>
  <c r="S14" i="6"/>
  <c r="R14" i="6"/>
  <c r="Q14" i="6"/>
  <c r="P14" i="6"/>
  <c r="L14" i="6"/>
  <c r="I14" i="6"/>
  <c r="H14" i="6"/>
  <c r="U14" i="6" s="1"/>
  <c r="S13" i="6"/>
  <c r="R13" i="6"/>
  <c r="Q13" i="6"/>
  <c r="P13" i="6"/>
  <c r="L13" i="6"/>
  <c r="I13" i="6"/>
  <c r="H13" i="6"/>
  <c r="O13" i="6" s="1"/>
  <c r="S12" i="6"/>
  <c r="R12" i="6"/>
  <c r="Q12" i="6"/>
  <c r="P12" i="6"/>
  <c r="L12" i="6"/>
  <c r="I12" i="6"/>
  <c r="H12" i="6"/>
  <c r="U12" i="6" s="1"/>
  <c r="Z12" i="6" s="1"/>
  <c r="S11" i="6"/>
  <c r="R11" i="6"/>
  <c r="Q11" i="6"/>
  <c r="P11" i="6"/>
  <c r="L11" i="6"/>
  <c r="I11" i="6"/>
  <c r="H11" i="6"/>
  <c r="U11" i="6" s="1"/>
  <c r="Z11" i="6" s="1"/>
  <c r="S10" i="6"/>
  <c r="R10" i="6"/>
  <c r="Q10" i="6"/>
  <c r="P10" i="6"/>
  <c r="L10" i="6"/>
  <c r="I10" i="6"/>
  <c r="H10" i="6"/>
  <c r="U10" i="6" s="1"/>
  <c r="S9" i="6"/>
  <c r="R9" i="6"/>
  <c r="Q9" i="6"/>
  <c r="P9" i="6"/>
  <c r="L9" i="6"/>
  <c r="I9" i="6"/>
  <c r="H9" i="6"/>
  <c r="U9" i="6" s="1"/>
  <c r="Z9" i="6" s="1"/>
  <c r="S8" i="6"/>
  <c r="R8" i="6"/>
  <c r="Q8" i="6"/>
  <c r="P8" i="6"/>
  <c r="L8" i="6"/>
  <c r="I8" i="6"/>
  <c r="H8" i="6"/>
  <c r="U8" i="6" s="1"/>
  <c r="Z8" i="6" s="1"/>
  <c r="S7" i="6"/>
  <c r="R7" i="6"/>
  <c r="Q7" i="6"/>
  <c r="P7" i="6"/>
  <c r="L7" i="6"/>
  <c r="I7" i="6"/>
  <c r="H7" i="6"/>
  <c r="U7" i="6" s="1"/>
  <c r="Z7" i="6" s="1"/>
  <c r="S6" i="6"/>
  <c r="R6" i="6"/>
  <c r="Q6" i="6"/>
  <c r="P6" i="6"/>
  <c r="L6" i="6"/>
  <c r="I6" i="6"/>
  <c r="H6" i="6"/>
  <c r="U6" i="6" s="1"/>
  <c r="Z6" i="6" s="1"/>
  <c r="S5" i="6"/>
  <c r="R5" i="6"/>
  <c r="Q5" i="6"/>
  <c r="P5" i="6"/>
  <c r="L5" i="6"/>
  <c r="I5" i="6"/>
  <c r="H5" i="6"/>
  <c r="O5" i="6" s="1"/>
  <c r="AI57" i="1"/>
  <c r="AH57" i="1" s="1"/>
  <c r="S570" i="5"/>
  <c r="R570" i="5"/>
  <c r="Q570" i="5"/>
  <c r="P570" i="5"/>
  <c r="L570" i="5"/>
  <c r="I570" i="5"/>
  <c r="H570" i="5"/>
  <c r="U570" i="5" s="1"/>
  <c r="S569" i="5"/>
  <c r="R569" i="5"/>
  <c r="Q569" i="5"/>
  <c r="P569" i="5"/>
  <c r="L569" i="5"/>
  <c r="I569" i="5"/>
  <c r="H569" i="5"/>
  <c r="U569" i="5" s="1"/>
  <c r="Z569" i="5" s="1"/>
  <c r="S568" i="5"/>
  <c r="R568" i="5"/>
  <c r="Q568" i="5"/>
  <c r="P568" i="5"/>
  <c r="L568" i="5"/>
  <c r="I568" i="5"/>
  <c r="H568" i="5"/>
  <c r="U568" i="5" s="1"/>
  <c r="S567" i="5"/>
  <c r="R567" i="5"/>
  <c r="Q567" i="5"/>
  <c r="P567" i="5"/>
  <c r="L567" i="5"/>
  <c r="I567" i="5"/>
  <c r="H567" i="5"/>
  <c r="O567" i="5" s="1"/>
  <c r="S566" i="5"/>
  <c r="R566" i="5"/>
  <c r="Q566" i="5"/>
  <c r="P566" i="5"/>
  <c r="L566" i="5"/>
  <c r="I566" i="5"/>
  <c r="H566" i="5"/>
  <c r="O566" i="5" s="1"/>
  <c r="S565" i="5"/>
  <c r="R565" i="5"/>
  <c r="Q565" i="5"/>
  <c r="P565" i="5"/>
  <c r="L565" i="5"/>
  <c r="I565" i="5"/>
  <c r="H565" i="5"/>
  <c r="H571" i="5"/>
  <c r="O571" i="5" s="1"/>
  <c r="I571" i="5"/>
  <c r="L571" i="5"/>
  <c r="P571" i="5"/>
  <c r="Q571" i="5"/>
  <c r="R571" i="5"/>
  <c r="S571" i="5"/>
  <c r="H572" i="5"/>
  <c r="O572" i="5" s="1"/>
  <c r="V572" i="5" s="1"/>
  <c r="I572" i="5"/>
  <c r="L572" i="5"/>
  <c r="P572" i="5"/>
  <c r="Q572" i="5"/>
  <c r="R572" i="5"/>
  <c r="S572" i="5"/>
  <c r="H573" i="5"/>
  <c r="U573" i="5" s="1"/>
  <c r="I573" i="5"/>
  <c r="L573" i="5"/>
  <c r="P573" i="5"/>
  <c r="Q573" i="5"/>
  <c r="R573" i="5"/>
  <c r="S573" i="5"/>
  <c r="X609" i="5"/>
  <c r="N609" i="5"/>
  <c r="M609" i="5"/>
  <c r="G30" i="1"/>
  <c r="G31" i="1"/>
  <c r="G32" i="1"/>
  <c r="AO32" i="1" s="1"/>
  <c r="G33" i="1"/>
  <c r="AO33" i="1" s="1"/>
  <c r="G34" i="1"/>
  <c r="G35" i="1"/>
  <c r="AO35" i="1" s="1"/>
  <c r="G36" i="1"/>
  <c r="G37" i="1"/>
  <c r="AO37" i="1" s="1"/>
  <c r="G38" i="1"/>
  <c r="AO38" i="1" s="1"/>
  <c r="G39" i="1"/>
  <c r="G40" i="1"/>
  <c r="G41" i="1"/>
  <c r="G42" i="1"/>
  <c r="G43" i="1"/>
  <c r="G44" i="1"/>
  <c r="AO44" i="1" s="1"/>
  <c r="G45" i="1"/>
  <c r="AO45" i="1" s="1"/>
  <c r="G47" i="1"/>
  <c r="AO47" i="1" s="1"/>
  <c r="G48" i="1"/>
  <c r="AO48" i="1" s="1"/>
  <c r="G49" i="1"/>
  <c r="AO49" i="1" s="1"/>
  <c r="G57" i="1"/>
  <c r="AO57" i="1" s="1"/>
  <c r="AI30" i="1"/>
  <c r="AH30" i="1" s="1"/>
  <c r="AI31" i="1"/>
  <c r="AH31" i="1" s="1"/>
  <c r="AI32" i="1"/>
  <c r="AH32" i="1" s="1"/>
  <c r="AI33" i="1"/>
  <c r="AH33" i="1" s="1"/>
  <c r="AI34" i="1"/>
  <c r="AH34" i="1" s="1"/>
  <c r="AI35" i="1"/>
  <c r="AH35" i="1" s="1"/>
  <c r="AI36" i="1"/>
  <c r="AH36" i="1" s="1"/>
  <c r="AI37" i="1"/>
  <c r="AH37" i="1" s="1"/>
  <c r="AI38" i="1"/>
  <c r="AH38" i="1" s="1"/>
  <c r="AI39" i="1"/>
  <c r="AH39" i="1" s="1"/>
  <c r="AI40" i="1"/>
  <c r="AH40" i="1" s="1"/>
  <c r="AI41" i="1"/>
  <c r="AH41" i="1" s="1"/>
  <c r="AI42" i="1"/>
  <c r="AH42" i="1" s="1"/>
  <c r="AI43" i="1"/>
  <c r="AH43" i="1" s="1"/>
  <c r="AI50" i="1"/>
  <c r="AH50" i="1" s="1"/>
  <c r="AD30" i="1"/>
  <c r="AB609" i="5"/>
  <c r="Y609" i="5"/>
  <c r="W609" i="5"/>
  <c r="K609" i="5"/>
  <c r="J609" i="5"/>
  <c r="G609" i="5"/>
  <c r="S608" i="5"/>
  <c r="R608" i="5"/>
  <c r="Q608" i="5"/>
  <c r="P608" i="5"/>
  <c r="L608" i="5"/>
  <c r="I608" i="5"/>
  <c r="H608" i="5"/>
  <c r="U608" i="5" s="1"/>
  <c r="S607" i="5"/>
  <c r="R607" i="5"/>
  <c r="Q607" i="5"/>
  <c r="P607" i="5"/>
  <c r="L607" i="5"/>
  <c r="I607" i="5"/>
  <c r="H607" i="5"/>
  <c r="O607" i="5" s="1"/>
  <c r="S606" i="5"/>
  <c r="R606" i="5"/>
  <c r="Q606" i="5"/>
  <c r="P606" i="5"/>
  <c r="L606" i="5"/>
  <c r="I606" i="5"/>
  <c r="H606" i="5"/>
  <c r="U606" i="5" s="1"/>
  <c r="Z606" i="5" s="1"/>
  <c r="S605" i="5"/>
  <c r="R605" i="5"/>
  <c r="Q605" i="5"/>
  <c r="P605" i="5"/>
  <c r="L605" i="5"/>
  <c r="I605" i="5"/>
  <c r="H605" i="5"/>
  <c r="O605" i="5" s="1"/>
  <c r="S604" i="5"/>
  <c r="R604" i="5"/>
  <c r="Q604" i="5"/>
  <c r="P604" i="5"/>
  <c r="L604" i="5"/>
  <c r="I604" i="5"/>
  <c r="H604" i="5"/>
  <c r="S603" i="5"/>
  <c r="R603" i="5"/>
  <c r="Q603" i="5"/>
  <c r="P603" i="5"/>
  <c r="L603" i="5"/>
  <c r="I603" i="5"/>
  <c r="H603" i="5"/>
  <c r="S602" i="5"/>
  <c r="R602" i="5"/>
  <c r="Q602" i="5"/>
  <c r="P602" i="5"/>
  <c r="L602" i="5"/>
  <c r="I602" i="5"/>
  <c r="H602" i="5"/>
  <c r="S601" i="5"/>
  <c r="R601" i="5"/>
  <c r="Q601" i="5"/>
  <c r="P601" i="5"/>
  <c r="L601" i="5"/>
  <c r="I601" i="5"/>
  <c r="H601" i="5"/>
  <c r="S600" i="5"/>
  <c r="R600" i="5"/>
  <c r="Q600" i="5"/>
  <c r="P600" i="5"/>
  <c r="L600" i="5"/>
  <c r="I600" i="5"/>
  <c r="H600" i="5"/>
  <c r="S599" i="5"/>
  <c r="R599" i="5"/>
  <c r="Q599" i="5"/>
  <c r="P599" i="5"/>
  <c r="L599" i="5"/>
  <c r="I599" i="5"/>
  <c r="H599" i="5"/>
  <c r="S598" i="5"/>
  <c r="R598" i="5"/>
  <c r="Q598" i="5"/>
  <c r="P598" i="5"/>
  <c r="L598" i="5"/>
  <c r="I598" i="5"/>
  <c r="H598" i="5"/>
  <c r="S597" i="5"/>
  <c r="R597" i="5"/>
  <c r="Q597" i="5"/>
  <c r="P597" i="5"/>
  <c r="L597" i="5"/>
  <c r="I597" i="5"/>
  <c r="H597" i="5"/>
  <c r="S596" i="5"/>
  <c r="R596" i="5"/>
  <c r="Q596" i="5"/>
  <c r="P596" i="5"/>
  <c r="L596" i="5"/>
  <c r="I596" i="5"/>
  <c r="H596" i="5"/>
  <c r="S595" i="5"/>
  <c r="R595" i="5"/>
  <c r="Q595" i="5"/>
  <c r="P595" i="5"/>
  <c r="L595" i="5"/>
  <c r="I595" i="5"/>
  <c r="H595" i="5"/>
  <c r="S594" i="5"/>
  <c r="R594" i="5"/>
  <c r="Q594" i="5"/>
  <c r="P594" i="5"/>
  <c r="L594" i="5"/>
  <c r="I594" i="5"/>
  <c r="H594" i="5"/>
  <c r="S593" i="5"/>
  <c r="R593" i="5"/>
  <c r="Q593" i="5"/>
  <c r="P593" i="5"/>
  <c r="L593" i="5"/>
  <c r="I593" i="5"/>
  <c r="H593" i="5"/>
  <c r="S592" i="5"/>
  <c r="R592" i="5"/>
  <c r="Q592" i="5"/>
  <c r="P592" i="5"/>
  <c r="L592" i="5"/>
  <c r="I592" i="5"/>
  <c r="H592" i="5"/>
  <c r="S591" i="5"/>
  <c r="R591" i="5"/>
  <c r="Q591" i="5"/>
  <c r="P591" i="5"/>
  <c r="L591" i="5"/>
  <c r="I591" i="5"/>
  <c r="H591" i="5"/>
  <c r="S590" i="5"/>
  <c r="R590" i="5"/>
  <c r="Q590" i="5"/>
  <c r="P590" i="5"/>
  <c r="L590" i="5"/>
  <c r="I590" i="5"/>
  <c r="H590" i="5"/>
  <c r="O590" i="5" s="1"/>
  <c r="S589" i="5"/>
  <c r="R589" i="5"/>
  <c r="Q589" i="5"/>
  <c r="P589" i="5"/>
  <c r="L589" i="5"/>
  <c r="I589" i="5"/>
  <c r="H589" i="5"/>
  <c r="O589" i="5" s="1"/>
  <c r="S588" i="5"/>
  <c r="R588" i="5"/>
  <c r="Q588" i="5"/>
  <c r="P588" i="5"/>
  <c r="L588" i="5"/>
  <c r="I588" i="5"/>
  <c r="H588" i="5"/>
  <c r="O588" i="5" s="1"/>
  <c r="S587" i="5"/>
  <c r="R587" i="5"/>
  <c r="Q587" i="5"/>
  <c r="P587" i="5"/>
  <c r="L587" i="5"/>
  <c r="I587" i="5"/>
  <c r="H587" i="5"/>
  <c r="O587" i="5" s="1"/>
  <c r="S586" i="5"/>
  <c r="R586" i="5"/>
  <c r="Q586" i="5"/>
  <c r="P586" i="5"/>
  <c r="L586" i="5"/>
  <c r="I586" i="5"/>
  <c r="H586" i="5"/>
  <c r="O586" i="5" s="1"/>
  <c r="S585" i="5"/>
  <c r="R585" i="5"/>
  <c r="Q585" i="5"/>
  <c r="P585" i="5"/>
  <c r="L585" i="5"/>
  <c r="I585" i="5"/>
  <c r="H585" i="5"/>
  <c r="U585" i="5" s="1"/>
  <c r="Z585" i="5" s="1"/>
  <c r="S584" i="5"/>
  <c r="R584" i="5"/>
  <c r="Q584" i="5"/>
  <c r="P584" i="5"/>
  <c r="L584" i="5"/>
  <c r="I584" i="5"/>
  <c r="H584" i="5"/>
  <c r="O584" i="5" s="1"/>
  <c r="S583" i="5"/>
  <c r="R583" i="5"/>
  <c r="Q583" i="5"/>
  <c r="P583" i="5"/>
  <c r="L583" i="5"/>
  <c r="I583" i="5"/>
  <c r="H583" i="5"/>
  <c r="U583" i="5" s="1"/>
  <c r="Z583" i="5" s="1"/>
  <c r="S582" i="5"/>
  <c r="R582" i="5"/>
  <c r="Q582" i="5"/>
  <c r="P582" i="5"/>
  <c r="L582" i="5"/>
  <c r="I582" i="5"/>
  <c r="H582" i="5"/>
  <c r="O582" i="5" s="1"/>
  <c r="S581" i="5"/>
  <c r="R581" i="5"/>
  <c r="Q581" i="5"/>
  <c r="P581" i="5"/>
  <c r="L581" i="5"/>
  <c r="I581" i="5"/>
  <c r="H581" i="5"/>
  <c r="U581" i="5" s="1"/>
  <c r="Z581" i="5" s="1"/>
  <c r="S580" i="5"/>
  <c r="R580" i="5"/>
  <c r="Q580" i="5"/>
  <c r="P580" i="5"/>
  <c r="L580" i="5"/>
  <c r="I580" i="5"/>
  <c r="H580" i="5"/>
  <c r="O580" i="5" s="1"/>
  <c r="S579" i="5"/>
  <c r="R579" i="5"/>
  <c r="Q579" i="5"/>
  <c r="P579" i="5"/>
  <c r="L579" i="5"/>
  <c r="I579" i="5"/>
  <c r="H579" i="5"/>
  <c r="U579" i="5" s="1"/>
  <c r="Z579" i="5" s="1"/>
  <c r="S578" i="5"/>
  <c r="R578" i="5"/>
  <c r="Q578" i="5"/>
  <c r="P578" i="5"/>
  <c r="L578" i="5"/>
  <c r="I578" i="5"/>
  <c r="H578" i="5"/>
  <c r="O578" i="5" s="1"/>
  <c r="S577" i="5"/>
  <c r="R577" i="5"/>
  <c r="Q577" i="5"/>
  <c r="P577" i="5"/>
  <c r="L577" i="5"/>
  <c r="I577" i="5"/>
  <c r="H577" i="5"/>
  <c r="U577" i="5" s="1"/>
  <c r="Z577" i="5" s="1"/>
  <c r="S576" i="5"/>
  <c r="R576" i="5"/>
  <c r="Q576" i="5"/>
  <c r="P576" i="5"/>
  <c r="L576" i="5"/>
  <c r="I576" i="5"/>
  <c r="H576" i="5"/>
  <c r="O576" i="5" s="1"/>
  <c r="S575" i="5"/>
  <c r="R575" i="5"/>
  <c r="Q575" i="5"/>
  <c r="P575" i="5"/>
  <c r="L575" i="5"/>
  <c r="I575" i="5"/>
  <c r="H575" i="5"/>
  <c r="U575" i="5" s="1"/>
  <c r="Z575" i="5" s="1"/>
  <c r="S574" i="5"/>
  <c r="R574" i="5"/>
  <c r="Q574" i="5"/>
  <c r="P574" i="5"/>
  <c r="L574" i="5"/>
  <c r="I574" i="5"/>
  <c r="H574" i="5"/>
  <c r="O574" i="5" s="1"/>
  <c r="S564" i="5"/>
  <c r="R564" i="5"/>
  <c r="Q564" i="5"/>
  <c r="P564" i="5"/>
  <c r="L564" i="5"/>
  <c r="I564" i="5"/>
  <c r="H564" i="5"/>
  <c r="O564" i="5" s="1"/>
  <c r="S563" i="5"/>
  <c r="R563" i="5"/>
  <c r="Q563" i="5"/>
  <c r="P563" i="5"/>
  <c r="L563" i="5"/>
  <c r="I563" i="5"/>
  <c r="H563" i="5"/>
  <c r="U563" i="5" s="1"/>
  <c r="Z563" i="5" s="1"/>
  <c r="S562" i="5"/>
  <c r="R562" i="5"/>
  <c r="Q562" i="5"/>
  <c r="P562" i="5"/>
  <c r="L562" i="5"/>
  <c r="I562" i="5"/>
  <c r="H562" i="5"/>
  <c r="O562" i="5" s="1"/>
  <c r="S561" i="5"/>
  <c r="R561" i="5"/>
  <c r="Q561" i="5"/>
  <c r="P561" i="5"/>
  <c r="L561" i="5"/>
  <c r="I561" i="5"/>
  <c r="H561" i="5"/>
  <c r="U561" i="5" s="1"/>
  <c r="Z561" i="5" s="1"/>
  <c r="S560" i="5"/>
  <c r="R560" i="5"/>
  <c r="Q560" i="5"/>
  <c r="P560" i="5"/>
  <c r="L560" i="5"/>
  <c r="I560" i="5"/>
  <c r="H560" i="5"/>
  <c r="O560" i="5" s="1"/>
  <c r="S559" i="5"/>
  <c r="R559" i="5"/>
  <c r="Q559" i="5"/>
  <c r="P559" i="5"/>
  <c r="L559" i="5"/>
  <c r="I559" i="5"/>
  <c r="H559" i="5"/>
  <c r="U559" i="5" s="1"/>
  <c r="Z559" i="5" s="1"/>
  <c r="S558" i="5"/>
  <c r="R558" i="5"/>
  <c r="Q558" i="5"/>
  <c r="P558" i="5"/>
  <c r="L558" i="5"/>
  <c r="I558" i="5"/>
  <c r="H558" i="5"/>
  <c r="O558" i="5" s="1"/>
  <c r="S557" i="5"/>
  <c r="R557" i="5"/>
  <c r="Q557" i="5"/>
  <c r="P557" i="5"/>
  <c r="L557" i="5"/>
  <c r="I557" i="5"/>
  <c r="H557" i="5"/>
  <c r="U557" i="5" s="1"/>
  <c r="Z557" i="5" s="1"/>
  <c r="S556" i="5"/>
  <c r="R556" i="5"/>
  <c r="Q556" i="5"/>
  <c r="P556" i="5"/>
  <c r="L556" i="5"/>
  <c r="I556" i="5"/>
  <c r="H556" i="5"/>
  <c r="S555" i="5"/>
  <c r="R555" i="5"/>
  <c r="Q555" i="5"/>
  <c r="P555" i="5"/>
  <c r="L555" i="5"/>
  <c r="I555" i="5"/>
  <c r="H555" i="5"/>
  <c r="O555" i="5" s="1"/>
  <c r="S554" i="5"/>
  <c r="R554" i="5"/>
  <c r="Q554" i="5"/>
  <c r="P554" i="5"/>
  <c r="L554" i="5"/>
  <c r="I554" i="5"/>
  <c r="H554" i="5"/>
  <c r="U554" i="5" s="1"/>
  <c r="Z554" i="5" s="1"/>
  <c r="S553" i="5"/>
  <c r="R553" i="5"/>
  <c r="Q553" i="5"/>
  <c r="P553" i="5"/>
  <c r="L553" i="5"/>
  <c r="I553" i="5"/>
  <c r="H553" i="5"/>
  <c r="O553" i="5" s="1"/>
  <c r="S552" i="5"/>
  <c r="R552" i="5"/>
  <c r="Q552" i="5"/>
  <c r="P552" i="5"/>
  <c r="L552" i="5"/>
  <c r="I552" i="5"/>
  <c r="H552" i="5"/>
  <c r="U552" i="5" s="1"/>
  <c r="Z552" i="5" s="1"/>
  <c r="S551" i="5"/>
  <c r="R551" i="5"/>
  <c r="Q551" i="5"/>
  <c r="P551" i="5"/>
  <c r="L551" i="5"/>
  <c r="I551" i="5"/>
  <c r="H551" i="5"/>
  <c r="O551" i="5" s="1"/>
  <c r="S550" i="5"/>
  <c r="R550" i="5"/>
  <c r="Q550" i="5"/>
  <c r="P550" i="5"/>
  <c r="L550" i="5"/>
  <c r="I550" i="5"/>
  <c r="H550" i="5"/>
  <c r="U550" i="5" s="1"/>
  <c r="Z550" i="5" s="1"/>
  <c r="S549" i="5"/>
  <c r="R549" i="5"/>
  <c r="Q549" i="5"/>
  <c r="P549" i="5"/>
  <c r="L549" i="5"/>
  <c r="I549" i="5"/>
  <c r="H549" i="5"/>
  <c r="U549" i="5" s="1"/>
  <c r="S548" i="5"/>
  <c r="R548" i="5"/>
  <c r="Q548" i="5"/>
  <c r="P548" i="5"/>
  <c r="L548" i="5"/>
  <c r="I548" i="5"/>
  <c r="H548" i="5"/>
  <c r="O548" i="5" s="1"/>
  <c r="V548" i="5" s="1"/>
  <c r="S547" i="5"/>
  <c r="R547" i="5"/>
  <c r="Q547" i="5"/>
  <c r="P547" i="5"/>
  <c r="L547" i="5"/>
  <c r="I547" i="5"/>
  <c r="H547" i="5"/>
  <c r="O547" i="5" s="1"/>
  <c r="S546" i="5"/>
  <c r="R546" i="5"/>
  <c r="Q546" i="5"/>
  <c r="P546" i="5"/>
  <c r="L546" i="5"/>
  <c r="I546" i="5"/>
  <c r="H546" i="5"/>
  <c r="U546" i="5" s="1"/>
  <c r="Z546" i="5" s="1"/>
  <c r="S545" i="5"/>
  <c r="R545" i="5"/>
  <c r="Q545" i="5"/>
  <c r="P545" i="5"/>
  <c r="L545" i="5"/>
  <c r="I545" i="5"/>
  <c r="H545" i="5"/>
  <c r="O545" i="5" s="1"/>
  <c r="S544" i="5"/>
  <c r="R544" i="5"/>
  <c r="Q544" i="5"/>
  <c r="P544" i="5"/>
  <c r="L544" i="5"/>
  <c r="I544" i="5"/>
  <c r="H544" i="5"/>
  <c r="O544" i="5" s="1"/>
  <c r="V544" i="5" s="1"/>
  <c r="S543" i="5"/>
  <c r="R543" i="5"/>
  <c r="Q543" i="5"/>
  <c r="P543" i="5"/>
  <c r="L543" i="5"/>
  <c r="I543" i="5"/>
  <c r="H543" i="5"/>
  <c r="S542" i="5"/>
  <c r="R542" i="5"/>
  <c r="Q542" i="5"/>
  <c r="P542" i="5"/>
  <c r="L542" i="5"/>
  <c r="I542" i="5"/>
  <c r="H542" i="5"/>
  <c r="O542" i="5" s="1"/>
  <c r="S541" i="5"/>
  <c r="R541" i="5"/>
  <c r="Q541" i="5"/>
  <c r="P541" i="5"/>
  <c r="L541" i="5"/>
  <c r="I541" i="5"/>
  <c r="H541" i="5"/>
  <c r="U541" i="5" s="1"/>
  <c r="S540" i="5"/>
  <c r="R540" i="5"/>
  <c r="Q540" i="5"/>
  <c r="P540" i="5"/>
  <c r="L540" i="5"/>
  <c r="I540" i="5"/>
  <c r="H540" i="5"/>
  <c r="O540" i="5" s="1"/>
  <c r="S539" i="5"/>
  <c r="R539" i="5"/>
  <c r="Q539" i="5"/>
  <c r="P539" i="5"/>
  <c r="L539" i="5"/>
  <c r="I539" i="5"/>
  <c r="H539" i="5"/>
  <c r="O539" i="5" s="1"/>
  <c r="V539" i="5" s="1"/>
  <c r="S538" i="5"/>
  <c r="R538" i="5"/>
  <c r="Q538" i="5"/>
  <c r="P538" i="5"/>
  <c r="L538" i="5"/>
  <c r="I538" i="5"/>
  <c r="H538" i="5"/>
  <c r="O538" i="5" s="1"/>
  <c r="S537" i="5"/>
  <c r="R537" i="5"/>
  <c r="Q537" i="5"/>
  <c r="P537" i="5"/>
  <c r="L537" i="5"/>
  <c r="I537" i="5"/>
  <c r="H537" i="5"/>
  <c r="O537" i="5" s="1"/>
  <c r="S536" i="5"/>
  <c r="R536" i="5"/>
  <c r="Q536" i="5"/>
  <c r="P536" i="5"/>
  <c r="L536" i="5"/>
  <c r="I536" i="5"/>
  <c r="H536" i="5"/>
  <c r="O536" i="5" s="1"/>
  <c r="S535" i="5"/>
  <c r="R535" i="5"/>
  <c r="Q535" i="5"/>
  <c r="P535" i="5"/>
  <c r="L535" i="5"/>
  <c r="I535" i="5"/>
  <c r="H535" i="5"/>
  <c r="U535" i="5" s="1"/>
  <c r="Z535" i="5" s="1"/>
  <c r="S534" i="5"/>
  <c r="R534" i="5"/>
  <c r="Q534" i="5"/>
  <c r="P534" i="5"/>
  <c r="L534" i="5"/>
  <c r="I534" i="5"/>
  <c r="H534" i="5"/>
  <c r="O534" i="5" s="1"/>
  <c r="S533" i="5"/>
  <c r="R533" i="5"/>
  <c r="Q533" i="5"/>
  <c r="P533" i="5"/>
  <c r="L533" i="5"/>
  <c r="I533" i="5"/>
  <c r="H533" i="5"/>
  <c r="S532" i="5"/>
  <c r="R532" i="5"/>
  <c r="Q532" i="5"/>
  <c r="P532" i="5"/>
  <c r="L532" i="5"/>
  <c r="I532" i="5"/>
  <c r="H532" i="5"/>
  <c r="U532" i="5" s="1"/>
  <c r="Z532" i="5" s="1"/>
  <c r="S531" i="5"/>
  <c r="R531" i="5"/>
  <c r="Q531" i="5"/>
  <c r="P531" i="5"/>
  <c r="L531" i="5"/>
  <c r="I531" i="5"/>
  <c r="H531" i="5"/>
  <c r="U531" i="5" s="1"/>
  <c r="Z531" i="5" s="1"/>
  <c r="S530" i="5"/>
  <c r="R530" i="5"/>
  <c r="Q530" i="5"/>
  <c r="P530" i="5"/>
  <c r="L530" i="5"/>
  <c r="I530" i="5"/>
  <c r="H530" i="5"/>
  <c r="U530" i="5" s="1"/>
  <c r="S529" i="5"/>
  <c r="R529" i="5"/>
  <c r="Q529" i="5"/>
  <c r="P529" i="5"/>
  <c r="L529" i="5"/>
  <c r="I529" i="5"/>
  <c r="H529" i="5"/>
  <c r="U529" i="5" s="1"/>
  <c r="Z529" i="5" s="1"/>
  <c r="S528" i="5"/>
  <c r="R528" i="5"/>
  <c r="Q528" i="5"/>
  <c r="P528" i="5"/>
  <c r="L528" i="5"/>
  <c r="I528" i="5"/>
  <c r="H528" i="5"/>
  <c r="O528" i="5" s="1"/>
  <c r="R527" i="5"/>
  <c r="L527" i="5"/>
  <c r="K527" i="5"/>
  <c r="I527" i="5"/>
  <c r="H527" i="5"/>
  <c r="S526" i="5"/>
  <c r="R526" i="5"/>
  <c r="Q526" i="5"/>
  <c r="P526" i="5"/>
  <c r="L526" i="5"/>
  <c r="I526" i="5"/>
  <c r="H526" i="5"/>
  <c r="U526" i="5" s="1"/>
  <c r="Z526" i="5" s="1"/>
  <c r="S525" i="5"/>
  <c r="R525" i="5"/>
  <c r="Q525" i="5"/>
  <c r="P525" i="5"/>
  <c r="L525" i="5"/>
  <c r="I525" i="5"/>
  <c r="H525" i="5"/>
  <c r="U525" i="5" s="1"/>
  <c r="Z525" i="5" s="1"/>
  <c r="S524" i="5"/>
  <c r="R524" i="5"/>
  <c r="Q524" i="5"/>
  <c r="P524" i="5"/>
  <c r="L524" i="5"/>
  <c r="I524" i="5"/>
  <c r="H524" i="5"/>
  <c r="U524" i="5" s="1"/>
  <c r="Z524" i="5" s="1"/>
  <c r="S523" i="5"/>
  <c r="R523" i="5"/>
  <c r="Q523" i="5"/>
  <c r="P523" i="5"/>
  <c r="L523" i="5"/>
  <c r="I523" i="5"/>
  <c r="H523" i="5"/>
  <c r="U523" i="5" s="1"/>
  <c r="Z523" i="5" s="1"/>
  <c r="S522" i="5"/>
  <c r="R522" i="5"/>
  <c r="Q522" i="5"/>
  <c r="P522" i="5"/>
  <c r="L522" i="5"/>
  <c r="I522" i="5"/>
  <c r="H522" i="5"/>
  <c r="S521" i="5"/>
  <c r="R521" i="5"/>
  <c r="Q521" i="5"/>
  <c r="P521" i="5"/>
  <c r="L521" i="5"/>
  <c r="I521" i="5"/>
  <c r="H521" i="5"/>
  <c r="O521" i="5" s="1"/>
  <c r="S520" i="5"/>
  <c r="R520" i="5"/>
  <c r="Q520" i="5"/>
  <c r="P520" i="5"/>
  <c r="L520" i="5"/>
  <c r="I520" i="5"/>
  <c r="H520" i="5"/>
  <c r="S519" i="5"/>
  <c r="R519" i="5"/>
  <c r="Q519" i="5"/>
  <c r="P519" i="5"/>
  <c r="L519" i="5"/>
  <c r="I519" i="5"/>
  <c r="H519" i="5"/>
  <c r="O519" i="5" s="1"/>
  <c r="S518" i="5"/>
  <c r="R518" i="5"/>
  <c r="Q518" i="5"/>
  <c r="P518" i="5"/>
  <c r="L518" i="5"/>
  <c r="I518" i="5"/>
  <c r="H518" i="5"/>
  <c r="S517" i="5"/>
  <c r="R517" i="5"/>
  <c r="Q517" i="5"/>
  <c r="P517" i="5"/>
  <c r="L517" i="5"/>
  <c r="I517" i="5"/>
  <c r="H517" i="5"/>
  <c r="O517" i="5" s="1"/>
  <c r="S516" i="5"/>
  <c r="R516" i="5"/>
  <c r="Q516" i="5"/>
  <c r="P516" i="5"/>
  <c r="L516" i="5"/>
  <c r="I516" i="5"/>
  <c r="H516" i="5"/>
  <c r="S515" i="5"/>
  <c r="R515" i="5"/>
  <c r="Q515" i="5"/>
  <c r="P515" i="5"/>
  <c r="L515" i="5"/>
  <c r="I515" i="5"/>
  <c r="H515" i="5"/>
  <c r="O515" i="5" s="1"/>
  <c r="S514" i="5"/>
  <c r="R514" i="5"/>
  <c r="Q514" i="5"/>
  <c r="P514" i="5"/>
  <c r="L514" i="5"/>
  <c r="I514" i="5"/>
  <c r="H514" i="5"/>
  <c r="O514" i="5" s="1"/>
  <c r="S513" i="5"/>
  <c r="R513" i="5"/>
  <c r="Q513" i="5"/>
  <c r="P513" i="5"/>
  <c r="L513" i="5"/>
  <c r="I513" i="5"/>
  <c r="H513" i="5"/>
  <c r="U513" i="5" s="1"/>
  <c r="Z513" i="5" s="1"/>
  <c r="S512" i="5"/>
  <c r="R512" i="5"/>
  <c r="Q512" i="5"/>
  <c r="P512" i="5"/>
  <c r="L512" i="5"/>
  <c r="I512" i="5"/>
  <c r="H512" i="5"/>
  <c r="O512" i="5" s="1"/>
  <c r="S511" i="5"/>
  <c r="R511" i="5"/>
  <c r="Q511" i="5"/>
  <c r="P511" i="5"/>
  <c r="L511" i="5"/>
  <c r="I511" i="5"/>
  <c r="H511" i="5"/>
  <c r="U511" i="5" s="1"/>
  <c r="Z511" i="5" s="1"/>
  <c r="S510" i="5"/>
  <c r="R510" i="5"/>
  <c r="Q510" i="5"/>
  <c r="P510" i="5"/>
  <c r="L510" i="5"/>
  <c r="I510" i="5"/>
  <c r="H510" i="5"/>
  <c r="O510" i="5" s="1"/>
  <c r="S509" i="5"/>
  <c r="R509" i="5"/>
  <c r="Q509" i="5"/>
  <c r="P509" i="5"/>
  <c r="L509" i="5"/>
  <c r="I509" i="5"/>
  <c r="H509" i="5"/>
  <c r="O509" i="5" s="1"/>
  <c r="V509" i="5" s="1"/>
  <c r="S508" i="5"/>
  <c r="R508" i="5"/>
  <c r="Q508" i="5"/>
  <c r="P508" i="5"/>
  <c r="L508" i="5"/>
  <c r="I508" i="5"/>
  <c r="H508" i="5"/>
  <c r="S507" i="5"/>
  <c r="R507" i="5"/>
  <c r="Q507" i="5"/>
  <c r="P507" i="5"/>
  <c r="L507" i="5"/>
  <c r="I507" i="5"/>
  <c r="H507" i="5"/>
  <c r="O507" i="5" s="1"/>
  <c r="S506" i="5"/>
  <c r="R506" i="5"/>
  <c r="Q506" i="5"/>
  <c r="P506" i="5"/>
  <c r="L506" i="5"/>
  <c r="I506" i="5"/>
  <c r="H506" i="5"/>
  <c r="S505" i="5"/>
  <c r="R505" i="5"/>
  <c r="Q505" i="5"/>
  <c r="P505" i="5"/>
  <c r="L505" i="5"/>
  <c r="I505" i="5"/>
  <c r="H505" i="5"/>
  <c r="S504" i="5"/>
  <c r="R504" i="5"/>
  <c r="Q504" i="5"/>
  <c r="P504" i="5"/>
  <c r="L504" i="5"/>
  <c r="I504" i="5"/>
  <c r="H504" i="5"/>
  <c r="S503" i="5"/>
  <c r="R503" i="5"/>
  <c r="Q503" i="5"/>
  <c r="P503" i="5"/>
  <c r="L503" i="5"/>
  <c r="I503" i="5"/>
  <c r="H503" i="5"/>
  <c r="O503" i="5" s="1"/>
  <c r="S502" i="5"/>
  <c r="R502" i="5"/>
  <c r="Q502" i="5"/>
  <c r="P502" i="5"/>
  <c r="L502" i="5"/>
  <c r="I502" i="5"/>
  <c r="H502" i="5"/>
  <c r="S501" i="5"/>
  <c r="R501" i="5"/>
  <c r="Q501" i="5"/>
  <c r="P501" i="5"/>
  <c r="L501" i="5"/>
  <c r="I501" i="5"/>
  <c r="H501" i="5"/>
  <c r="O501" i="5" s="1"/>
  <c r="S500" i="5"/>
  <c r="R500" i="5"/>
  <c r="Q500" i="5"/>
  <c r="P500" i="5"/>
  <c r="L500" i="5"/>
  <c r="I500" i="5"/>
  <c r="H500" i="5"/>
  <c r="S499" i="5"/>
  <c r="R499" i="5"/>
  <c r="Q499" i="5"/>
  <c r="P499" i="5"/>
  <c r="L499" i="5"/>
  <c r="I499" i="5"/>
  <c r="H499" i="5"/>
  <c r="U499" i="5" s="1"/>
  <c r="Z499" i="5" s="1"/>
  <c r="Z498" i="5"/>
  <c r="S498" i="5"/>
  <c r="R498" i="5"/>
  <c r="Q498" i="5"/>
  <c r="P498" i="5"/>
  <c r="L498" i="5"/>
  <c r="I498" i="5"/>
  <c r="H498" i="5"/>
  <c r="O498" i="5" s="1"/>
  <c r="S497" i="5"/>
  <c r="R497" i="5"/>
  <c r="Q497" i="5"/>
  <c r="P497" i="5"/>
  <c r="L497" i="5"/>
  <c r="I497" i="5"/>
  <c r="H497" i="5"/>
  <c r="U497" i="5" s="1"/>
  <c r="S496" i="5"/>
  <c r="R496" i="5"/>
  <c r="Q496" i="5"/>
  <c r="P496" i="5"/>
  <c r="L496" i="5"/>
  <c r="I496" i="5"/>
  <c r="H496" i="5"/>
  <c r="O496" i="5" s="1"/>
  <c r="S495" i="5"/>
  <c r="R495" i="5"/>
  <c r="Q495" i="5"/>
  <c r="P495" i="5"/>
  <c r="L495" i="5"/>
  <c r="I495" i="5"/>
  <c r="H495" i="5"/>
  <c r="U495" i="5" s="1"/>
  <c r="Z495" i="5" s="1"/>
  <c r="S494" i="5"/>
  <c r="R494" i="5"/>
  <c r="Q494" i="5"/>
  <c r="P494" i="5"/>
  <c r="L494" i="5"/>
  <c r="I494" i="5"/>
  <c r="H494" i="5"/>
  <c r="U494" i="5" s="1"/>
  <c r="Z494" i="5" s="1"/>
  <c r="S493" i="5"/>
  <c r="R493" i="5"/>
  <c r="Q493" i="5"/>
  <c r="P493" i="5"/>
  <c r="L493" i="5"/>
  <c r="I493" i="5"/>
  <c r="H493" i="5"/>
  <c r="O493" i="5" s="1"/>
  <c r="S492" i="5"/>
  <c r="R492" i="5"/>
  <c r="Q492" i="5"/>
  <c r="P492" i="5"/>
  <c r="L492" i="5"/>
  <c r="I492" i="5"/>
  <c r="H492" i="5"/>
  <c r="U492" i="5" s="1"/>
  <c r="Z492" i="5" s="1"/>
  <c r="S491" i="5"/>
  <c r="R491" i="5"/>
  <c r="Q491" i="5"/>
  <c r="P491" i="5"/>
  <c r="L491" i="5"/>
  <c r="I491" i="5"/>
  <c r="H491" i="5"/>
  <c r="S490" i="5"/>
  <c r="R490" i="5"/>
  <c r="Q490" i="5"/>
  <c r="P490" i="5"/>
  <c r="L490" i="5"/>
  <c r="I490" i="5"/>
  <c r="H490" i="5"/>
  <c r="O490" i="5" s="1"/>
  <c r="S334" i="5"/>
  <c r="R334" i="5"/>
  <c r="Q334" i="5"/>
  <c r="P334" i="5"/>
  <c r="L334" i="5"/>
  <c r="I334" i="5"/>
  <c r="H334" i="5"/>
  <c r="O334" i="5" s="1"/>
  <c r="S333" i="5"/>
  <c r="R333" i="5"/>
  <c r="Q333" i="5"/>
  <c r="P333" i="5"/>
  <c r="L333" i="5"/>
  <c r="I333" i="5"/>
  <c r="H333" i="5"/>
  <c r="O333" i="5" s="1"/>
  <c r="S332" i="5"/>
  <c r="R332" i="5"/>
  <c r="Q332" i="5"/>
  <c r="P332" i="5"/>
  <c r="L332" i="5"/>
  <c r="I332" i="5"/>
  <c r="H332" i="5"/>
  <c r="U332" i="5" s="1"/>
  <c r="Z332" i="5" s="1"/>
  <c r="S331" i="5"/>
  <c r="R331" i="5"/>
  <c r="Q331" i="5"/>
  <c r="P331" i="5"/>
  <c r="L331" i="5"/>
  <c r="I331" i="5"/>
  <c r="H331" i="5"/>
  <c r="O331" i="5" s="1"/>
  <c r="S330" i="5"/>
  <c r="R330" i="5"/>
  <c r="Q330" i="5"/>
  <c r="P330" i="5"/>
  <c r="L330" i="5"/>
  <c r="I330" i="5"/>
  <c r="H330" i="5"/>
  <c r="U330" i="5" s="1"/>
  <c r="Z330" i="5" s="1"/>
  <c r="S329" i="5"/>
  <c r="R329" i="5"/>
  <c r="Q329" i="5"/>
  <c r="P329" i="5"/>
  <c r="L329" i="5"/>
  <c r="I329" i="5"/>
  <c r="H329" i="5"/>
  <c r="O329" i="5" s="1"/>
  <c r="S328" i="5"/>
  <c r="R328" i="5"/>
  <c r="Q328" i="5"/>
  <c r="P328" i="5"/>
  <c r="L328" i="5"/>
  <c r="I328" i="5"/>
  <c r="H328" i="5"/>
  <c r="U328" i="5" s="1"/>
  <c r="Z328" i="5" s="1"/>
  <c r="S327" i="5"/>
  <c r="R327" i="5"/>
  <c r="Q327" i="5"/>
  <c r="P327" i="5"/>
  <c r="L327" i="5"/>
  <c r="I327" i="5"/>
  <c r="H327" i="5"/>
  <c r="O327" i="5" s="1"/>
  <c r="S326" i="5"/>
  <c r="R326" i="5"/>
  <c r="Q326" i="5"/>
  <c r="P326" i="5"/>
  <c r="L326" i="5"/>
  <c r="I326" i="5"/>
  <c r="H326" i="5"/>
  <c r="O326" i="5" s="1"/>
  <c r="S325" i="5"/>
  <c r="R325" i="5"/>
  <c r="Q325" i="5"/>
  <c r="P325" i="5"/>
  <c r="L325" i="5"/>
  <c r="I325" i="5"/>
  <c r="H325" i="5"/>
  <c r="O325" i="5" s="1"/>
  <c r="S324" i="5"/>
  <c r="R324" i="5"/>
  <c r="Q324" i="5"/>
  <c r="P324" i="5"/>
  <c r="L324" i="5"/>
  <c r="I324" i="5"/>
  <c r="H324" i="5"/>
  <c r="U324" i="5" s="1"/>
  <c r="Z324" i="5" s="1"/>
  <c r="S323" i="5"/>
  <c r="R323" i="5"/>
  <c r="Q323" i="5"/>
  <c r="P323" i="5"/>
  <c r="L323" i="5"/>
  <c r="I323" i="5"/>
  <c r="H323" i="5"/>
  <c r="O323" i="5" s="1"/>
  <c r="S322" i="5"/>
  <c r="R322" i="5"/>
  <c r="Q322" i="5"/>
  <c r="P322" i="5"/>
  <c r="L322" i="5"/>
  <c r="I322" i="5"/>
  <c r="H322" i="5"/>
  <c r="O322" i="5" s="1"/>
  <c r="S321" i="5"/>
  <c r="R321" i="5"/>
  <c r="Q321" i="5"/>
  <c r="P321" i="5"/>
  <c r="L321" i="5"/>
  <c r="I321" i="5"/>
  <c r="H321" i="5"/>
  <c r="O321" i="5" s="1"/>
  <c r="S320" i="5"/>
  <c r="R320" i="5"/>
  <c r="Q320" i="5"/>
  <c r="P320" i="5"/>
  <c r="L320" i="5"/>
  <c r="I320" i="5"/>
  <c r="H320" i="5"/>
  <c r="O320" i="5" s="1"/>
  <c r="S319" i="5"/>
  <c r="R319" i="5"/>
  <c r="Q319" i="5"/>
  <c r="P319" i="5"/>
  <c r="L319" i="5"/>
  <c r="I319" i="5"/>
  <c r="H319" i="5"/>
  <c r="O319" i="5" s="1"/>
  <c r="S318" i="5"/>
  <c r="R318" i="5"/>
  <c r="Q318" i="5"/>
  <c r="P318" i="5"/>
  <c r="L318" i="5"/>
  <c r="I318" i="5"/>
  <c r="H318" i="5"/>
  <c r="O318" i="5" s="1"/>
  <c r="S317" i="5"/>
  <c r="R317" i="5"/>
  <c r="Q317" i="5"/>
  <c r="P317" i="5"/>
  <c r="L317" i="5"/>
  <c r="I317" i="5"/>
  <c r="H317" i="5"/>
  <c r="O317" i="5" s="1"/>
  <c r="S316" i="5"/>
  <c r="R316" i="5"/>
  <c r="Q316" i="5"/>
  <c r="P316" i="5"/>
  <c r="L316" i="5"/>
  <c r="I316" i="5"/>
  <c r="H316" i="5"/>
  <c r="O316" i="5" s="1"/>
  <c r="S315" i="5"/>
  <c r="R315" i="5"/>
  <c r="Q315" i="5"/>
  <c r="P315" i="5"/>
  <c r="L315" i="5"/>
  <c r="I315" i="5"/>
  <c r="H315" i="5"/>
  <c r="O315" i="5" s="1"/>
  <c r="S314" i="5"/>
  <c r="R314" i="5"/>
  <c r="Q314" i="5"/>
  <c r="P314" i="5"/>
  <c r="L314" i="5"/>
  <c r="I314" i="5"/>
  <c r="H314" i="5"/>
  <c r="O314" i="5" s="1"/>
  <c r="S313" i="5"/>
  <c r="R313" i="5"/>
  <c r="Q313" i="5"/>
  <c r="P313" i="5"/>
  <c r="L313" i="5"/>
  <c r="I313" i="5"/>
  <c r="H313" i="5"/>
  <c r="O313" i="5" s="1"/>
  <c r="S312" i="5"/>
  <c r="R312" i="5"/>
  <c r="Q312" i="5"/>
  <c r="P312" i="5"/>
  <c r="L312" i="5"/>
  <c r="I312" i="5"/>
  <c r="H312" i="5"/>
  <c r="O312" i="5" s="1"/>
  <c r="S311" i="5"/>
  <c r="R311" i="5"/>
  <c r="Q311" i="5"/>
  <c r="P311" i="5"/>
  <c r="L311" i="5"/>
  <c r="I311" i="5"/>
  <c r="H311" i="5"/>
  <c r="O311" i="5" s="1"/>
  <c r="S310" i="5"/>
  <c r="R310" i="5"/>
  <c r="Q310" i="5"/>
  <c r="P310" i="5"/>
  <c r="L310" i="5"/>
  <c r="I310" i="5"/>
  <c r="H310" i="5"/>
  <c r="O310" i="5" s="1"/>
  <c r="S309" i="5"/>
  <c r="R309" i="5"/>
  <c r="Q309" i="5"/>
  <c r="P309" i="5"/>
  <c r="L309" i="5"/>
  <c r="I309" i="5"/>
  <c r="H309" i="5"/>
  <c r="O309" i="5" s="1"/>
  <c r="S308" i="5"/>
  <c r="R308" i="5"/>
  <c r="Q308" i="5"/>
  <c r="P308" i="5"/>
  <c r="L308" i="5"/>
  <c r="I308" i="5"/>
  <c r="H308" i="5"/>
  <c r="O308" i="5" s="1"/>
  <c r="S307" i="5"/>
  <c r="R307" i="5"/>
  <c r="Q307" i="5"/>
  <c r="P307" i="5"/>
  <c r="L307" i="5"/>
  <c r="I307" i="5"/>
  <c r="H307" i="5"/>
  <c r="U307" i="5" s="1"/>
  <c r="Z307" i="5" s="1"/>
  <c r="S306" i="5"/>
  <c r="R306" i="5"/>
  <c r="Q306" i="5"/>
  <c r="P306" i="5"/>
  <c r="L306" i="5"/>
  <c r="I306" i="5"/>
  <c r="H306" i="5"/>
  <c r="O306" i="5" s="1"/>
  <c r="S305" i="5"/>
  <c r="R305" i="5"/>
  <c r="Q305" i="5"/>
  <c r="P305" i="5"/>
  <c r="L305" i="5"/>
  <c r="I305" i="5"/>
  <c r="H305" i="5"/>
  <c r="U305" i="5" s="1"/>
  <c r="Z305" i="5" s="1"/>
  <c r="S304" i="5"/>
  <c r="R304" i="5"/>
  <c r="Q304" i="5"/>
  <c r="P304" i="5"/>
  <c r="L304" i="5"/>
  <c r="I304" i="5"/>
  <c r="H304" i="5"/>
  <c r="U304" i="5" s="1"/>
  <c r="Z304" i="5" s="1"/>
  <c r="S303" i="5"/>
  <c r="R303" i="5"/>
  <c r="Q303" i="5"/>
  <c r="P303" i="5"/>
  <c r="L303" i="5"/>
  <c r="I303" i="5"/>
  <c r="H303" i="5"/>
  <c r="U303" i="5" s="1"/>
  <c r="Z303" i="5" s="1"/>
  <c r="S302" i="5"/>
  <c r="R302" i="5"/>
  <c r="Q302" i="5"/>
  <c r="P302" i="5"/>
  <c r="L302" i="5"/>
  <c r="I302" i="5"/>
  <c r="H302" i="5"/>
  <c r="O302" i="5" s="1"/>
  <c r="S301" i="5"/>
  <c r="R301" i="5"/>
  <c r="Q301" i="5"/>
  <c r="P301" i="5"/>
  <c r="L301" i="5"/>
  <c r="I301" i="5"/>
  <c r="H301" i="5"/>
  <c r="O301" i="5" s="1"/>
  <c r="S300" i="5"/>
  <c r="R300" i="5"/>
  <c r="Q300" i="5"/>
  <c r="P300" i="5"/>
  <c r="L300" i="5"/>
  <c r="I300" i="5"/>
  <c r="H300" i="5"/>
  <c r="U300" i="5" s="1"/>
  <c r="Z300" i="5" s="1"/>
  <c r="S299" i="5"/>
  <c r="R299" i="5"/>
  <c r="Q299" i="5"/>
  <c r="P299" i="5"/>
  <c r="L299" i="5"/>
  <c r="I299" i="5"/>
  <c r="H299" i="5"/>
  <c r="U299" i="5" s="1"/>
  <c r="Z299" i="5" s="1"/>
  <c r="S298" i="5"/>
  <c r="R298" i="5"/>
  <c r="Q298" i="5"/>
  <c r="P298" i="5"/>
  <c r="L298" i="5"/>
  <c r="I298" i="5"/>
  <c r="H298" i="5"/>
  <c r="O298" i="5" s="1"/>
  <c r="S297" i="5"/>
  <c r="R297" i="5"/>
  <c r="Q297" i="5"/>
  <c r="P297" i="5"/>
  <c r="L297" i="5"/>
  <c r="I297" i="5"/>
  <c r="H297" i="5"/>
  <c r="O297" i="5" s="1"/>
  <c r="S296" i="5"/>
  <c r="R296" i="5"/>
  <c r="Q296" i="5"/>
  <c r="P296" i="5"/>
  <c r="L296" i="5"/>
  <c r="I296" i="5"/>
  <c r="H296" i="5"/>
  <c r="O296" i="5" s="1"/>
  <c r="S295" i="5"/>
  <c r="R295" i="5"/>
  <c r="Q295" i="5"/>
  <c r="P295" i="5"/>
  <c r="L295" i="5"/>
  <c r="I295" i="5"/>
  <c r="H295" i="5"/>
  <c r="U295" i="5" s="1"/>
  <c r="Z295" i="5" s="1"/>
  <c r="S294" i="5"/>
  <c r="R294" i="5"/>
  <c r="Q294" i="5"/>
  <c r="P294" i="5"/>
  <c r="L294" i="5"/>
  <c r="I294" i="5"/>
  <c r="H294" i="5"/>
  <c r="O294" i="5" s="1"/>
  <c r="S293" i="5"/>
  <c r="R293" i="5"/>
  <c r="Q293" i="5"/>
  <c r="P293" i="5"/>
  <c r="L293" i="5"/>
  <c r="I293" i="5"/>
  <c r="H293" i="5"/>
  <c r="O293" i="5" s="1"/>
  <c r="S292" i="5"/>
  <c r="R292" i="5"/>
  <c r="Q292" i="5"/>
  <c r="P292" i="5"/>
  <c r="L292" i="5"/>
  <c r="I292" i="5"/>
  <c r="H292" i="5"/>
  <c r="U292" i="5" s="1"/>
  <c r="Z292" i="5" s="1"/>
  <c r="S291" i="5"/>
  <c r="R291" i="5"/>
  <c r="Q291" i="5"/>
  <c r="P291" i="5"/>
  <c r="L291" i="5"/>
  <c r="I291" i="5"/>
  <c r="H291" i="5"/>
  <c r="O291" i="5" s="1"/>
  <c r="S290" i="5"/>
  <c r="R290" i="5"/>
  <c r="Q290" i="5"/>
  <c r="P290" i="5"/>
  <c r="L290" i="5"/>
  <c r="I290" i="5"/>
  <c r="H290" i="5"/>
  <c r="O290" i="5" s="1"/>
  <c r="S289" i="5"/>
  <c r="R289" i="5"/>
  <c r="Q289" i="5"/>
  <c r="P289" i="5"/>
  <c r="L289" i="5"/>
  <c r="I289" i="5"/>
  <c r="H289" i="5"/>
  <c r="O289" i="5" s="1"/>
  <c r="S288" i="5"/>
  <c r="R288" i="5"/>
  <c r="Q288" i="5"/>
  <c r="P288" i="5"/>
  <c r="L288" i="5"/>
  <c r="I288" i="5"/>
  <c r="H288" i="5"/>
  <c r="U288" i="5" s="1"/>
  <c r="Z288" i="5" s="1"/>
  <c r="S287" i="5"/>
  <c r="R287" i="5"/>
  <c r="Q287" i="5"/>
  <c r="P287" i="5"/>
  <c r="L287" i="5"/>
  <c r="I287" i="5"/>
  <c r="H287" i="5"/>
  <c r="U287" i="5" s="1"/>
  <c r="Z287" i="5" s="1"/>
  <c r="S286" i="5"/>
  <c r="R286" i="5"/>
  <c r="Q286" i="5"/>
  <c r="P286" i="5"/>
  <c r="L286" i="5"/>
  <c r="I286" i="5"/>
  <c r="H286" i="5"/>
  <c r="O286" i="5" s="1"/>
  <c r="S285" i="5"/>
  <c r="R285" i="5"/>
  <c r="Q285" i="5"/>
  <c r="P285" i="5"/>
  <c r="L285" i="5"/>
  <c r="I285" i="5"/>
  <c r="H285" i="5"/>
  <c r="O285" i="5" s="1"/>
  <c r="S284" i="5"/>
  <c r="R284" i="5"/>
  <c r="Q284" i="5"/>
  <c r="P284" i="5"/>
  <c r="L284" i="5"/>
  <c r="I284" i="5"/>
  <c r="H284" i="5"/>
  <c r="U284" i="5" s="1"/>
  <c r="Z284" i="5" s="1"/>
  <c r="S283" i="5"/>
  <c r="R283" i="5"/>
  <c r="Q283" i="5"/>
  <c r="P283" i="5"/>
  <c r="L283" i="5"/>
  <c r="I283" i="5"/>
  <c r="H283" i="5"/>
  <c r="U283" i="5" s="1"/>
  <c r="Z283" i="5" s="1"/>
  <c r="S282" i="5"/>
  <c r="R282" i="5"/>
  <c r="Q282" i="5"/>
  <c r="P282" i="5"/>
  <c r="L282" i="5"/>
  <c r="I282" i="5"/>
  <c r="H282" i="5"/>
  <c r="O282" i="5" s="1"/>
  <c r="S281" i="5"/>
  <c r="R281" i="5"/>
  <c r="Q281" i="5"/>
  <c r="P281" i="5"/>
  <c r="L281" i="5"/>
  <c r="I281" i="5"/>
  <c r="H281" i="5"/>
  <c r="O281" i="5" s="1"/>
  <c r="S280" i="5"/>
  <c r="R280" i="5"/>
  <c r="Q280" i="5"/>
  <c r="P280" i="5"/>
  <c r="L280" i="5"/>
  <c r="I280" i="5"/>
  <c r="H280" i="5"/>
  <c r="U280" i="5" s="1"/>
  <c r="Z280" i="5" s="1"/>
  <c r="S279" i="5"/>
  <c r="R279" i="5"/>
  <c r="Q279" i="5"/>
  <c r="P279" i="5"/>
  <c r="L279" i="5"/>
  <c r="I279" i="5"/>
  <c r="H279" i="5"/>
  <c r="U279" i="5" s="1"/>
  <c r="Z279" i="5" s="1"/>
  <c r="S278" i="5"/>
  <c r="R278" i="5"/>
  <c r="Q278" i="5"/>
  <c r="P278" i="5"/>
  <c r="L278" i="5"/>
  <c r="I278" i="5"/>
  <c r="H278" i="5"/>
  <c r="U278" i="5" s="1"/>
  <c r="Z278" i="5" s="1"/>
  <c r="S277" i="5"/>
  <c r="R277" i="5"/>
  <c r="Q277" i="5"/>
  <c r="P277" i="5"/>
  <c r="L277" i="5"/>
  <c r="I277" i="5"/>
  <c r="H277" i="5"/>
  <c r="O277" i="5" s="1"/>
  <c r="S276" i="5"/>
  <c r="R276" i="5"/>
  <c r="Q276" i="5"/>
  <c r="P276" i="5"/>
  <c r="L276" i="5"/>
  <c r="I276" i="5"/>
  <c r="H276" i="5"/>
  <c r="U276" i="5" s="1"/>
  <c r="Z276" i="5" s="1"/>
  <c r="S275" i="5"/>
  <c r="R275" i="5"/>
  <c r="Q275" i="5"/>
  <c r="P275" i="5"/>
  <c r="L275" i="5"/>
  <c r="I275" i="5"/>
  <c r="H275" i="5"/>
  <c r="U275" i="5" s="1"/>
  <c r="Z275" i="5" s="1"/>
  <c r="S274" i="5"/>
  <c r="R274" i="5"/>
  <c r="Q274" i="5"/>
  <c r="P274" i="5"/>
  <c r="L274" i="5"/>
  <c r="I274" i="5"/>
  <c r="H274" i="5"/>
  <c r="O274" i="5" s="1"/>
  <c r="S273" i="5"/>
  <c r="R273" i="5"/>
  <c r="Q273" i="5"/>
  <c r="P273" i="5"/>
  <c r="L273" i="5"/>
  <c r="I273" i="5"/>
  <c r="H273" i="5"/>
  <c r="U273" i="5" s="1"/>
  <c r="Z273" i="5" s="1"/>
  <c r="S272" i="5"/>
  <c r="R272" i="5"/>
  <c r="Q272" i="5"/>
  <c r="P272" i="5"/>
  <c r="L272" i="5"/>
  <c r="I272" i="5"/>
  <c r="H272" i="5"/>
  <c r="U272" i="5" s="1"/>
  <c r="Z272" i="5" s="1"/>
  <c r="S271" i="5"/>
  <c r="R271" i="5"/>
  <c r="Q271" i="5"/>
  <c r="P271" i="5"/>
  <c r="L271" i="5"/>
  <c r="I271" i="5"/>
  <c r="H271" i="5"/>
  <c r="U271" i="5" s="1"/>
  <c r="Z271" i="5" s="1"/>
  <c r="S270" i="5"/>
  <c r="R270" i="5"/>
  <c r="Q270" i="5"/>
  <c r="P270" i="5"/>
  <c r="L270" i="5"/>
  <c r="I270" i="5"/>
  <c r="H270" i="5"/>
  <c r="O270" i="5" s="1"/>
  <c r="S269" i="5"/>
  <c r="R269" i="5"/>
  <c r="Q269" i="5"/>
  <c r="P269" i="5"/>
  <c r="L269" i="5"/>
  <c r="I269" i="5"/>
  <c r="H269" i="5"/>
  <c r="O269" i="5" s="1"/>
  <c r="S268" i="5"/>
  <c r="R268" i="5"/>
  <c r="Q268" i="5"/>
  <c r="P268" i="5"/>
  <c r="L268" i="5"/>
  <c r="I268" i="5"/>
  <c r="H268" i="5"/>
  <c r="U268" i="5" s="1"/>
  <c r="Z268" i="5" s="1"/>
  <c r="S267" i="5"/>
  <c r="R267" i="5"/>
  <c r="Q267" i="5"/>
  <c r="P267" i="5"/>
  <c r="L267" i="5"/>
  <c r="I267" i="5"/>
  <c r="H267" i="5"/>
  <c r="O267" i="5" s="1"/>
  <c r="S266" i="5"/>
  <c r="R266" i="5"/>
  <c r="Q266" i="5"/>
  <c r="P266" i="5"/>
  <c r="L266" i="5"/>
  <c r="I266" i="5"/>
  <c r="H266" i="5"/>
  <c r="U266" i="5" s="1"/>
  <c r="Z266" i="5" s="1"/>
  <c r="S265" i="5"/>
  <c r="R265" i="5"/>
  <c r="Q265" i="5"/>
  <c r="P265" i="5"/>
  <c r="L265" i="5"/>
  <c r="I265" i="5"/>
  <c r="H265" i="5"/>
  <c r="U265" i="5" s="1"/>
  <c r="Z265" i="5" s="1"/>
  <c r="S264" i="5"/>
  <c r="R264" i="5"/>
  <c r="Q264" i="5"/>
  <c r="P264" i="5"/>
  <c r="L264" i="5"/>
  <c r="I264" i="5"/>
  <c r="H264" i="5"/>
  <c r="O264" i="5" s="1"/>
  <c r="S263" i="5"/>
  <c r="R263" i="5"/>
  <c r="Q263" i="5"/>
  <c r="P263" i="5"/>
  <c r="L263" i="5"/>
  <c r="I263" i="5"/>
  <c r="H263" i="5"/>
  <c r="S262" i="5"/>
  <c r="R262" i="5"/>
  <c r="Q262" i="5"/>
  <c r="P262" i="5"/>
  <c r="L262" i="5"/>
  <c r="I262" i="5"/>
  <c r="H262" i="5"/>
  <c r="S261" i="5"/>
  <c r="R261" i="5"/>
  <c r="Q261" i="5"/>
  <c r="P261" i="5"/>
  <c r="L261" i="5"/>
  <c r="I261" i="5"/>
  <c r="H261" i="5"/>
  <c r="O261" i="5" s="1"/>
  <c r="S260" i="5"/>
  <c r="R260" i="5"/>
  <c r="Q260" i="5"/>
  <c r="P260" i="5"/>
  <c r="L260" i="5"/>
  <c r="I260" i="5"/>
  <c r="H260" i="5"/>
  <c r="S259" i="5"/>
  <c r="R259" i="5"/>
  <c r="Q259" i="5"/>
  <c r="P259" i="5"/>
  <c r="L259" i="5"/>
  <c r="I259" i="5"/>
  <c r="H259" i="5"/>
  <c r="O259" i="5" s="1"/>
  <c r="S258" i="5"/>
  <c r="R258" i="5"/>
  <c r="Q258" i="5"/>
  <c r="P258" i="5"/>
  <c r="L258" i="5"/>
  <c r="I258" i="5"/>
  <c r="H258" i="5"/>
  <c r="S257" i="5"/>
  <c r="R257" i="5"/>
  <c r="Q257" i="5"/>
  <c r="P257" i="5"/>
  <c r="L257" i="5"/>
  <c r="I257" i="5"/>
  <c r="H257" i="5"/>
  <c r="O257" i="5" s="1"/>
  <c r="S256" i="5"/>
  <c r="R256" i="5"/>
  <c r="Q256" i="5"/>
  <c r="P256" i="5"/>
  <c r="L256" i="5"/>
  <c r="I256" i="5"/>
  <c r="H256" i="5"/>
  <c r="O256" i="5" s="1"/>
  <c r="S255" i="5"/>
  <c r="R255" i="5"/>
  <c r="Q255" i="5"/>
  <c r="P255" i="5"/>
  <c r="L255" i="5"/>
  <c r="I255" i="5"/>
  <c r="H255" i="5"/>
  <c r="S254" i="5"/>
  <c r="R254" i="5"/>
  <c r="Q254" i="5"/>
  <c r="P254" i="5"/>
  <c r="L254" i="5"/>
  <c r="I254" i="5"/>
  <c r="H254" i="5"/>
  <c r="O254" i="5" s="1"/>
  <c r="S253" i="5"/>
  <c r="R253" i="5"/>
  <c r="Q253" i="5"/>
  <c r="P253" i="5"/>
  <c r="L253" i="5"/>
  <c r="I253" i="5"/>
  <c r="H253" i="5"/>
  <c r="S252" i="5"/>
  <c r="R252" i="5"/>
  <c r="Q252" i="5"/>
  <c r="P252" i="5"/>
  <c r="L252" i="5"/>
  <c r="I252" i="5"/>
  <c r="H252" i="5"/>
  <c r="U252" i="5" s="1"/>
  <c r="S251" i="5"/>
  <c r="R251" i="5"/>
  <c r="Q251" i="5"/>
  <c r="P251" i="5"/>
  <c r="L251" i="5"/>
  <c r="I251" i="5"/>
  <c r="H251" i="5"/>
  <c r="O251" i="5" s="1"/>
  <c r="S250" i="5"/>
  <c r="R250" i="5"/>
  <c r="Q250" i="5"/>
  <c r="P250" i="5"/>
  <c r="L250" i="5"/>
  <c r="I250" i="5"/>
  <c r="H250" i="5"/>
  <c r="U250" i="5" s="1"/>
  <c r="Z250" i="5" s="1"/>
  <c r="S249" i="5"/>
  <c r="R249" i="5"/>
  <c r="Q249" i="5"/>
  <c r="P249" i="5"/>
  <c r="L249" i="5"/>
  <c r="I249" i="5"/>
  <c r="H249" i="5"/>
  <c r="O249" i="5" s="1"/>
  <c r="S248" i="5"/>
  <c r="R248" i="5"/>
  <c r="Q248" i="5"/>
  <c r="P248" i="5"/>
  <c r="L248" i="5"/>
  <c r="I248" i="5"/>
  <c r="H248" i="5"/>
  <c r="S247" i="5"/>
  <c r="R247" i="5"/>
  <c r="Q247" i="5"/>
  <c r="P247" i="5"/>
  <c r="L247" i="5"/>
  <c r="I247" i="5"/>
  <c r="H247" i="5"/>
  <c r="S246" i="5"/>
  <c r="R246" i="5"/>
  <c r="Q246" i="5"/>
  <c r="P246" i="5"/>
  <c r="L246" i="5"/>
  <c r="I246" i="5"/>
  <c r="H246" i="5"/>
  <c r="O246" i="5" s="1"/>
  <c r="V246" i="5" s="1"/>
  <c r="S245" i="5"/>
  <c r="R245" i="5"/>
  <c r="Q245" i="5"/>
  <c r="P245" i="5"/>
  <c r="L245" i="5"/>
  <c r="I245" i="5"/>
  <c r="H245" i="5"/>
  <c r="O245" i="5" s="1"/>
  <c r="S244" i="5"/>
  <c r="R244" i="5"/>
  <c r="Q244" i="5"/>
  <c r="P244" i="5"/>
  <c r="L244" i="5"/>
  <c r="I244" i="5"/>
  <c r="H244" i="5"/>
  <c r="S243" i="5"/>
  <c r="R243" i="5"/>
  <c r="Q243" i="5"/>
  <c r="P243" i="5"/>
  <c r="L243" i="5"/>
  <c r="I243" i="5"/>
  <c r="H243" i="5"/>
  <c r="S242" i="5"/>
  <c r="R242" i="5"/>
  <c r="Q242" i="5"/>
  <c r="P242" i="5"/>
  <c r="L242" i="5"/>
  <c r="I242" i="5"/>
  <c r="H242" i="5"/>
  <c r="S241" i="5"/>
  <c r="R241" i="5"/>
  <c r="Q241" i="5"/>
  <c r="P241" i="5"/>
  <c r="L241" i="5"/>
  <c r="I241" i="5"/>
  <c r="H241" i="5"/>
  <c r="U241" i="5" s="1"/>
  <c r="Z241" i="5" s="1"/>
  <c r="S240" i="5"/>
  <c r="R240" i="5"/>
  <c r="Q240" i="5"/>
  <c r="P240" i="5"/>
  <c r="L240" i="5"/>
  <c r="I240" i="5"/>
  <c r="H240" i="5"/>
  <c r="S239" i="5"/>
  <c r="R239" i="5"/>
  <c r="Q239" i="5"/>
  <c r="P239" i="5"/>
  <c r="L239" i="5"/>
  <c r="I239" i="5"/>
  <c r="H239" i="5"/>
  <c r="S238" i="5"/>
  <c r="R238" i="5"/>
  <c r="Q238" i="5"/>
  <c r="P238" i="5"/>
  <c r="L238" i="5"/>
  <c r="I238" i="5"/>
  <c r="H238" i="5"/>
  <c r="U238" i="5" s="1"/>
  <c r="S237" i="5"/>
  <c r="R237" i="5"/>
  <c r="Q237" i="5"/>
  <c r="P237" i="5"/>
  <c r="L237" i="5"/>
  <c r="I237" i="5"/>
  <c r="H237" i="5"/>
  <c r="U237" i="5" s="1"/>
  <c r="Z237" i="5" s="1"/>
  <c r="S236" i="5"/>
  <c r="R236" i="5"/>
  <c r="Q236" i="5"/>
  <c r="P236" i="5"/>
  <c r="L236" i="5"/>
  <c r="I236" i="5"/>
  <c r="H236" i="5"/>
  <c r="S235" i="5"/>
  <c r="R235" i="5"/>
  <c r="Q235" i="5"/>
  <c r="P235" i="5"/>
  <c r="L235" i="5"/>
  <c r="I235" i="5"/>
  <c r="H235" i="5"/>
  <c r="U235" i="5" s="1"/>
  <c r="S234" i="5"/>
  <c r="R234" i="5"/>
  <c r="Q234" i="5"/>
  <c r="P234" i="5"/>
  <c r="L234" i="5"/>
  <c r="I234" i="5"/>
  <c r="H234" i="5"/>
  <c r="S233" i="5"/>
  <c r="R233" i="5"/>
  <c r="Q233" i="5"/>
  <c r="P233" i="5"/>
  <c r="L233" i="5"/>
  <c r="I233" i="5"/>
  <c r="H233" i="5"/>
  <c r="S232" i="5"/>
  <c r="R232" i="5"/>
  <c r="Q232" i="5"/>
  <c r="P232" i="5"/>
  <c r="L232" i="5"/>
  <c r="I232" i="5"/>
  <c r="H232" i="5"/>
  <c r="S231" i="5"/>
  <c r="R231" i="5"/>
  <c r="Q231" i="5"/>
  <c r="P231" i="5"/>
  <c r="L231" i="5"/>
  <c r="I231" i="5"/>
  <c r="H231" i="5"/>
  <c r="S230" i="5"/>
  <c r="R230" i="5"/>
  <c r="Q230" i="5"/>
  <c r="P230" i="5"/>
  <c r="L230" i="5"/>
  <c r="I230" i="5"/>
  <c r="H230" i="5"/>
  <c r="S229" i="5"/>
  <c r="R229" i="5"/>
  <c r="Q229" i="5"/>
  <c r="P229" i="5"/>
  <c r="L229" i="5"/>
  <c r="I229" i="5"/>
  <c r="H229" i="5"/>
  <c r="O229" i="5" s="1"/>
  <c r="S228" i="5"/>
  <c r="R228" i="5"/>
  <c r="Q228" i="5"/>
  <c r="P228" i="5"/>
  <c r="L228" i="5"/>
  <c r="I228" i="5"/>
  <c r="H228" i="5"/>
  <c r="S227" i="5"/>
  <c r="R227" i="5"/>
  <c r="Q227" i="5"/>
  <c r="P227" i="5"/>
  <c r="L227" i="5"/>
  <c r="I227" i="5"/>
  <c r="H227" i="5"/>
  <c r="U227" i="5" s="1"/>
  <c r="S226" i="5"/>
  <c r="R226" i="5"/>
  <c r="Q226" i="5"/>
  <c r="P226" i="5"/>
  <c r="L226" i="5"/>
  <c r="I226" i="5"/>
  <c r="H226" i="5"/>
  <c r="S225" i="5"/>
  <c r="R225" i="5"/>
  <c r="Q225" i="5"/>
  <c r="P225" i="5"/>
  <c r="L225" i="5"/>
  <c r="I225" i="5"/>
  <c r="H225" i="5"/>
  <c r="U225" i="5" s="1"/>
  <c r="S224" i="5"/>
  <c r="R224" i="5"/>
  <c r="Q224" i="5"/>
  <c r="P224" i="5"/>
  <c r="L224" i="5"/>
  <c r="I224" i="5"/>
  <c r="H224" i="5"/>
  <c r="O224" i="5" s="1"/>
  <c r="S223" i="5"/>
  <c r="R223" i="5"/>
  <c r="Q223" i="5"/>
  <c r="P223" i="5"/>
  <c r="L223" i="5"/>
  <c r="I223" i="5"/>
  <c r="H223" i="5"/>
  <c r="U223" i="5" s="1"/>
  <c r="Z223" i="5" s="1"/>
  <c r="S222" i="5"/>
  <c r="R222" i="5"/>
  <c r="Q222" i="5"/>
  <c r="P222" i="5"/>
  <c r="L222" i="5"/>
  <c r="I222" i="5"/>
  <c r="H222" i="5"/>
  <c r="O222" i="5" s="1"/>
  <c r="S221" i="5"/>
  <c r="R221" i="5"/>
  <c r="Q221" i="5"/>
  <c r="P221" i="5"/>
  <c r="L221" i="5"/>
  <c r="I221" i="5"/>
  <c r="H221" i="5"/>
  <c r="U221" i="5" s="1"/>
  <c r="Z221" i="5" s="1"/>
  <c r="S220" i="5"/>
  <c r="R220" i="5"/>
  <c r="Q220" i="5"/>
  <c r="P220" i="5"/>
  <c r="L220" i="5"/>
  <c r="I220" i="5"/>
  <c r="H220" i="5"/>
  <c r="S219" i="5"/>
  <c r="R219" i="5"/>
  <c r="Q219" i="5"/>
  <c r="P219" i="5"/>
  <c r="L219" i="5"/>
  <c r="I219" i="5"/>
  <c r="H219" i="5"/>
  <c r="O219" i="5" s="1"/>
  <c r="S218" i="5"/>
  <c r="R218" i="5"/>
  <c r="Q218" i="5"/>
  <c r="P218" i="5"/>
  <c r="L218" i="5"/>
  <c r="I218" i="5"/>
  <c r="H218" i="5"/>
  <c r="S217" i="5"/>
  <c r="R217" i="5"/>
  <c r="Q217" i="5"/>
  <c r="P217" i="5"/>
  <c r="L217" i="5"/>
  <c r="I217" i="5"/>
  <c r="H217" i="5"/>
  <c r="S216" i="5"/>
  <c r="R216" i="5"/>
  <c r="Q216" i="5"/>
  <c r="P216" i="5"/>
  <c r="L216" i="5"/>
  <c r="I216" i="5"/>
  <c r="H216" i="5"/>
  <c r="U216" i="5" s="1"/>
  <c r="S215" i="5"/>
  <c r="R215" i="5"/>
  <c r="Q215" i="5"/>
  <c r="P215" i="5"/>
  <c r="L215" i="5"/>
  <c r="I215" i="5"/>
  <c r="H215" i="5"/>
  <c r="U215" i="5" s="1"/>
  <c r="S214" i="5"/>
  <c r="R214" i="5"/>
  <c r="Q214" i="5"/>
  <c r="P214" i="5"/>
  <c r="L214" i="5"/>
  <c r="I214" i="5"/>
  <c r="H214" i="5"/>
  <c r="S213" i="5"/>
  <c r="R213" i="5"/>
  <c r="Q213" i="5"/>
  <c r="P213" i="5"/>
  <c r="L213" i="5"/>
  <c r="I213" i="5"/>
  <c r="H213" i="5"/>
  <c r="U213" i="5" s="1"/>
  <c r="Z213" i="5" s="1"/>
  <c r="S212" i="5"/>
  <c r="R212" i="5"/>
  <c r="Q212" i="5"/>
  <c r="P212" i="5"/>
  <c r="L212" i="5"/>
  <c r="I212" i="5"/>
  <c r="H212" i="5"/>
  <c r="O212" i="5" s="1"/>
  <c r="S211" i="5"/>
  <c r="R211" i="5"/>
  <c r="Q211" i="5"/>
  <c r="P211" i="5"/>
  <c r="L211" i="5"/>
  <c r="I211" i="5"/>
  <c r="H211" i="5"/>
  <c r="S210" i="5"/>
  <c r="R210" i="5"/>
  <c r="Q210" i="5"/>
  <c r="P210" i="5"/>
  <c r="L210" i="5"/>
  <c r="I210" i="5"/>
  <c r="H210" i="5"/>
  <c r="S209" i="5"/>
  <c r="R209" i="5"/>
  <c r="Q209" i="5"/>
  <c r="P209" i="5"/>
  <c r="L209" i="5"/>
  <c r="I209" i="5"/>
  <c r="H209" i="5"/>
  <c r="O209" i="5" s="1"/>
  <c r="S208" i="5"/>
  <c r="R208" i="5"/>
  <c r="Q208" i="5"/>
  <c r="P208" i="5"/>
  <c r="L208" i="5"/>
  <c r="I208" i="5"/>
  <c r="H208" i="5"/>
  <c r="U208" i="5" s="1"/>
  <c r="S207" i="5"/>
  <c r="R207" i="5"/>
  <c r="Q207" i="5"/>
  <c r="P207" i="5"/>
  <c r="L207" i="5"/>
  <c r="I207" i="5"/>
  <c r="H207" i="5"/>
  <c r="S206" i="5"/>
  <c r="R206" i="5"/>
  <c r="Q206" i="5"/>
  <c r="P206" i="5"/>
  <c r="L206" i="5"/>
  <c r="I206" i="5"/>
  <c r="H206" i="5"/>
  <c r="U206" i="5" s="1"/>
  <c r="Z206" i="5" s="1"/>
  <c r="S205" i="5"/>
  <c r="R205" i="5"/>
  <c r="Q205" i="5"/>
  <c r="P205" i="5"/>
  <c r="L205" i="5"/>
  <c r="I205" i="5"/>
  <c r="H205" i="5"/>
  <c r="U205" i="5" s="1"/>
  <c r="S204" i="5"/>
  <c r="R204" i="5"/>
  <c r="Q204" i="5"/>
  <c r="P204" i="5"/>
  <c r="L204" i="5"/>
  <c r="I204" i="5"/>
  <c r="H204" i="5"/>
  <c r="O204" i="5" s="1"/>
  <c r="V204" i="5" s="1"/>
  <c r="S203" i="5"/>
  <c r="R203" i="5"/>
  <c r="Q203" i="5"/>
  <c r="P203" i="5"/>
  <c r="L203" i="5"/>
  <c r="I203" i="5"/>
  <c r="H203" i="5"/>
  <c r="U203" i="5" s="1"/>
  <c r="S202" i="5"/>
  <c r="R202" i="5"/>
  <c r="Q202" i="5"/>
  <c r="P202" i="5"/>
  <c r="L202" i="5"/>
  <c r="I202" i="5"/>
  <c r="H202" i="5"/>
  <c r="U202" i="5" s="1"/>
  <c r="S201" i="5"/>
  <c r="R201" i="5"/>
  <c r="Q201" i="5"/>
  <c r="P201" i="5"/>
  <c r="L201" i="5"/>
  <c r="I201" i="5"/>
  <c r="H201" i="5"/>
  <c r="U201" i="5" s="1"/>
  <c r="S200" i="5"/>
  <c r="R200" i="5"/>
  <c r="Q200" i="5"/>
  <c r="P200" i="5"/>
  <c r="L200" i="5"/>
  <c r="I200" i="5"/>
  <c r="H200" i="5"/>
  <c r="O200" i="5" s="1"/>
  <c r="S199" i="5"/>
  <c r="R199" i="5"/>
  <c r="Q199" i="5"/>
  <c r="P199" i="5"/>
  <c r="L199" i="5"/>
  <c r="I199" i="5"/>
  <c r="H199" i="5"/>
  <c r="O199" i="5" s="1"/>
  <c r="V199" i="5" s="1"/>
  <c r="S198" i="5"/>
  <c r="R198" i="5"/>
  <c r="Q198" i="5"/>
  <c r="P198" i="5"/>
  <c r="L198" i="5"/>
  <c r="I198" i="5"/>
  <c r="H198" i="5"/>
  <c r="O198" i="5" s="1"/>
  <c r="S197" i="5"/>
  <c r="R197" i="5"/>
  <c r="Q197" i="5"/>
  <c r="P197" i="5"/>
  <c r="L197" i="5"/>
  <c r="I197" i="5"/>
  <c r="H197" i="5"/>
  <c r="O197" i="5" s="1"/>
  <c r="S196" i="5"/>
  <c r="R196" i="5"/>
  <c r="Q196" i="5"/>
  <c r="P196" i="5"/>
  <c r="L196" i="5"/>
  <c r="I196" i="5"/>
  <c r="H196" i="5"/>
  <c r="O196" i="5" s="1"/>
  <c r="S195" i="5"/>
  <c r="R195" i="5"/>
  <c r="Q195" i="5"/>
  <c r="P195" i="5"/>
  <c r="L195" i="5"/>
  <c r="I195" i="5"/>
  <c r="H195" i="5"/>
  <c r="O195" i="5" s="1"/>
  <c r="V195" i="5" s="1"/>
  <c r="S194" i="5"/>
  <c r="R194" i="5"/>
  <c r="Q194" i="5"/>
  <c r="P194" i="5"/>
  <c r="L194" i="5"/>
  <c r="I194" i="5"/>
  <c r="H194" i="5"/>
  <c r="O194" i="5" s="1"/>
  <c r="S193" i="5"/>
  <c r="R193" i="5"/>
  <c r="Q193" i="5"/>
  <c r="P193" i="5"/>
  <c r="L193" i="5"/>
  <c r="I193" i="5"/>
  <c r="H193" i="5"/>
  <c r="U193" i="5" s="1"/>
  <c r="Z193" i="5" s="1"/>
  <c r="S192" i="5"/>
  <c r="R192" i="5"/>
  <c r="Q192" i="5"/>
  <c r="P192" i="5"/>
  <c r="L192" i="5"/>
  <c r="I192" i="5"/>
  <c r="H192" i="5"/>
  <c r="U192" i="5" s="1"/>
  <c r="S191" i="5"/>
  <c r="R191" i="5"/>
  <c r="Q191" i="5"/>
  <c r="P191" i="5"/>
  <c r="L191" i="5"/>
  <c r="I191" i="5"/>
  <c r="H191" i="5"/>
  <c r="U191" i="5" s="1"/>
  <c r="Z191" i="5" s="1"/>
  <c r="S190" i="5"/>
  <c r="R190" i="5"/>
  <c r="Q190" i="5"/>
  <c r="P190" i="5"/>
  <c r="L190" i="5"/>
  <c r="I190" i="5"/>
  <c r="H190" i="5"/>
  <c r="U190" i="5" s="1"/>
  <c r="Z190" i="5" s="1"/>
  <c r="S189" i="5"/>
  <c r="R189" i="5"/>
  <c r="Q189" i="5"/>
  <c r="P189" i="5"/>
  <c r="L189" i="5"/>
  <c r="I189" i="5"/>
  <c r="H189" i="5"/>
  <c r="U189" i="5" s="1"/>
  <c r="S188" i="5"/>
  <c r="R188" i="5"/>
  <c r="Q188" i="5"/>
  <c r="P188" i="5"/>
  <c r="L188" i="5"/>
  <c r="I188" i="5"/>
  <c r="H188" i="5"/>
  <c r="O188" i="5" s="1"/>
  <c r="S187" i="5"/>
  <c r="R187" i="5"/>
  <c r="Q187" i="5"/>
  <c r="P187" i="5"/>
  <c r="L187" i="5"/>
  <c r="I187" i="5"/>
  <c r="H187" i="5"/>
  <c r="O187" i="5" s="1"/>
  <c r="S186" i="5"/>
  <c r="R186" i="5"/>
  <c r="Q186" i="5"/>
  <c r="P186" i="5"/>
  <c r="L186" i="5"/>
  <c r="I186" i="5"/>
  <c r="H186" i="5"/>
  <c r="O186" i="5" s="1"/>
  <c r="S185" i="5"/>
  <c r="R185" i="5"/>
  <c r="Q185" i="5"/>
  <c r="P185" i="5"/>
  <c r="L185" i="5"/>
  <c r="I185" i="5"/>
  <c r="H185" i="5"/>
  <c r="O185" i="5" s="1"/>
  <c r="S184" i="5"/>
  <c r="R184" i="5"/>
  <c r="Q184" i="5"/>
  <c r="P184" i="5"/>
  <c r="L184" i="5"/>
  <c r="I184" i="5"/>
  <c r="H184" i="5"/>
  <c r="O184" i="5" s="1"/>
  <c r="S183" i="5"/>
  <c r="R183" i="5"/>
  <c r="Q183" i="5"/>
  <c r="P183" i="5"/>
  <c r="L183" i="5"/>
  <c r="I183" i="5"/>
  <c r="H183" i="5"/>
  <c r="U183" i="5" s="1"/>
  <c r="Z183" i="5" s="1"/>
  <c r="S182" i="5"/>
  <c r="R182" i="5"/>
  <c r="Q182" i="5"/>
  <c r="P182" i="5"/>
  <c r="L182" i="5"/>
  <c r="I182" i="5"/>
  <c r="H182" i="5"/>
  <c r="U182" i="5" s="1"/>
  <c r="S181" i="5"/>
  <c r="R181" i="5"/>
  <c r="Q181" i="5"/>
  <c r="P181" i="5"/>
  <c r="L181" i="5"/>
  <c r="I181" i="5"/>
  <c r="H181" i="5"/>
  <c r="U181" i="5" s="1"/>
  <c r="S180" i="5"/>
  <c r="R180" i="5"/>
  <c r="Q180" i="5"/>
  <c r="P180" i="5"/>
  <c r="L180" i="5"/>
  <c r="I180" i="5"/>
  <c r="H180" i="5"/>
  <c r="S179" i="5"/>
  <c r="R179" i="5"/>
  <c r="Q179" i="5"/>
  <c r="P179" i="5"/>
  <c r="L179" i="5"/>
  <c r="I179" i="5"/>
  <c r="H179" i="5"/>
  <c r="U179" i="5" s="1"/>
  <c r="S178" i="5"/>
  <c r="R178" i="5"/>
  <c r="Q178" i="5"/>
  <c r="P178" i="5"/>
  <c r="L178" i="5"/>
  <c r="I178" i="5"/>
  <c r="H178" i="5"/>
  <c r="U178" i="5" s="1"/>
  <c r="S177" i="5"/>
  <c r="R177" i="5"/>
  <c r="Q177" i="5"/>
  <c r="P177" i="5"/>
  <c r="L177" i="5"/>
  <c r="I177" i="5"/>
  <c r="H177" i="5"/>
  <c r="U177" i="5" s="1"/>
  <c r="Z177" i="5" s="1"/>
  <c r="S176" i="5"/>
  <c r="R176" i="5"/>
  <c r="Q176" i="5"/>
  <c r="P176" i="5"/>
  <c r="L176" i="5"/>
  <c r="I176" i="5"/>
  <c r="H176" i="5"/>
  <c r="U176" i="5" s="1"/>
  <c r="Z176" i="5" s="1"/>
  <c r="S175" i="5"/>
  <c r="R175" i="5"/>
  <c r="Q175" i="5"/>
  <c r="P175" i="5"/>
  <c r="L175" i="5"/>
  <c r="I175" i="5"/>
  <c r="H175" i="5"/>
  <c r="S174" i="5"/>
  <c r="R174" i="5"/>
  <c r="Q174" i="5"/>
  <c r="P174" i="5"/>
  <c r="L174" i="5"/>
  <c r="I174" i="5"/>
  <c r="H174" i="5"/>
  <c r="U174" i="5" s="1"/>
  <c r="Z174" i="5" s="1"/>
  <c r="S173" i="5"/>
  <c r="R173" i="5"/>
  <c r="Q173" i="5"/>
  <c r="P173" i="5"/>
  <c r="L173" i="5"/>
  <c r="I173" i="5"/>
  <c r="H173" i="5"/>
  <c r="U173" i="5" s="1"/>
  <c r="S172" i="5"/>
  <c r="R172" i="5"/>
  <c r="Q172" i="5"/>
  <c r="P172" i="5"/>
  <c r="L172" i="5"/>
  <c r="I172" i="5"/>
  <c r="H172" i="5"/>
  <c r="U172" i="5" s="1"/>
  <c r="Z172" i="5" s="1"/>
  <c r="S171" i="5"/>
  <c r="R171" i="5"/>
  <c r="Q171" i="5"/>
  <c r="P171" i="5"/>
  <c r="L171" i="5"/>
  <c r="I171" i="5"/>
  <c r="H171" i="5"/>
  <c r="S170" i="5"/>
  <c r="R170" i="5"/>
  <c r="Q170" i="5"/>
  <c r="P170" i="5"/>
  <c r="L170" i="5"/>
  <c r="I170" i="5"/>
  <c r="H170" i="5"/>
  <c r="S169" i="5"/>
  <c r="R169" i="5"/>
  <c r="Q169" i="5"/>
  <c r="P169" i="5"/>
  <c r="L169" i="5"/>
  <c r="I169" i="5"/>
  <c r="H169" i="5"/>
  <c r="S168" i="5"/>
  <c r="R168" i="5"/>
  <c r="Q168" i="5"/>
  <c r="P168" i="5"/>
  <c r="L168" i="5"/>
  <c r="I168" i="5"/>
  <c r="H168" i="5"/>
  <c r="U168" i="5" s="1"/>
  <c r="S167" i="5"/>
  <c r="R167" i="5"/>
  <c r="Q167" i="5"/>
  <c r="P167" i="5"/>
  <c r="L167" i="5"/>
  <c r="I167" i="5"/>
  <c r="H167" i="5"/>
  <c r="U167" i="5" s="1"/>
  <c r="Z167" i="5" s="1"/>
  <c r="S166" i="5"/>
  <c r="R166" i="5"/>
  <c r="Q166" i="5"/>
  <c r="P166" i="5"/>
  <c r="L166" i="5"/>
  <c r="I166" i="5"/>
  <c r="H166" i="5"/>
  <c r="S165" i="5"/>
  <c r="R165" i="5"/>
  <c r="Q165" i="5"/>
  <c r="P165" i="5"/>
  <c r="L165" i="5"/>
  <c r="I165" i="5"/>
  <c r="H165" i="5"/>
  <c r="U165" i="5" s="1"/>
  <c r="Z165" i="5" s="1"/>
  <c r="S164" i="5"/>
  <c r="R164" i="5"/>
  <c r="Q164" i="5"/>
  <c r="P164" i="5"/>
  <c r="L164" i="5"/>
  <c r="I164" i="5"/>
  <c r="H164" i="5"/>
  <c r="S163" i="5"/>
  <c r="R163" i="5"/>
  <c r="Q163" i="5"/>
  <c r="P163" i="5"/>
  <c r="L163" i="5"/>
  <c r="I163" i="5"/>
  <c r="H163" i="5"/>
  <c r="U163" i="5" s="1"/>
  <c r="Z163" i="5" s="1"/>
  <c r="S162" i="5"/>
  <c r="R162" i="5"/>
  <c r="Q162" i="5"/>
  <c r="P162" i="5"/>
  <c r="L162" i="5"/>
  <c r="I162" i="5"/>
  <c r="H162" i="5"/>
  <c r="S161" i="5"/>
  <c r="R161" i="5"/>
  <c r="Q161" i="5"/>
  <c r="P161" i="5"/>
  <c r="L161" i="5"/>
  <c r="I161" i="5"/>
  <c r="H161" i="5"/>
  <c r="U161" i="5" s="1"/>
  <c r="Z161" i="5" s="1"/>
  <c r="S160" i="5"/>
  <c r="R160" i="5"/>
  <c r="Q160" i="5"/>
  <c r="P160" i="5"/>
  <c r="L160" i="5"/>
  <c r="I160" i="5"/>
  <c r="H160" i="5"/>
  <c r="S159" i="5"/>
  <c r="R159" i="5"/>
  <c r="Q159" i="5"/>
  <c r="P159" i="5"/>
  <c r="L159" i="5"/>
  <c r="I159" i="5"/>
  <c r="H159" i="5"/>
  <c r="U159" i="5" s="1"/>
  <c r="Z159" i="5" s="1"/>
  <c r="S158" i="5"/>
  <c r="R158" i="5"/>
  <c r="Q158" i="5"/>
  <c r="P158" i="5"/>
  <c r="L158" i="5"/>
  <c r="I158" i="5"/>
  <c r="H158" i="5"/>
  <c r="S157" i="5"/>
  <c r="R157" i="5"/>
  <c r="Q157" i="5"/>
  <c r="P157" i="5"/>
  <c r="L157" i="5"/>
  <c r="I157" i="5"/>
  <c r="H157" i="5"/>
  <c r="U157" i="5" s="1"/>
  <c r="S156" i="5"/>
  <c r="R156" i="5"/>
  <c r="Q156" i="5"/>
  <c r="P156" i="5"/>
  <c r="L156" i="5"/>
  <c r="I156" i="5"/>
  <c r="H156" i="5"/>
  <c r="O156" i="5" s="1"/>
  <c r="S155" i="5"/>
  <c r="R155" i="5"/>
  <c r="Q155" i="5"/>
  <c r="P155" i="5"/>
  <c r="L155" i="5"/>
  <c r="I155" i="5"/>
  <c r="H155" i="5"/>
  <c r="U155" i="5" s="1"/>
  <c r="Z155" i="5" s="1"/>
  <c r="S154" i="5"/>
  <c r="R154" i="5"/>
  <c r="Q154" i="5"/>
  <c r="P154" i="5"/>
  <c r="L154" i="5"/>
  <c r="I154" i="5"/>
  <c r="H154" i="5"/>
  <c r="U154" i="5" s="1"/>
  <c r="Z154" i="5" s="1"/>
  <c r="S153" i="5"/>
  <c r="R153" i="5"/>
  <c r="Q153" i="5"/>
  <c r="P153" i="5"/>
  <c r="L153" i="5"/>
  <c r="I153" i="5"/>
  <c r="H153" i="5"/>
  <c r="O153" i="5" s="1"/>
  <c r="V153" i="5" s="1"/>
  <c r="S152" i="5"/>
  <c r="R152" i="5"/>
  <c r="Q152" i="5"/>
  <c r="P152" i="5"/>
  <c r="L152" i="5"/>
  <c r="I152" i="5"/>
  <c r="H152" i="5"/>
  <c r="U152" i="5" s="1"/>
  <c r="S151" i="5"/>
  <c r="R151" i="5"/>
  <c r="Q151" i="5"/>
  <c r="P151" i="5"/>
  <c r="L151" i="5"/>
  <c r="I151" i="5"/>
  <c r="H151" i="5"/>
  <c r="O151" i="5" s="1"/>
  <c r="S150" i="5"/>
  <c r="R150" i="5"/>
  <c r="Q150" i="5"/>
  <c r="P150" i="5"/>
  <c r="L150" i="5"/>
  <c r="I150" i="5"/>
  <c r="H150" i="5"/>
  <c r="U150" i="5" s="1"/>
  <c r="Z150" i="5" s="1"/>
  <c r="S149" i="5"/>
  <c r="R149" i="5"/>
  <c r="Q149" i="5"/>
  <c r="P149" i="5"/>
  <c r="L149" i="5"/>
  <c r="I149" i="5"/>
  <c r="H149" i="5"/>
  <c r="U149" i="5" s="1"/>
  <c r="S148" i="5"/>
  <c r="R148" i="5"/>
  <c r="Q148" i="5"/>
  <c r="P148" i="5"/>
  <c r="L148" i="5"/>
  <c r="I148" i="5"/>
  <c r="H148" i="5"/>
  <c r="U148" i="5" s="1"/>
  <c r="S147" i="5"/>
  <c r="R147" i="5"/>
  <c r="Q147" i="5"/>
  <c r="P147" i="5"/>
  <c r="L147" i="5"/>
  <c r="I147" i="5"/>
  <c r="H147" i="5"/>
  <c r="O147" i="5" s="1"/>
  <c r="V147" i="5" s="1"/>
  <c r="S146" i="5"/>
  <c r="R146" i="5"/>
  <c r="Q146" i="5"/>
  <c r="P146" i="5"/>
  <c r="L146" i="5"/>
  <c r="I146" i="5"/>
  <c r="H146" i="5"/>
  <c r="O146" i="5" s="1"/>
  <c r="S145" i="5"/>
  <c r="R145" i="5"/>
  <c r="Q145" i="5"/>
  <c r="P145" i="5"/>
  <c r="L145" i="5"/>
  <c r="I145" i="5"/>
  <c r="H145" i="5"/>
  <c r="O145" i="5" s="1"/>
  <c r="S144" i="5"/>
  <c r="R144" i="5"/>
  <c r="Q144" i="5"/>
  <c r="P144" i="5"/>
  <c r="L144" i="5"/>
  <c r="I144" i="5"/>
  <c r="H144" i="5"/>
  <c r="O144" i="5" s="1"/>
  <c r="S143" i="5"/>
  <c r="R143" i="5"/>
  <c r="Q143" i="5"/>
  <c r="P143" i="5"/>
  <c r="L143" i="5"/>
  <c r="I143" i="5"/>
  <c r="H143" i="5"/>
  <c r="O143" i="5" s="1"/>
  <c r="S142" i="5"/>
  <c r="R142" i="5"/>
  <c r="Q142" i="5"/>
  <c r="P142" i="5"/>
  <c r="L142" i="5"/>
  <c r="I142" i="5"/>
  <c r="H142" i="5"/>
  <c r="O142" i="5" s="1"/>
  <c r="V142" i="5" s="1"/>
  <c r="S141" i="5"/>
  <c r="R141" i="5"/>
  <c r="Q141" i="5"/>
  <c r="P141" i="5"/>
  <c r="L141" i="5"/>
  <c r="I141" i="5"/>
  <c r="H141" i="5"/>
  <c r="U141" i="5" s="1"/>
  <c r="S140" i="5"/>
  <c r="R140" i="5"/>
  <c r="Q140" i="5"/>
  <c r="P140" i="5"/>
  <c r="L140" i="5"/>
  <c r="I140" i="5"/>
  <c r="H140" i="5"/>
  <c r="U140" i="5" s="1"/>
  <c r="Z140" i="5" s="1"/>
  <c r="S139" i="5"/>
  <c r="R139" i="5"/>
  <c r="Q139" i="5"/>
  <c r="P139" i="5"/>
  <c r="L139" i="5"/>
  <c r="I139" i="5"/>
  <c r="H139" i="5"/>
  <c r="U139" i="5" s="1"/>
  <c r="Z139" i="5" s="1"/>
  <c r="S138" i="5"/>
  <c r="R138" i="5"/>
  <c r="Q138" i="5"/>
  <c r="P138" i="5"/>
  <c r="L138" i="5"/>
  <c r="I138" i="5"/>
  <c r="H138" i="5"/>
  <c r="U138" i="5" s="1"/>
  <c r="S137" i="5"/>
  <c r="R137" i="5"/>
  <c r="Q137" i="5"/>
  <c r="P137" i="5"/>
  <c r="L137" i="5"/>
  <c r="I137" i="5"/>
  <c r="H137" i="5"/>
  <c r="U137" i="5" s="1"/>
  <c r="Z137" i="5" s="1"/>
  <c r="S136" i="5"/>
  <c r="R136" i="5"/>
  <c r="Q136" i="5"/>
  <c r="P136" i="5"/>
  <c r="L136" i="5"/>
  <c r="I136" i="5"/>
  <c r="H136" i="5"/>
  <c r="S135" i="5"/>
  <c r="R135" i="5"/>
  <c r="Q135" i="5"/>
  <c r="P135" i="5"/>
  <c r="L135" i="5"/>
  <c r="I135" i="5"/>
  <c r="H135" i="5"/>
  <c r="O135" i="5" s="1"/>
  <c r="S134" i="5"/>
  <c r="R134" i="5"/>
  <c r="Q134" i="5"/>
  <c r="P134" i="5"/>
  <c r="L134" i="5"/>
  <c r="I134" i="5"/>
  <c r="H134" i="5"/>
  <c r="U134" i="5" s="1"/>
  <c r="Z134" i="5" s="1"/>
  <c r="S133" i="5"/>
  <c r="R133" i="5"/>
  <c r="Q133" i="5"/>
  <c r="P133" i="5"/>
  <c r="L133" i="5"/>
  <c r="I133" i="5"/>
  <c r="H133" i="5"/>
  <c r="U133" i="5" s="1"/>
  <c r="Z133" i="5" s="1"/>
  <c r="S132" i="5"/>
  <c r="R132" i="5"/>
  <c r="Q132" i="5"/>
  <c r="P132" i="5"/>
  <c r="L132" i="5"/>
  <c r="I132" i="5"/>
  <c r="H132" i="5"/>
  <c r="U132" i="5" s="1"/>
  <c r="Z132" i="5" s="1"/>
  <c r="S131" i="5"/>
  <c r="R131" i="5"/>
  <c r="Q131" i="5"/>
  <c r="P131" i="5"/>
  <c r="L131" i="5"/>
  <c r="I131" i="5"/>
  <c r="H131" i="5"/>
  <c r="S130" i="5"/>
  <c r="R130" i="5"/>
  <c r="Q130" i="5"/>
  <c r="P130" i="5"/>
  <c r="L130" i="5"/>
  <c r="I130" i="5"/>
  <c r="H130" i="5"/>
  <c r="U130" i="5" s="1"/>
  <c r="Z130" i="5" s="1"/>
  <c r="V129" i="5"/>
  <c r="S129" i="5"/>
  <c r="R129" i="5"/>
  <c r="Q129" i="5"/>
  <c r="P129" i="5"/>
  <c r="L129" i="5"/>
  <c r="I129" i="5"/>
  <c r="H129" i="5"/>
  <c r="S128" i="5"/>
  <c r="R128" i="5"/>
  <c r="Q128" i="5"/>
  <c r="P128" i="5"/>
  <c r="L128" i="5"/>
  <c r="I128" i="5"/>
  <c r="H128" i="5"/>
  <c r="U128" i="5" s="1"/>
  <c r="Z128" i="5" s="1"/>
  <c r="S127" i="5"/>
  <c r="R127" i="5"/>
  <c r="Q127" i="5"/>
  <c r="P127" i="5"/>
  <c r="L127" i="5"/>
  <c r="I127" i="5"/>
  <c r="H127" i="5"/>
  <c r="O127" i="5" s="1"/>
  <c r="S126" i="5"/>
  <c r="R126" i="5"/>
  <c r="Q126" i="5"/>
  <c r="P126" i="5"/>
  <c r="L126" i="5"/>
  <c r="I126" i="5"/>
  <c r="H126" i="5"/>
  <c r="O126" i="5" s="1"/>
  <c r="V126" i="5" s="1"/>
  <c r="S125" i="5"/>
  <c r="R125" i="5"/>
  <c r="Q125" i="5"/>
  <c r="P125" i="5"/>
  <c r="L125" i="5"/>
  <c r="I125" i="5"/>
  <c r="H125" i="5"/>
  <c r="O125" i="5" s="1"/>
  <c r="S124" i="5"/>
  <c r="R124" i="5"/>
  <c r="Q124" i="5"/>
  <c r="P124" i="5"/>
  <c r="L124" i="5"/>
  <c r="I124" i="5"/>
  <c r="H124" i="5"/>
  <c r="S123" i="5"/>
  <c r="R123" i="5"/>
  <c r="Q123" i="5"/>
  <c r="P123" i="5"/>
  <c r="L123" i="5"/>
  <c r="I123" i="5"/>
  <c r="H123" i="5"/>
  <c r="U123" i="5" s="1"/>
  <c r="Z123" i="5" s="1"/>
  <c r="S122" i="5"/>
  <c r="R122" i="5"/>
  <c r="Q122" i="5"/>
  <c r="P122" i="5"/>
  <c r="L122" i="5"/>
  <c r="I122" i="5"/>
  <c r="H122" i="5"/>
  <c r="O122" i="5" s="1"/>
  <c r="S121" i="5"/>
  <c r="R121" i="5"/>
  <c r="Q121" i="5"/>
  <c r="P121" i="5"/>
  <c r="L121" i="5"/>
  <c r="I121" i="5"/>
  <c r="H121" i="5"/>
  <c r="O121" i="5" s="1"/>
  <c r="V121" i="5" s="1"/>
  <c r="S120" i="5"/>
  <c r="R120" i="5"/>
  <c r="Q120" i="5"/>
  <c r="P120" i="5"/>
  <c r="L120" i="5"/>
  <c r="I120" i="5"/>
  <c r="H120" i="5"/>
  <c r="U120" i="5" s="1"/>
  <c r="S119" i="5"/>
  <c r="R119" i="5"/>
  <c r="Q119" i="5"/>
  <c r="P119" i="5"/>
  <c r="L119" i="5"/>
  <c r="I119" i="5"/>
  <c r="H119" i="5"/>
  <c r="O119" i="5" s="1"/>
  <c r="S118" i="5"/>
  <c r="R118" i="5"/>
  <c r="Q118" i="5"/>
  <c r="P118" i="5"/>
  <c r="L118" i="5"/>
  <c r="I118" i="5"/>
  <c r="H118" i="5"/>
  <c r="U118" i="5" s="1"/>
  <c r="S117" i="5"/>
  <c r="R117" i="5"/>
  <c r="Q117" i="5"/>
  <c r="P117" i="5"/>
  <c r="L117" i="5"/>
  <c r="I117" i="5"/>
  <c r="H117" i="5"/>
  <c r="U117" i="5" s="1"/>
  <c r="Z117" i="5" s="1"/>
  <c r="S116" i="5"/>
  <c r="R116" i="5"/>
  <c r="Q116" i="5"/>
  <c r="P116" i="5"/>
  <c r="L116" i="5"/>
  <c r="I116" i="5"/>
  <c r="H116" i="5"/>
  <c r="U116" i="5" s="1"/>
  <c r="S115" i="5"/>
  <c r="R115" i="5"/>
  <c r="Q115" i="5"/>
  <c r="P115" i="5"/>
  <c r="L115" i="5"/>
  <c r="I115" i="5"/>
  <c r="H115" i="5"/>
  <c r="U115" i="5" s="1"/>
  <c r="Z115" i="5" s="1"/>
  <c r="S114" i="5"/>
  <c r="R114" i="5"/>
  <c r="Q114" i="5"/>
  <c r="P114" i="5"/>
  <c r="L114" i="5"/>
  <c r="I114" i="5"/>
  <c r="H114" i="5"/>
  <c r="O114" i="5" s="1"/>
  <c r="S113" i="5"/>
  <c r="R113" i="5"/>
  <c r="Q113" i="5"/>
  <c r="P113" i="5"/>
  <c r="L113" i="5"/>
  <c r="I113" i="5"/>
  <c r="H113" i="5"/>
  <c r="O113" i="5" s="1"/>
  <c r="V113" i="5" s="1"/>
  <c r="S112" i="5"/>
  <c r="R112" i="5"/>
  <c r="Q112" i="5"/>
  <c r="P112" i="5"/>
  <c r="L112" i="5"/>
  <c r="I112" i="5"/>
  <c r="H112" i="5"/>
  <c r="O112" i="5" s="1"/>
  <c r="S111" i="5"/>
  <c r="R111" i="5"/>
  <c r="Q111" i="5"/>
  <c r="P111" i="5"/>
  <c r="L111" i="5"/>
  <c r="I111" i="5"/>
  <c r="H111" i="5"/>
  <c r="O111" i="5" s="1"/>
  <c r="S110" i="5"/>
  <c r="R110" i="5"/>
  <c r="Q110" i="5"/>
  <c r="P110" i="5"/>
  <c r="L110" i="5"/>
  <c r="I110" i="5"/>
  <c r="H110" i="5"/>
  <c r="O110" i="5" s="1"/>
  <c r="S109" i="5"/>
  <c r="R109" i="5"/>
  <c r="Q109" i="5"/>
  <c r="P109" i="5"/>
  <c r="L109" i="5"/>
  <c r="I109" i="5"/>
  <c r="H109" i="5"/>
  <c r="U109" i="5" s="1"/>
  <c r="S108" i="5"/>
  <c r="R108" i="5"/>
  <c r="Q108" i="5"/>
  <c r="P108" i="5"/>
  <c r="L108" i="5"/>
  <c r="I108" i="5"/>
  <c r="H108" i="5"/>
  <c r="S107" i="5"/>
  <c r="R107" i="5"/>
  <c r="Q107" i="5"/>
  <c r="P107" i="5"/>
  <c r="L107" i="5"/>
  <c r="I107" i="5"/>
  <c r="H107" i="5"/>
  <c r="U107" i="5" s="1"/>
  <c r="Z107" i="5" s="1"/>
  <c r="S106" i="5"/>
  <c r="R106" i="5"/>
  <c r="Q106" i="5"/>
  <c r="P106" i="5"/>
  <c r="L106" i="5"/>
  <c r="I106" i="5"/>
  <c r="H106" i="5"/>
  <c r="U106" i="5" s="1"/>
  <c r="Z106" i="5" s="1"/>
  <c r="S105" i="5"/>
  <c r="R105" i="5"/>
  <c r="Q105" i="5"/>
  <c r="P105" i="5"/>
  <c r="L105" i="5"/>
  <c r="I105" i="5"/>
  <c r="H105" i="5"/>
  <c r="U105" i="5" s="1"/>
  <c r="Z105" i="5" s="1"/>
  <c r="S104" i="5"/>
  <c r="R104" i="5"/>
  <c r="Q104" i="5"/>
  <c r="P104" i="5"/>
  <c r="L104" i="5"/>
  <c r="I104" i="5"/>
  <c r="H104" i="5"/>
  <c r="U104" i="5" s="1"/>
  <c r="Z104" i="5" s="1"/>
  <c r="S103" i="5"/>
  <c r="R103" i="5"/>
  <c r="Q103" i="5"/>
  <c r="P103" i="5"/>
  <c r="L103" i="5"/>
  <c r="I103" i="5"/>
  <c r="H103" i="5"/>
  <c r="O103" i="5" s="1"/>
  <c r="S102" i="5"/>
  <c r="R102" i="5"/>
  <c r="Q102" i="5"/>
  <c r="P102" i="5"/>
  <c r="L102" i="5"/>
  <c r="I102" i="5"/>
  <c r="H102" i="5"/>
  <c r="U102" i="5" s="1"/>
  <c r="Z102" i="5" s="1"/>
  <c r="S101" i="5"/>
  <c r="R101" i="5"/>
  <c r="Q101" i="5"/>
  <c r="P101" i="5"/>
  <c r="L101" i="5"/>
  <c r="I101" i="5"/>
  <c r="H101" i="5"/>
  <c r="O101" i="5" s="1"/>
  <c r="S100" i="5"/>
  <c r="R100" i="5"/>
  <c r="Q100" i="5"/>
  <c r="P100" i="5"/>
  <c r="L100" i="5"/>
  <c r="I100" i="5"/>
  <c r="H100" i="5"/>
  <c r="O100" i="5" s="1"/>
  <c r="V100" i="5" s="1"/>
  <c r="S99" i="5"/>
  <c r="R99" i="5"/>
  <c r="Q99" i="5"/>
  <c r="P99" i="5"/>
  <c r="L99" i="5"/>
  <c r="I99" i="5"/>
  <c r="H99" i="5"/>
  <c r="U99" i="5" s="1"/>
  <c r="S98" i="5"/>
  <c r="R98" i="5"/>
  <c r="Q98" i="5"/>
  <c r="P98" i="5"/>
  <c r="L98" i="5"/>
  <c r="I98" i="5"/>
  <c r="H98" i="5"/>
  <c r="O98" i="5" s="1"/>
  <c r="S97" i="5"/>
  <c r="R97" i="5"/>
  <c r="Q97" i="5"/>
  <c r="P97" i="5"/>
  <c r="L97" i="5"/>
  <c r="I97" i="5"/>
  <c r="H97" i="5"/>
  <c r="O97" i="5" s="1"/>
  <c r="S96" i="5"/>
  <c r="R96" i="5"/>
  <c r="Q96" i="5"/>
  <c r="P96" i="5"/>
  <c r="L96" i="5"/>
  <c r="I96" i="5"/>
  <c r="H96" i="5"/>
  <c r="U96" i="5" s="1"/>
  <c r="S95" i="5"/>
  <c r="R95" i="5"/>
  <c r="Q95" i="5"/>
  <c r="P95" i="5"/>
  <c r="L95" i="5"/>
  <c r="I95" i="5"/>
  <c r="H95" i="5"/>
  <c r="S94" i="5"/>
  <c r="R94" i="5"/>
  <c r="Q94" i="5"/>
  <c r="P94" i="5"/>
  <c r="L94" i="5"/>
  <c r="I94" i="5"/>
  <c r="H94" i="5"/>
  <c r="U94" i="5" s="1"/>
  <c r="Z94" i="5" s="1"/>
  <c r="S93" i="5"/>
  <c r="R93" i="5"/>
  <c r="Q93" i="5"/>
  <c r="P93" i="5"/>
  <c r="L93" i="5"/>
  <c r="I93" i="5"/>
  <c r="H93" i="5"/>
  <c r="O93" i="5" s="1"/>
  <c r="S92" i="5"/>
  <c r="R92" i="5"/>
  <c r="Q92" i="5"/>
  <c r="P92" i="5"/>
  <c r="L92" i="5"/>
  <c r="I92" i="5"/>
  <c r="H92" i="5"/>
  <c r="U92" i="5" s="1"/>
  <c r="Z92" i="5" s="1"/>
  <c r="S91" i="5"/>
  <c r="R91" i="5"/>
  <c r="Q91" i="5"/>
  <c r="P91" i="5"/>
  <c r="L91" i="5"/>
  <c r="I91" i="5"/>
  <c r="H91" i="5"/>
  <c r="O91" i="5" s="1"/>
  <c r="S90" i="5"/>
  <c r="R90" i="5"/>
  <c r="Q90" i="5"/>
  <c r="P90" i="5"/>
  <c r="L90" i="5"/>
  <c r="I90" i="5"/>
  <c r="H90" i="5"/>
  <c r="U90" i="5" s="1"/>
  <c r="Z90" i="5" s="1"/>
  <c r="S89" i="5"/>
  <c r="R89" i="5"/>
  <c r="Q89" i="5"/>
  <c r="P89" i="5"/>
  <c r="L89" i="5"/>
  <c r="I89" i="5"/>
  <c r="H89" i="5"/>
  <c r="U89" i="5" s="1"/>
  <c r="S88" i="5"/>
  <c r="R88" i="5"/>
  <c r="Q88" i="5"/>
  <c r="P88" i="5"/>
  <c r="L88" i="5"/>
  <c r="I88" i="5"/>
  <c r="H88" i="5"/>
  <c r="S87" i="5"/>
  <c r="R87" i="5"/>
  <c r="Q87" i="5"/>
  <c r="P87" i="5"/>
  <c r="L87" i="5"/>
  <c r="I87" i="5"/>
  <c r="H87" i="5"/>
  <c r="U87" i="5" s="1"/>
  <c r="S86" i="5"/>
  <c r="R86" i="5"/>
  <c r="Q86" i="5"/>
  <c r="P86" i="5"/>
  <c r="L86" i="5"/>
  <c r="I86" i="5"/>
  <c r="H86" i="5"/>
  <c r="O86" i="5" s="1"/>
  <c r="S85" i="5"/>
  <c r="R85" i="5"/>
  <c r="Q85" i="5"/>
  <c r="P85" i="5"/>
  <c r="L85" i="5"/>
  <c r="I85" i="5"/>
  <c r="H85" i="5"/>
  <c r="O85" i="5" s="1"/>
  <c r="S84" i="5"/>
  <c r="R84" i="5"/>
  <c r="Q84" i="5"/>
  <c r="P84" i="5"/>
  <c r="I84" i="5"/>
  <c r="H84" i="5"/>
  <c r="O84" i="5" s="1"/>
  <c r="S83" i="5"/>
  <c r="R83" i="5"/>
  <c r="Q83" i="5"/>
  <c r="P83" i="5"/>
  <c r="L83" i="5"/>
  <c r="I83" i="5"/>
  <c r="H83" i="5"/>
  <c r="O83" i="5" s="1"/>
  <c r="S82" i="5"/>
  <c r="R82" i="5"/>
  <c r="Q82" i="5"/>
  <c r="P82" i="5"/>
  <c r="L82" i="5"/>
  <c r="I82" i="5"/>
  <c r="H82" i="5"/>
  <c r="U82" i="5" s="1"/>
  <c r="Z82" i="5" s="1"/>
  <c r="S81" i="5"/>
  <c r="R81" i="5"/>
  <c r="Q81" i="5"/>
  <c r="P81" i="5"/>
  <c r="L81" i="5"/>
  <c r="I81" i="5"/>
  <c r="H81" i="5"/>
  <c r="O81" i="5" s="1"/>
  <c r="S80" i="5"/>
  <c r="R80" i="5"/>
  <c r="Q80" i="5"/>
  <c r="P80" i="5"/>
  <c r="L80" i="5"/>
  <c r="I80" i="5"/>
  <c r="H80" i="5"/>
  <c r="U80" i="5" s="1"/>
  <c r="Z80" i="5" s="1"/>
  <c r="S79" i="5"/>
  <c r="R79" i="5"/>
  <c r="Q79" i="5"/>
  <c r="P79" i="5"/>
  <c r="L79" i="5"/>
  <c r="I79" i="5"/>
  <c r="H79" i="5"/>
  <c r="O79" i="5" s="1"/>
  <c r="S78" i="5"/>
  <c r="R78" i="5"/>
  <c r="Q78" i="5"/>
  <c r="P78" i="5"/>
  <c r="L78" i="5"/>
  <c r="I78" i="5"/>
  <c r="H78" i="5"/>
  <c r="U78" i="5" s="1"/>
  <c r="Z78" i="5" s="1"/>
  <c r="S77" i="5"/>
  <c r="R77" i="5"/>
  <c r="Q77" i="5"/>
  <c r="P77" i="5"/>
  <c r="L77" i="5"/>
  <c r="I77" i="5"/>
  <c r="H77" i="5"/>
  <c r="O77" i="5" s="1"/>
  <c r="S76" i="5"/>
  <c r="R76" i="5"/>
  <c r="Q76" i="5"/>
  <c r="P76" i="5"/>
  <c r="L76" i="5"/>
  <c r="I76" i="5"/>
  <c r="H76" i="5"/>
  <c r="U76" i="5" s="1"/>
  <c r="Z76" i="5" s="1"/>
  <c r="S75" i="5"/>
  <c r="R75" i="5"/>
  <c r="Q75" i="5"/>
  <c r="P75" i="5"/>
  <c r="L75" i="5"/>
  <c r="I75" i="5"/>
  <c r="H75" i="5"/>
  <c r="O75" i="5" s="1"/>
  <c r="S74" i="5"/>
  <c r="R74" i="5"/>
  <c r="Q74" i="5"/>
  <c r="P74" i="5"/>
  <c r="L74" i="5"/>
  <c r="I74" i="5"/>
  <c r="H74" i="5"/>
  <c r="U74" i="5" s="1"/>
  <c r="Z74" i="5" s="1"/>
  <c r="S73" i="5"/>
  <c r="R73" i="5"/>
  <c r="Q73" i="5"/>
  <c r="P73" i="5"/>
  <c r="L73" i="5"/>
  <c r="I73" i="5"/>
  <c r="H73" i="5"/>
  <c r="O73" i="5" s="1"/>
  <c r="S72" i="5"/>
  <c r="R72" i="5"/>
  <c r="Q72" i="5"/>
  <c r="P72" i="5"/>
  <c r="L72" i="5"/>
  <c r="I72" i="5"/>
  <c r="H72" i="5"/>
  <c r="U72" i="5" s="1"/>
  <c r="Z72" i="5" s="1"/>
  <c r="S71" i="5"/>
  <c r="R71" i="5"/>
  <c r="Q71" i="5"/>
  <c r="P71" i="5"/>
  <c r="L71" i="5"/>
  <c r="I71" i="5"/>
  <c r="H71" i="5"/>
  <c r="O71" i="5" s="1"/>
  <c r="S70" i="5"/>
  <c r="R70" i="5"/>
  <c r="Q70" i="5"/>
  <c r="P70" i="5"/>
  <c r="L70" i="5"/>
  <c r="I70" i="5"/>
  <c r="H70" i="5"/>
  <c r="U70" i="5" s="1"/>
  <c r="Z70" i="5" s="1"/>
  <c r="S69" i="5"/>
  <c r="R69" i="5"/>
  <c r="Q69" i="5"/>
  <c r="P69" i="5"/>
  <c r="L69" i="5"/>
  <c r="I69" i="5"/>
  <c r="H69" i="5"/>
  <c r="O69" i="5" s="1"/>
  <c r="S68" i="5"/>
  <c r="R68" i="5"/>
  <c r="Q68" i="5"/>
  <c r="P68" i="5"/>
  <c r="L68" i="5"/>
  <c r="I68" i="5"/>
  <c r="H68" i="5"/>
  <c r="U68" i="5" s="1"/>
  <c r="Z68" i="5" s="1"/>
  <c r="S67" i="5"/>
  <c r="R67" i="5"/>
  <c r="Q67" i="5"/>
  <c r="P67" i="5"/>
  <c r="L67" i="5"/>
  <c r="I67" i="5"/>
  <c r="H67" i="5"/>
  <c r="O67" i="5" s="1"/>
  <c r="S66" i="5"/>
  <c r="R66" i="5"/>
  <c r="Q66" i="5"/>
  <c r="P66" i="5"/>
  <c r="L66" i="5"/>
  <c r="I66" i="5"/>
  <c r="H66" i="5"/>
  <c r="U66" i="5" s="1"/>
  <c r="Z66" i="5" s="1"/>
  <c r="S65" i="5"/>
  <c r="R65" i="5"/>
  <c r="Q65" i="5"/>
  <c r="P65" i="5"/>
  <c r="L65" i="5"/>
  <c r="I65" i="5"/>
  <c r="H65" i="5"/>
  <c r="O65" i="5" s="1"/>
  <c r="S64" i="5"/>
  <c r="R64" i="5"/>
  <c r="Q64" i="5"/>
  <c r="P64" i="5"/>
  <c r="L64" i="5"/>
  <c r="I64" i="5"/>
  <c r="H64" i="5"/>
  <c r="U64" i="5" s="1"/>
  <c r="Z64" i="5" s="1"/>
  <c r="S63" i="5"/>
  <c r="R63" i="5"/>
  <c r="Q63" i="5"/>
  <c r="P63" i="5"/>
  <c r="L63" i="5"/>
  <c r="I63" i="5"/>
  <c r="H63" i="5"/>
  <c r="O63" i="5" s="1"/>
  <c r="S62" i="5"/>
  <c r="R62" i="5"/>
  <c r="Q62" i="5"/>
  <c r="P62" i="5"/>
  <c r="L62" i="5"/>
  <c r="I62" i="5"/>
  <c r="H62" i="5"/>
  <c r="U62" i="5" s="1"/>
  <c r="Z62" i="5" s="1"/>
  <c r="S61" i="5"/>
  <c r="R61" i="5"/>
  <c r="Q61" i="5"/>
  <c r="P61" i="5"/>
  <c r="L61" i="5"/>
  <c r="I61" i="5"/>
  <c r="H61" i="5"/>
  <c r="O61" i="5" s="1"/>
  <c r="S60" i="5"/>
  <c r="R60" i="5"/>
  <c r="Q60" i="5"/>
  <c r="P60" i="5"/>
  <c r="L60" i="5"/>
  <c r="I60" i="5"/>
  <c r="H60" i="5"/>
  <c r="U60" i="5" s="1"/>
  <c r="Z60" i="5" s="1"/>
  <c r="S59" i="5"/>
  <c r="R59" i="5"/>
  <c r="Q59" i="5"/>
  <c r="P59" i="5"/>
  <c r="L59" i="5"/>
  <c r="I59" i="5"/>
  <c r="H59" i="5"/>
  <c r="O59" i="5" s="1"/>
  <c r="S58" i="5"/>
  <c r="R58" i="5"/>
  <c r="Q58" i="5"/>
  <c r="P58" i="5"/>
  <c r="L58" i="5"/>
  <c r="I58" i="5"/>
  <c r="H58" i="5"/>
  <c r="U58" i="5" s="1"/>
  <c r="Z58" i="5" s="1"/>
  <c r="S57" i="5"/>
  <c r="R57" i="5"/>
  <c r="Q57" i="5"/>
  <c r="P57" i="5"/>
  <c r="L57" i="5"/>
  <c r="I57" i="5"/>
  <c r="H57" i="5"/>
  <c r="O57" i="5" s="1"/>
  <c r="S56" i="5"/>
  <c r="R56" i="5"/>
  <c r="Q56" i="5"/>
  <c r="P56" i="5"/>
  <c r="L56" i="5"/>
  <c r="I56" i="5"/>
  <c r="H56" i="5"/>
  <c r="U56" i="5" s="1"/>
  <c r="Z56" i="5" s="1"/>
  <c r="S55" i="5"/>
  <c r="R55" i="5"/>
  <c r="Q55" i="5"/>
  <c r="P55" i="5"/>
  <c r="L55" i="5"/>
  <c r="I55" i="5"/>
  <c r="H55" i="5"/>
  <c r="O55" i="5" s="1"/>
  <c r="S54" i="5"/>
  <c r="R54" i="5"/>
  <c r="Q54" i="5"/>
  <c r="P54" i="5"/>
  <c r="L54" i="5"/>
  <c r="I54" i="5"/>
  <c r="H54" i="5"/>
  <c r="U54" i="5" s="1"/>
  <c r="Z54" i="5" s="1"/>
  <c r="S53" i="5"/>
  <c r="R53" i="5"/>
  <c r="Q53" i="5"/>
  <c r="P53" i="5"/>
  <c r="L53" i="5"/>
  <c r="I53" i="5"/>
  <c r="H53" i="5"/>
  <c r="O53" i="5" s="1"/>
  <c r="S52" i="5"/>
  <c r="R52" i="5"/>
  <c r="Q52" i="5"/>
  <c r="P52" i="5"/>
  <c r="L52" i="5"/>
  <c r="I52" i="5"/>
  <c r="H52" i="5"/>
  <c r="U52" i="5" s="1"/>
  <c r="Z52" i="5" s="1"/>
  <c r="S51" i="5"/>
  <c r="R51" i="5"/>
  <c r="Q51" i="5"/>
  <c r="P51" i="5"/>
  <c r="L51" i="5"/>
  <c r="I51" i="5"/>
  <c r="H51" i="5"/>
  <c r="O51" i="5" s="1"/>
  <c r="S50" i="5"/>
  <c r="R50" i="5"/>
  <c r="Q50" i="5"/>
  <c r="P50" i="5"/>
  <c r="L50" i="5"/>
  <c r="I50" i="5"/>
  <c r="H50" i="5"/>
  <c r="U50" i="5" s="1"/>
  <c r="Z50" i="5" s="1"/>
  <c r="S49" i="5"/>
  <c r="R49" i="5"/>
  <c r="Q49" i="5"/>
  <c r="P49" i="5"/>
  <c r="L49" i="5"/>
  <c r="I49" i="5"/>
  <c r="H49" i="5"/>
  <c r="O49" i="5" s="1"/>
  <c r="S48" i="5"/>
  <c r="R48" i="5"/>
  <c r="Q48" i="5"/>
  <c r="P48" i="5"/>
  <c r="L48" i="5"/>
  <c r="I48" i="5"/>
  <c r="H48" i="5"/>
  <c r="U48" i="5" s="1"/>
  <c r="Z48" i="5" s="1"/>
  <c r="S47" i="5"/>
  <c r="R47" i="5"/>
  <c r="Q47" i="5"/>
  <c r="P47" i="5"/>
  <c r="L47" i="5"/>
  <c r="I47" i="5"/>
  <c r="H47" i="5"/>
  <c r="O47" i="5" s="1"/>
  <c r="S46" i="5"/>
  <c r="R46" i="5"/>
  <c r="Q46" i="5"/>
  <c r="P46" i="5"/>
  <c r="L46" i="5"/>
  <c r="I46" i="5"/>
  <c r="H46" i="5"/>
  <c r="U46" i="5" s="1"/>
  <c r="Z46" i="5" s="1"/>
  <c r="S45" i="5"/>
  <c r="R45" i="5"/>
  <c r="Q45" i="5"/>
  <c r="P45" i="5"/>
  <c r="L45" i="5"/>
  <c r="I45" i="5"/>
  <c r="H45" i="5"/>
  <c r="O45" i="5" s="1"/>
  <c r="S44" i="5"/>
  <c r="R44" i="5"/>
  <c r="Q44" i="5"/>
  <c r="P44" i="5"/>
  <c r="L44" i="5"/>
  <c r="I44" i="5"/>
  <c r="H44" i="5"/>
  <c r="U44" i="5" s="1"/>
  <c r="Z44" i="5" s="1"/>
  <c r="S43" i="5"/>
  <c r="R43" i="5"/>
  <c r="Q43" i="5"/>
  <c r="P43" i="5"/>
  <c r="L43" i="5"/>
  <c r="I43" i="5"/>
  <c r="H43" i="5"/>
  <c r="O43" i="5" s="1"/>
  <c r="S42" i="5"/>
  <c r="R42" i="5"/>
  <c r="Q42" i="5"/>
  <c r="P42" i="5"/>
  <c r="L42" i="5"/>
  <c r="I42" i="5"/>
  <c r="H42" i="5"/>
  <c r="U42" i="5" s="1"/>
  <c r="Z42" i="5" s="1"/>
  <c r="S41" i="5"/>
  <c r="R41" i="5"/>
  <c r="Q41" i="5"/>
  <c r="P41" i="5"/>
  <c r="L41" i="5"/>
  <c r="I41" i="5"/>
  <c r="H41" i="5"/>
  <c r="O41" i="5" s="1"/>
  <c r="S40" i="5"/>
  <c r="R40" i="5"/>
  <c r="Q40" i="5"/>
  <c r="P40" i="5"/>
  <c r="L40" i="5"/>
  <c r="I40" i="5"/>
  <c r="H40" i="5"/>
  <c r="U40" i="5" s="1"/>
  <c r="Z40" i="5" s="1"/>
  <c r="S39" i="5"/>
  <c r="R39" i="5"/>
  <c r="Q39" i="5"/>
  <c r="P39" i="5"/>
  <c r="L39" i="5"/>
  <c r="I39" i="5"/>
  <c r="H39" i="5"/>
  <c r="O39" i="5" s="1"/>
  <c r="S38" i="5"/>
  <c r="R38" i="5"/>
  <c r="Q38" i="5"/>
  <c r="P38" i="5"/>
  <c r="L38" i="5"/>
  <c r="I38" i="5"/>
  <c r="H38" i="5"/>
  <c r="U38" i="5" s="1"/>
  <c r="Z38" i="5" s="1"/>
  <c r="S37" i="5"/>
  <c r="R37" i="5"/>
  <c r="Q37" i="5"/>
  <c r="P37" i="5"/>
  <c r="L37" i="5"/>
  <c r="I37" i="5"/>
  <c r="H37" i="5"/>
  <c r="O37" i="5" s="1"/>
  <c r="S36" i="5"/>
  <c r="R36" i="5"/>
  <c r="Q36" i="5"/>
  <c r="P36" i="5"/>
  <c r="L36" i="5"/>
  <c r="I36" i="5"/>
  <c r="H36" i="5"/>
  <c r="O36" i="5" s="1"/>
  <c r="S35" i="5"/>
  <c r="R35" i="5"/>
  <c r="Q35" i="5"/>
  <c r="P35" i="5"/>
  <c r="L35" i="5"/>
  <c r="I35" i="5"/>
  <c r="H35" i="5"/>
  <c r="S34" i="5"/>
  <c r="R34" i="5"/>
  <c r="Q34" i="5"/>
  <c r="P34" i="5"/>
  <c r="L34" i="5"/>
  <c r="I34" i="5"/>
  <c r="H34" i="5"/>
  <c r="S33" i="5"/>
  <c r="R33" i="5"/>
  <c r="Q33" i="5"/>
  <c r="P33" i="5"/>
  <c r="L33" i="5"/>
  <c r="I33" i="5"/>
  <c r="H33" i="5"/>
  <c r="S32" i="5"/>
  <c r="R32" i="5"/>
  <c r="Q32" i="5"/>
  <c r="P32" i="5"/>
  <c r="L32" i="5"/>
  <c r="I32" i="5"/>
  <c r="H32" i="5"/>
  <c r="S31" i="5"/>
  <c r="R31" i="5"/>
  <c r="Q31" i="5"/>
  <c r="P31" i="5"/>
  <c r="L31" i="5"/>
  <c r="I31" i="5"/>
  <c r="H31" i="5"/>
  <c r="O31" i="5" s="1"/>
  <c r="S30" i="5"/>
  <c r="R30" i="5"/>
  <c r="Q30" i="5"/>
  <c r="P30" i="5"/>
  <c r="L30" i="5"/>
  <c r="I30" i="5"/>
  <c r="H30" i="5"/>
  <c r="S29" i="5"/>
  <c r="R29" i="5"/>
  <c r="Q29" i="5"/>
  <c r="P29" i="5"/>
  <c r="L29" i="5"/>
  <c r="I29" i="5"/>
  <c r="H29" i="5"/>
  <c r="O29" i="5" s="1"/>
  <c r="S28" i="5"/>
  <c r="R28" i="5"/>
  <c r="Q28" i="5"/>
  <c r="P28" i="5"/>
  <c r="L28" i="5"/>
  <c r="I28" i="5"/>
  <c r="H28" i="5"/>
  <c r="U28" i="5" s="1"/>
  <c r="Z28" i="5" s="1"/>
  <c r="S27" i="5"/>
  <c r="R27" i="5"/>
  <c r="Q27" i="5"/>
  <c r="P27" i="5"/>
  <c r="L27" i="5"/>
  <c r="I27" i="5"/>
  <c r="H27" i="5"/>
  <c r="O27" i="5" s="1"/>
  <c r="S26" i="5"/>
  <c r="R26" i="5"/>
  <c r="Q26" i="5"/>
  <c r="P26" i="5"/>
  <c r="L26" i="5"/>
  <c r="I26" i="5"/>
  <c r="H26" i="5"/>
  <c r="U26" i="5" s="1"/>
  <c r="Z26" i="5" s="1"/>
  <c r="S25" i="5"/>
  <c r="R25" i="5"/>
  <c r="Q25" i="5"/>
  <c r="P25" i="5"/>
  <c r="L25" i="5"/>
  <c r="I25" i="5"/>
  <c r="H25" i="5"/>
  <c r="U25" i="5" s="1"/>
  <c r="S24" i="5"/>
  <c r="R24" i="5"/>
  <c r="Q24" i="5"/>
  <c r="P24" i="5"/>
  <c r="L24" i="5"/>
  <c r="I24" i="5"/>
  <c r="H24" i="5"/>
  <c r="O24" i="5" s="1"/>
  <c r="S23" i="5"/>
  <c r="R23" i="5"/>
  <c r="Q23" i="5"/>
  <c r="P23" i="5"/>
  <c r="L23" i="5"/>
  <c r="I23" i="5"/>
  <c r="H23" i="5"/>
  <c r="O23" i="5" s="1"/>
  <c r="S22" i="5"/>
  <c r="R22" i="5"/>
  <c r="Q22" i="5"/>
  <c r="P22" i="5"/>
  <c r="L22" i="5"/>
  <c r="I22" i="5"/>
  <c r="H22" i="5"/>
  <c r="O22" i="5" s="1"/>
  <c r="S21" i="5"/>
  <c r="R21" i="5"/>
  <c r="Q21" i="5"/>
  <c r="P21" i="5"/>
  <c r="L21" i="5"/>
  <c r="I21" i="5"/>
  <c r="H21" i="5"/>
  <c r="U21" i="5" s="1"/>
  <c r="Z21" i="5" s="1"/>
  <c r="S20" i="5"/>
  <c r="R20" i="5"/>
  <c r="Q20" i="5"/>
  <c r="P20" i="5"/>
  <c r="L20" i="5"/>
  <c r="I20" i="5"/>
  <c r="H20" i="5"/>
  <c r="O20" i="5" s="1"/>
  <c r="S19" i="5"/>
  <c r="R19" i="5"/>
  <c r="Q19" i="5"/>
  <c r="P19" i="5"/>
  <c r="L19" i="5"/>
  <c r="I19" i="5"/>
  <c r="H19" i="5"/>
  <c r="O19" i="5" s="1"/>
  <c r="S18" i="5"/>
  <c r="R18" i="5"/>
  <c r="Q18" i="5"/>
  <c r="P18" i="5"/>
  <c r="L18" i="5"/>
  <c r="I18" i="5"/>
  <c r="H18" i="5"/>
  <c r="O18" i="5" s="1"/>
  <c r="S17" i="5"/>
  <c r="R17" i="5"/>
  <c r="Q17" i="5"/>
  <c r="P17" i="5"/>
  <c r="L17" i="5"/>
  <c r="I17" i="5"/>
  <c r="H17" i="5"/>
  <c r="U17" i="5" s="1"/>
  <c r="Z17" i="5" s="1"/>
  <c r="S16" i="5"/>
  <c r="R16" i="5"/>
  <c r="Q16" i="5"/>
  <c r="P16" i="5"/>
  <c r="L16" i="5"/>
  <c r="I16" i="5"/>
  <c r="H16" i="5"/>
  <c r="O16" i="5" s="1"/>
  <c r="S15" i="5"/>
  <c r="R15" i="5"/>
  <c r="Q15" i="5"/>
  <c r="P15" i="5"/>
  <c r="L15" i="5"/>
  <c r="I15" i="5"/>
  <c r="H15" i="5"/>
  <c r="O15" i="5" s="1"/>
  <c r="S14" i="5"/>
  <c r="R14" i="5"/>
  <c r="Q14" i="5"/>
  <c r="P14" i="5"/>
  <c r="L14" i="5"/>
  <c r="I14" i="5"/>
  <c r="H14" i="5"/>
  <c r="O14" i="5" s="1"/>
  <c r="S13" i="5"/>
  <c r="R13" i="5"/>
  <c r="Q13" i="5"/>
  <c r="P13" i="5"/>
  <c r="L13" i="5"/>
  <c r="I13" i="5"/>
  <c r="H13" i="5"/>
  <c r="U13" i="5" s="1"/>
  <c r="Z13" i="5" s="1"/>
  <c r="S12" i="5"/>
  <c r="R12" i="5"/>
  <c r="Q12" i="5"/>
  <c r="P12" i="5"/>
  <c r="L12" i="5"/>
  <c r="I12" i="5"/>
  <c r="H12" i="5"/>
  <c r="O12" i="5" s="1"/>
  <c r="S11" i="5"/>
  <c r="R11" i="5"/>
  <c r="Q11" i="5"/>
  <c r="P11" i="5"/>
  <c r="L11" i="5"/>
  <c r="I11" i="5"/>
  <c r="H11" i="5"/>
  <c r="O11" i="5" s="1"/>
  <c r="S10" i="5"/>
  <c r="R10" i="5"/>
  <c r="Q10" i="5"/>
  <c r="P10" i="5"/>
  <c r="L10" i="5"/>
  <c r="I10" i="5"/>
  <c r="H10" i="5"/>
  <c r="O10" i="5" s="1"/>
  <c r="S9" i="5"/>
  <c r="R9" i="5"/>
  <c r="Q9" i="5"/>
  <c r="P9" i="5"/>
  <c r="L9" i="5"/>
  <c r="I9" i="5"/>
  <c r="H9" i="5"/>
  <c r="U9" i="5" s="1"/>
  <c r="Z9" i="5" s="1"/>
  <c r="S8" i="5"/>
  <c r="R8" i="5"/>
  <c r="Q8" i="5"/>
  <c r="P8" i="5"/>
  <c r="L8" i="5"/>
  <c r="I8" i="5"/>
  <c r="H8" i="5"/>
  <c r="O8" i="5" s="1"/>
  <c r="S7" i="5"/>
  <c r="R7" i="5"/>
  <c r="Q7" i="5"/>
  <c r="P7" i="5"/>
  <c r="L7" i="5"/>
  <c r="I7" i="5"/>
  <c r="H7" i="5"/>
  <c r="U7" i="5" s="1"/>
  <c r="Z7" i="5" s="1"/>
  <c r="S6" i="5"/>
  <c r="R6" i="5"/>
  <c r="Q6" i="5"/>
  <c r="P6" i="5"/>
  <c r="L6" i="5"/>
  <c r="I6" i="5"/>
  <c r="H6" i="5"/>
  <c r="O6" i="5" s="1"/>
  <c r="S5" i="5"/>
  <c r="R5" i="5"/>
  <c r="Q5" i="5"/>
  <c r="P5" i="5"/>
  <c r="L5" i="5"/>
  <c r="I5" i="5"/>
  <c r="H5" i="5"/>
  <c r="O5" i="5" s="1"/>
  <c r="S4" i="5"/>
  <c r="R4" i="5"/>
  <c r="Q4" i="5"/>
  <c r="P4" i="5"/>
  <c r="L4" i="5"/>
  <c r="I4" i="5"/>
  <c r="H4" i="5"/>
  <c r="O4" i="5" s="1"/>
  <c r="S3" i="5"/>
  <c r="R3" i="5"/>
  <c r="Q3" i="5"/>
  <c r="P3" i="5"/>
  <c r="L3" i="5"/>
  <c r="I3" i="5"/>
  <c r="H3" i="5"/>
  <c r="O3" i="5" s="1"/>
  <c r="S2" i="5"/>
  <c r="R2" i="5"/>
  <c r="Q2" i="5"/>
  <c r="P2" i="5"/>
  <c r="L2" i="5"/>
  <c r="I2" i="5"/>
  <c r="H2" i="5"/>
  <c r="U2" i="5" s="1"/>
  <c r="AI28" i="1"/>
  <c r="AH28" i="1" s="1"/>
  <c r="AI29" i="1"/>
  <c r="AH29" i="1" s="1"/>
  <c r="AD28" i="1"/>
  <c r="AD29" i="1"/>
  <c r="G28" i="1"/>
  <c r="AO28" i="1" s="1"/>
  <c r="G29" i="1"/>
  <c r="AO29" i="1" s="1"/>
  <c r="AB15" i="4"/>
  <c r="Y15" i="4"/>
  <c r="X15" i="4"/>
  <c r="W15" i="4"/>
  <c r="N15" i="4"/>
  <c r="M15" i="4"/>
  <c r="K15" i="4"/>
  <c r="J15" i="4"/>
  <c r="G15" i="4"/>
  <c r="S14" i="4"/>
  <c r="R14" i="4"/>
  <c r="Q14" i="4"/>
  <c r="P14" i="4"/>
  <c r="L14" i="4"/>
  <c r="I14" i="4"/>
  <c r="H14" i="4"/>
  <c r="O14" i="4" s="1"/>
  <c r="S13" i="4"/>
  <c r="R13" i="4"/>
  <c r="Q13" i="4"/>
  <c r="P13" i="4"/>
  <c r="L13" i="4"/>
  <c r="I13" i="4"/>
  <c r="H13" i="4"/>
  <c r="O13" i="4" s="1"/>
  <c r="T12" i="4"/>
  <c r="S12" i="4"/>
  <c r="R12" i="4"/>
  <c r="Q12" i="4"/>
  <c r="P12" i="4"/>
  <c r="L12" i="4"/>
  <c r="I12" i="4"/>
  <c r="H12" i="4"/>
  <c r="U12" i="4" s="1"/>
  <c r="Z12" i="4" s="1"/>
  <c r="S11" i="4"/>
  <c r="R11" i="4"/>
  <c r="Q11" i="4"/>
  <c r="P11" i="4"/>
  <c r="L11" i="4"/>
  <c r="I11" i="4"/>
  <c r="H11" i="4"/>
  <c r="O11" i="4" s="1"/>
  <c r="S10" i="4"/>
  <c r="R10" i="4"/>
  <c r="Q10" i="4"/>
  <c r="P10" i="4"/>
  <c r="L10" i="4"/>
  <c r="I10" i="4"/>
  <c r="H10" i="4"/>
  <c r="O10" i="4" s="1"/>
  <c r="V10" i="4" s="1"/>
  <c r="S9" i="4"/>
  <c r="R9" i="4"/>
  <c r="Q9" i="4"/>
  <c r="P9" i="4"/>
  <c r="L9" i="4"/>
  <c r="I9" i="4"/>
  <c r="H9" i="4"/>
  <c r="O9" i="4" s="1"/>
  <c r="S8" i="4"/>
  <c r="R8" i="4"/>
  <c r="Q8" i="4"/>
  <c r="P8" i="4"/>
  <c r="L8" i="4"/>
  <c r="I8" i="4"/>
  <c r="H8" i="4"/>
  <c r="U8" i="4" s="1"/>
  <c r="S7" i="4"/>
  <c r="R7" i="4"/>
  <c r="Q7" i="4"/>
  <c r="P7" i="4"/>
  <c r="L7" i="4"/>
  <c r="I7" i="4"/>
  <c r="H7" i="4"/>
  <c r="O7" i="4" s="1"/>
  <c r="S6" i="4"/>
  <c r="R6" i="4"/>
  <c r="Q6" i="4"/>
  <c r="P6" i="4"/>
  <c r="L6" i="4"/>
  <c r="I6" i="4"/>
  <c r="H6" i="4"/>
  <c r="U6" i="4" s="1"/>
  <c r="Z6" i="4" s="1"/>
  <c r="S5" i="4"/>
  <c r="R5" i="4"/>
  <c r="Q5" i="4"/>
  <c r="P5" i="4"/>
  <c r="L5" i="4"/>
  <c r="I5" i="4"/>
  <c r="I15" i="4" s="1"/>
  <c r="H5" i="4"/>
  <c r="S4" i="4"/>
  <c r="R4" i="4"/>
  <c r="Q4" i="4"/>
  <c r="P4" i="4"/>
  <c r="L4" i="4"/>
  <c r="I4" i="4"/>
  <c r="H4" i="4"/>
  <c r="O4" i="4" s="1"/>
  <c r="S3" i="4"/>
  <c r="T3" i="4" s="1"/>
  <c r="S2" i="4"/>
  <c r="R2" i="4"/>
  <c r="Q2" i="4"/>
  <c r="P2" i="4"/>
  <c r="L2" i="4"/>
  <c r="I2" i="4"/>
  <c r="H2" i="4"/>
  <c r="U2" i="4" s="1"/>
  <c r="AI26" i="1"/>
  <c r="AI21" i="1"/>
  <c r="AI22" i="1"/>
  <c r="AI23" i="1"/>
  <c r="AI24" i="1"/>
  <c r="AI25" i="1"/>
  <c r="AI27" i="1"/>
  <c r="AI20" i="1"/>
  <c r="Z130" i="8" l="1"/>
  <c r="V59" i="8"/>
  <c r="Z59" i="8" s="1"/>
  <c r="AA59" i="8" s="1"/>
  <c r="Z139" i="8"/>
  <c r="AO43" i="1"/>
  <c r="T36" i="8"/>
  <c r="T62" i="8"/>
  <c r="T97" i="8"/>
  <c r="T121" i="8"/>
  <c r="AA149" i="8"/>
  <c r="T191" i="8"/>
  <c r="T7" i="9"/>
  <c r="T76" i="9"/>
  <c r="T78" i="9"/>
  <c r="AO67" i="1"/>
  <c r="AO42" i="1"/>
  <c r="AO58" i="1"/>
  <c r="T7" i="8"/>
  <c r="T53" i="8"/>
  <c r="T57" i="8"/>
  <c r="T64" i="8"/>
  <c r="T99" i="8"/>
  <c r="T127" i="8"/>
  <c r="T133" i="8"/>
  <c r="T137" i="8"/>
  <c r="T193" i="8"/>
  <c r="T199" i="8"/>
  <c r="T203" i="8"/>
  <c r="T23" i="9"/>
  <c r="AO41" i="1"/>
  <c r="O25" i="7"/>
  <c r="AA25" i="7" s="1"/>
  <c r="O21" i="8"/>
  <c r="O50" i="8"/>
  <c r="V50" i="8" s="1"/>
  <c r="U53" i="8"/>
  <c r="Z53" i="8" s="1"/>
  <c r="AA53" i="8" s="1"/>
  <c r="U55" i="8"/>
  <c r="Z55" i="8" s="1"/>
  <c r="AA55" i="8" s="1"/>
  <c r="U64" i="8"/>
  <c r="Z64" i="8" s="1"/>
  <c r="AA64" i="8" s="1"/>
  <c r="O74" i="8"/>
  <c r="U79" i="8"/>
  <c r="T87" i="8"/>
  <c r="T107" i="8"/>
  <c r="U135" i="8"/>
  <c r="Z135" i="8" s="1"/>
  <c r="AA135" i="8" s="1"/>
  <c r="U137" i="8"/>
  <c r="Z137" i="8" s="1"/>
  <c r="AA137" i="8" s="1"/>
  <c r="T139" i="8"/>
  <c r="T141" i="8"/>
  <c r="O151" i="8"/>
  <c r="AA151" i="8" s="1"/>
  <c r="U156" i="8"/>
  <c r="Z156" i="8" s="1"/>
  <c r="AA156" i="8" s="1"/>
  <c r="O170" i="8"/>
  <c r="O174" i="8"/>
  <c r="O176" i="8"/>
  <c r="O182" i="8"/>
  <c r="U193" i="8"/>
  <c r="U197" i="8"/>
  <c r="Z200" i="8" s="1"/>
  <c r="AA200" i="8" s="1"/>
  <c r="U199" i="8"/>
  <c r="Z202" i="8" s="1"/>
  <c r="U201" i="8"/>
  <c r="U203" i="8"/>
  <c r="T32" i="9"/>
  <c r="T52" i="9"/>
  <c r="O59" i="9"/>
  <c r="AO40" i="1"/>
  <c r="O23" i="7"/>
  <c r="O31" i="8"/>
  <c r="O33" i="8"/>
  <c r="V33" i="8" s="1"/>
  <c r="T115" i="8"/>
  <c r="U119" i="8"/>
  <c r="Z119" i="8" s="1"/>
  <c r="AA119" i="8" s="1"/>
  <c r="U139" i="8"/>
  <c r="T151" i="8"/>
  <c r="T174" i="8"/>
  <c r="T176" i="8"/>
  <c r="Z186" i="8"/>
  <c r="T19" i="9"/>
  <c r="O28" i="9"/>
  <c r="O46" i="9"/>
  <c r="AA46" i="9" s="1"/>
  <c r="O57" i="9"/>
  <c r="V57" i="9" s="1"/>
  <c r="T74" i="9"/>
  <c r="I111" i="9"/>
  <c r="T108" i="9"/>
  <c r="P15" i="4"/>
  <c r="AO39" i="1"/>
  <c r="O21" i="7"/>
  <c r="V21" i="7" s="1"/>
  <c r="T23" i="8"/>
  <c r="T105" i="8"/>
  <c r="T149" i="8"/>
  <c r="T166" i="8"/>
  <c r="T168" i="8"/>
  <c r="T180" i="8"/>
  <c r="T17" i="9"/>
  <c r="L111" i="9"/>
  <c r="AO81" i="1"/>
  <c r="T7" i="4"/>
  <c r="AA41" i="8"/>
  <c r="AA85" i="8"/>
  <c r="AA103" i="8"/>
  <c r="Z128" i="8"/>
  <c r="AA128" i="8" s="1"/>
  <c r="T8" i="9"/>
  <c r="T88" i="9"/>
  <c r="T106" i="9"/>
  <c r="H609" i="5"/>
  <c r="AA8" i="8"/>
  <c r="T17" i="8"/>
  <c r="T21" i="8"/>
  <c r="T50" i="8"/>
  <c r="T61" i="8"/>
  <c r="AO54" i="1"/>
  <c r="AO125" i="1"/>
  <c r="AO126" i="1"/>
  <c r="AO36" i="1"/>
  <c r="AA20" i="8"/>
  <c r="T31" i="8"/>
  <c r="T63" i="8"/>
  <c r="O94" i="8"/>
  <c r="V91" i="8" s="1"/>
  <c r="O102" i="8"/>
  <c r="AA102" i="8" s="1"/>
  <c r="O110" i="8"/>
  <c r="AA110" i="8" s="1"/>
  <c r="O112" i="8"/>
  <c r="AA112" i="8" s="1"/>
  <c r="O114" i="8"/>
  <c r="V114" i="8" s="1"/>
  <c r="Z114" i="8" s="1"/>
  <c r="AA114" i="8" s="1"/>
  <c r="T142" i="8"/>
  <c r="O161" i="8"/>
  <c r="AA161" i="8" s="1"/>
  <c r="T55" i="9"/>
  <c r="T86" i="9"/>
  <c r="R111" i="9"/>
  <c r="AO53" i="1"/>
  <c r="T14" i="4"/>
  <c r="H36" i="7"/>
  <c r="AA12" i="8"/>
  <c r="AA14" i="8"/>
  <c r="AA32" i="8"/>
  <c r="T41" i="8"/>
  <c r="O47" i="8"/>
  <c r="AA47" i="8" s="1"/>
  <c r="O73" i="8"/>
  <c r="V73" i="8" s="1"/>
  <c r="Z73" i="8" s="1"/>
  <c r="O82" i="8"/>
  <c r="T112" i="8"/>
  <c r="O165" i="8"/>
  <c r="AA165" i="8" s="1"/>
  <c r="O167" i="8"/>
  <c r="V167" i="8" s="1"/>
  <c r="Z167" i="8" s="1"/>
  <c r="AA167" i="8" s="1"/>
  <c r="O181" i="8"/>
  <c r="V181" i="8" s="1"/>
  <c r="Z181" i="8" s="1"/>
  <c r="AA181" i="8" s="1"/>
  <c r="AO52" i="1"/>
  <c r="AO77" i="1"/>
  <c r="S204" i="8"/>
  <c r="O8" i="4"/>
  <c r="V8" i="4" s="1"/>
  <c r="AO34" i="1"/>
  <c r="T16" i="7"/>
  <c r="O35" i="7"/>
  <c r="T6" i="8"/>
  <c r="O10" i="8"/>
  <c r="O24" i="8"/>
  <c r="O30" i="8"/>
  <c r="AA30" i="8" s="1"/>
  <c r="T54" i="8"/>
  <c r="T65" i="8"/>
  <c r="U67" i="8"/>
  <c r="Z67" i="8" s="1"/>
  <c r="AA67" i="8" s="1"/>
  <c r="T69" i="8"/>
  <c r="O104" i="8"/>
  <c r="T126" i="8"/>
  <c r="T134" i="8"/>
  <c r="T136" i="8"/>
  <c r="T167" i="8"/>
  <c r="O169" i="8"/>
  <c r="T181" i="8"/>
  <c r="T194" i="8"/>
  <c r="T198" i="8"/>
  <c r="T200" i="8"/>
  <c r="T202" i="8"/>
  <c r="O20" i="9"/>
  <c r="V20" i="9" s="1"/>
  <c r="Z20" i="9" s="1"/>
  <c r="AA20" i="9" s="1"/>
  <c r="AO50" i="1"/>
  <c r="H144" i="6"/>
  <c r="AO102" i="1"/>
  <c r="AO64" i="1"/>
  <c r="T24" i="8"/>
  <c r="T47" i="8"/>
  <c r="U56" i="8"/>
  <c r="Z56" i="8" s="1"/>
  <c r="T58" i="8"/>
  <c r="Z79" i="8"/>
  <c r="T82" i="8"/>
  <c r="T94" i="8"/>
  <c r="T110" i="8"/>
  <c r="T114" i="8"/>
  <c r="T122" i="8"/>
  <c r="AA142" i="8"/>
  <c r="AA158" i="8"/>
  <c r="T13" i="9"/>
  <c r="T38" i="9"/>
  <c r="T49" i="9"/>
  <c r="AO31" i="1"/>
  <c r="AO63" i="1"/>
  <c r="T45" i="8"/>
  <c r="O51" i="8"/>
  <c r="U58" i="8"/>
  <c r="Z81" i="8"/>
  <c r="T84" i="8"/>
  <c r="T86" i="8"/>
  <c r="T165" i="8"/>
  <c r="AA63" i="9"/>
  <c r="AO73" i="1"/>
  <c r="T8" i="4"/>
  <c r="AO30" i="1"/>
  <c r="AO62" i="1"/>
  <c r="O7" i="8"/>
  <c r="T10" i="8"/>
  <c r="T12" i="8"/>
  <c r="T14" i="8"/>
  <c r="T16" i="8"/>
  <c r="U26" i="8"/>
  <c r="Z26" i="8" s="1"/>
  <c r="T30" i="8"/>
  <c r="T32" i="8"/>
  <c r="O40" i="8"/>
  <c r="O68" i="8"/>
  <c r="V68" i="8" s="1"/>
  <c r="Z68" i="8" s="1"/>
  <c r="T75" i="8"/>
  <c r="T104" i="8"/>
  <c r="T146" i="8"/>
  <c r="T150" i="8"/>
  <c r="T152" i="8"/>
  <c r="T169" i="8"/>
  <c r="O187" i="8"/>
  <c r="AA187" i="8" s="1"/>
  <c r="O189" i="8"/>
  <c r="AA189" i="8" s="1"/>
  <c r="O191" i="8"/>
  <c r="O195" i="8"/>
  <c r="T36" i="9"/>
  <c r="T45" i="9"/>
  <c r="T82" i="9"/>
  <c r="AO61" i="1"/>
  <c r="O5" i="8"/>
  <c r="AA5" i="8" s="1"/>
  <c r="O158" i="8"/>
  <c r="O160" i="8"/>
  <c r="V160" i="8" s="1"/>
  <c r="T9" i="9"/>
  <c r="T69" i="9"/>
  <c r="T71" i="9"/>
  <c r="AA174" i="8"/>
  <c r="AA176" i="8"/>
  <c r="AO68" i="1"/>
  <c r="U365" i="5"/>
  <c r="O434" i="5"/>
  <c r="O423" i="5"/>
  <c r="AA423" i="5" s="1"/>
  <c r="O432" i="5"/>
  <c r="O388" i="5"/>
  <c r="V388" i="5" s="1"/>
  <c r="U442" i="5"/>
  <c r="Z442" i="5" s="1"/>
  <c r="AA442" i="5" s="1"/>
  <c r="T391" i="5"/>
  <c r="U470" i="5"/>
  <c r="Z470" i="5" s="1"/>
  <c r="AA470" i="5" s="1"/>
  <c r="O436" i="5"/>
  <c r="AA436" i="5" s="1"/>
  <c r="U572" i="5"/>
  <c r="Z572" i="5" s="1"/>
  <c r="AA572" i="5" s="1"/>
  <c r="U571" i="5"/>
  <c r="Z571" i="5" s="1"/>
  <c r="AA571" i="5" s="1"/>
  <c r="T347" i="5"/>
  <c r="T481" i="5"/>
  <c r="O375" i="5"/>
  <c r="AA375" i="5" s="1"/>
  <c r="O384" i="5"/>
  <c r="AA384" i="5" s="1"/>
  <c r="U433" i="5"/>
  <c r="Z433" i="5" s="1"/>
  <c r="AA433" i="5" s="1"/>
  <c r="T449" i="5"/>
  <c r="Z478" i="5"/>
  <c r="T569" i="5"/>
  <c r="O386" i="5"/>
  <c r="AA386" i="5" s="1"/>
  <c r="O411" i="5"/>
  <c r="V411" i="5" s="1"/>
  <c r="Z411" i="5" s="1"/>
  <c r="U416" i="5"/>
  <c r="Z416" i="5" s="1"/>
  <c r="AA416" i="5" s="1"/>
  <c r="U452" i="5"/>
  <c r="Z452" i="5" s="1"/>
  <c r="AA452" i="5" s="1"/>
  <c r="U484" i="5"/>
  <c r="Z484" i="5" s="1"/>
  <c r="AA484" i="5" s="1"/>
  <c r="O573" i="5"/>
  <c r="V573" i="5" s="1"/>
  <c r="Z573" i="5" s="1"/>
  <c r="AA573" i="5" s="1"/>
  <c r="T567" i="5"/>
  <c r="T335" i="5"/>
  <c r="T479" i="5"/>
  <c r="O354" i="5"/>
  <c r="AA354" i="5" s="1"/>
  <c r="T385" i="5"/>
  <c r="O393" i="5"/>
  <c r="AA393" i="5" s="1"/>
  <c r="O394" i="5"/>
  <c r="AA394" i="5" s="1"/>
  <c r="O395" i="5"/>
  <c r="AA395" i="5" s="1"/>
  <c r="O396" i="5"/>
  <c r="AA396" i="5" s="1"/>
  <c r="O397" i="5"/>
  <c r="T401" i="5"/>
  <c r="O406" i="5"/>
  <c r="AA406" i="5" s="1"/>
  <c r="T418" i="5"/>
  <c r="U421" i="5"/>
  <c r="Z421" i="5" s="1"/>
  <c r="AA421" i="5" s="1"/>
  <c r="T446" i="5"/>
  <c r="U447" i="5"/>
  <c r="Z447" i="5" s="1"/>
  <c r="AA447" i="5" s="1"/>
  <c r="O453" i="5"/>
  <c r="AA453" i="5" s="1"/>
  <c r="O454" i="5"/>
  <c r="AA454" i="5" s="1"/>
  <c r="H485" i="5"/>
  <c r="T570" i="5"/>
  <c r="O438" i="5"/>
  <c r="V438" i="5" s="1"/>
  <c r="Z438" i="5" s="1"/>
  <c r="AA438" i="5" s="1"/>
  <c r="U444" i="5"/>
  <c r="U445" i="5"/>
  <c r="Z445" i="5" s="1"/>
  <c r="AA445" i="5" s="1"/>
  <c r="T457" i="5"/>
  <c r="T346" i="5"/>
  <c r="T13" i="6"/>
  <c r="O6" i="6"/>
  <c r="O7" i="6"/>
  <c r="O8" i="6"/>
  <c r="O123" i="6"/>
  <c r="AA123" i="6" s="1"/>
  <c r="O81" i="6"/>
  <c r="AA81" i="6" s="1"/>
  <c r="T39" i="6"/>
  <c r="O79" i="6"/>
  <c r="AA79" i="6" s="1"/>
  <c r="O36" i="6"/>
  <c r="AA36" i="6" s="1"/>
  <c r="T73" i="6"/>
  <c r="O113" i="6"/>
  <c r="AA113" i="6" s="1"/>
  <c r="T18" i="6"/>
  <c r="T27" i="6"/>
  <c r="T53" i="6"/>
  <c r="T61" i="6"/>
  <c r="T99" i="6"/>
  <c r="O131" i="6"/>
  <c r="AA131" i="6" s="1"/>
  <c r="O32" i="6"/>
  <c r="AA32" i="6" s="1"/>
  <c r="T52" i="6"/>
  <c r="T60" i="6"/>
  <c r="O67" i="6"/>
  <c r="AA67" i="6" s="1"/>
  <c r="T98" i="6"/>
  <c r="O129" i="6"/>
  <c r="AA129" i="6" s="1"/>
  <c r="T24" i="6"/>
  <c r="O91" i="6"/>
  <c r="AA91" i="6" s="1"/>
  <c r="T51" i="6"/>
  <c r="T11" i="6"/>
  <c r="O28" i="6"/>
  <c r="V28" i="6" s="1"/>
  <c r="Z28" i="6" s="1"/>
  <c r="O29" i="6"/>
  <c r="V29" i="6" s="1"/>
  <c r="Z29" i="6" s="1"/>
  <c r="AA29" i="6" s="1"/>
  <c r="T50" i="6"/>
  <c r="T58" i="6"/>
  <c r="O65" i="6"/>
  <c r="T82" i="6"/>
  <c r="T83" i="6"/>
  <c r="T104" i="6"/>
  <c r="T114" i="6"/>
  <c r="T115" i="6"/>
  <c r="T9" i="6"/>
  <c r="O19" i="6"/>
  <c r="O20" i="6"/>
  <c r="AA20" i="6" s="1"/>
  <c r="O21" i="6"/>
  <c r="O22" i="6"/>
  <c r="AA22" i="6" s="1"/>
  <c r="T47" i="6"/>
  <c r="T57" i="6"/>
  <c r="O75" i="6"/>
  <c r="AA75" i="6" s="1"/>
  <c r="O87" i="6"/>
  <c r="AA87" i="6" s="1"/>
  <c r="O99" i="6"/>
  <c r="AA99" i="6" s="1"/>
  <c r="O139" i="6"/>
  <c r="AA139" i="6" s="1"/>
  <c r="T72" i="6"/>
  <c r="U5" i="6"/>
  <c r="T7" i="6"/>
  <c r="T33" i="6"/>
  <c r="O43" i="6"/>
  <c r="AA43" i="6" s="1"/>
  <c r="O44" i="6"/>
  <c r="V44" i="6" s="1"/>
  <c r="Z44" i="6" s="1"/>
  <c r="O97" i="6"/>
  <c r="AA97" i="6" s="1"/>
  <c r="O107" i="6"/>
  <c r="AA107" i="6" s="1"/>
  <c r="T40" i="6"/>
  <c r="T105" i="6"/>
  <c r="T15" i="6"/>
  <c r="T55" i="6"/>
  <c r="T63" i="6"/>
  <c r="R144" i="6"/>
  <c r="T66" i="6"/>
  <c r="T67" i="6"/>
  <c r="T89" i="6"/>
  <c r="O95" i="6"/>
  <c r="AA95" i="6" s="1"/>
  <c r="T130" i="6"/>
  <c r="T131" i="6"/>
  <c r="T59" i="6"/>
  <c r="U16" i="6"/>
  <c r="U17" i="6"/>
  <c r="Z17" i="6" s="1"/>
  <c r="T26" i="6"/>
  <c r="T28" i="6"/>
  <c r="O71" i="6"/>
  <c r="AA71" i="6" s="1"/>
  <c r="O83" i="6"/>
  <c r="AA83" i="6" s="1"/>
  <c r="T88" i="6"/>
  <c r="O115" i="6"/>
  <c r="AA115" i="6" s="1"/>
  <c r="O135" i="6"/>
  <c r="AA135" i="6" s="1"/>
  <c r="O10" i="6"/>
  <c r="O35" i="6"/>
  <c r="AA35" i="6" s="1"/>
  <c r="O48" i="6"/>
  <c r="V41" i="6"/>
  <c r="O9" i="6"/>
  <c r="AA9" i="6" s="1"/>
  <c r="T12" i="6"/>
  <c r="T14" i="6"/>
  <c r="T16" i="6"/>
  <c r="O23" i="6"/>
  <c r="V23" i="6" s="1"/>
  <c r="Z23" i="6" s="1"/>
  <c r="O31" i="6"/>
  <c r="V31" i="6" s="1"/>
  <c r="U33" i="6"/>
  <c r="Z33" i="6" s="1"/>
  <c r="AA33" i="6" s="1"/>
  <c r="U38" i="6"/>
  <c r="U41" i="6"/>
  <c r="T49" i="6"/>
  <c r="U50" i="6"/>
  <c r="Z50" i="6" s="1"/>
  <c r="AA50" i="6" s="1"/>
  <c r="U52" i="6"/>
  <c r="Z52" i="6" s="1"/>
  <c r="AA52" i="6" s="1"/>
  <c r="U54" i="6"/>
  <c r="Z54" i="6" s="1"/>
  <c r="AA54" i="6" s="1"/>
  <c r="U56" i="6"/>
  <c r="Z56" i="6" s="1"/>
  <c r="AA56" i="6" s="1"/>
  <c r="U58" i="6"/>
  <c r="Z58" i="6" s="1"/>
  <c r="AA58" i="6" s="1"/>
  <c r="U60" i="6"/>
  <c r="Z60" i="6" s="1"/>
  <c r="AA60" i="6" s="1"/>
  <c r="U62" i="6"/>
  <c r="Z62" i="6" s="1"/>
  <c r="AA62" i="6" s="1"/>
  <c r="U64" i="6"/>
  <c r="Z64" i="6" s="1"/>
  <c r="AA64" i="6" s="1"/>
  <c r="Q144" i="6"/>
  <c r="T69" i="6"/>
  <c r="O77" i="6"/>
  <c r="AA77" i="6" s="1"/>
  <c r="T84" i="6"/>
  <c r="T85" i="6"/>
  <c r="O93" i="6"/>
  <c r="AA93" i="6" s="1"/>
  <c r="T100" i="6"/>
  <c r="T101" i="6"/>
  <c r="O109" i="6"/>
  <c r="AA109" i="6" s="1"/>
  <c r="T116" i="6"/>
  <c r="T117" i="6"/>
  <c r="O125" i="6"/>
  <c r="AA125" i="6" s="1"/>
  <c r="T132" i="6"/>
  <c r="T133" i="6"/>
  <c r="O141" i="6"/>
  <c r="AA141" i="6" s="1"/>
  <c r="O11" i="6"/>
  <c r="AA11" i="6" s="1"/>
  <c r="U13" i="6"/>
  <c r="Z13" i="6" s="1"/>
  <c r="AA13" i="6" s="1"/>
  <c r="T21" i="6"/>
  <c r="T25" i="6"/>
  <c r="O40" i="6"/>
  <c r="V40" i="6" s="1"/>
  <c r="Z40" i="6" s="1"/>
  <c r="O73" i="6"/>
  <c r="AA73" i="6" s="1"/>
  <c r="T80" i="6"/>
  <c r="T81" i="6"/>
  <c r="O89" i="6"/>
  <c r="AA89" i="6" s="1"/>
  <c r="T96" i="6"/>
  <c r="T97" i="6"/>
  <c r="O105" i="6"/>
  <c r="AA105" i="6" s="1"/>
  <c r="T112" i="6"/>
  <c r="T113" i="6"/>
  <c r="O121" i="6"/>
  <c r="AA121" i="6" s="1"/>
  <c r="T128" i="6"/>
  <c r="T129" i="6"/>
  <c r="O137" i="6"/>
  <c r="AA137" i="6" s="1"/>
  <c r="T8" i="6"/>
  <c r="O14" i="6"/>
  <c r="V14" i="6" s="1"/>
  <c r="Z14" i="6" s="1"/>
  <c r="AA14" i="6" s="1"/>
  <c r="T20" i="6"/>
  <c r="T22" i="6"/>
  <c r="T36" i="6"/>
  <c r="O37" i="6"/>
  <c r="T44" i="6"/>
  <c r="T45" i="6"/>
  <c r="T78" i="6"/>
  <c r="T79" i="6"/>
  <c r="T94" i="6"/>
  <c r="T95" i="6"/>
  <c r="O103" i="6"/>
  <c r="AA103" i="6" s="1"/>
  <c r="T110" i="6"/>
  <c r="T111" i="6"/>
  <c r="O119" i="6"/>
  <c r="AA119" i="6" s="1"/>
  <c r="T126" i="6"/>
  <c r="T127" i="6"/>
  <c r="T142" i="6"/>
  <c r="T143" i="6"/>
  <c r="O12" i="6"/>
  <c r="AA12" i="6" s="1"/>
  <c r="O15" i="6"/>
  <c r="V15" i="6" s="1"/>
  <c r="Z15" i="6" s="1"/>
  <c r="AA15" i="6" s="1"/>
  <c r="T23" i="6"/>
  <c r="O27" i="6"/>
  <c r="V27" i="6" s="1"/>
  <c r="Z27" i="6" s="1"/>
  <c r="AA27" i="6" s="1"/>
  <c r="O34" i="6"/>
  <c r="T46" i="6"/>
  <c r="P48" i="6"/>
  <c r="I144" i="6"/>
  <c r="O69" i="6"/>
  <c r="T76" i="6"/>
  <c r="T77" i="6"/>
  <c r="O85" i="6"/>
  <c r="AA85" i="6" s="1"/>
  <c r="T92" i="6"/>
  <c r="T93" i="6"/>
  <c r="O101" i="6"/>
  <c r="AA101" i="6" s="1"/>
  <c r="T108" i="6"/>
  <c r="T109" i="6"/>
  <c r="O117" i="6"/>
  <c r="AA117" i="6" s="1"/>
  <c r="T124" i="6"/>
  <c r="T125" i="6"/>
  <c r="O133" i="6"/>
  <c r="AA133" i="6" s="1"/>
  <c r="T140" i="6"/>
  <c r="T141" i="6"/>
  <c r="U34" i="6"/>
  <c r="Z34" i="6" s="1"/>
  <c r="AA69" i="6"/>
  <c r="T5" i="6"/>
  <c r="T10" i="6"/>
  <c r="U45" i="6"/>
  <c r="Z45" i="6" s="1"/>
  <c r="AA45" i="6" s="1"/>
  <c r="T74" i="6"/>
  <c r="T75" i="6"/>
  <c r="T90" i="6"/>
  <c r="T91" i="6"/>
  <c r="T106" i="6"/>
  <c r="T107" i="6"/>
  <c r="T122" i="6"/>
  <c r="T123" i="6"/>
  <c r="T138" i="6"/>
  <c r="T139" i="6"/>
  <c r="U25" i="6"/>
  <c r="Z25" i="6" s="1"/>
  <c r="AA25" i="6" s="1"/>
  <c r="T30" i="6"/>
  <c r="T42" i="6"/>
  <c r="S48" i="6"/>
  <c r="T120" i="6"/>
  <c r="T121" i="6"/>
  <c r="T136" i="6"/>
  <c r="T137" i="6"/>
  <c r="P144" i="6"/>
  <c r="T70" i="6"/>
  <c r="T71" i="6"/>
  <c r="T86" i="6"/>
  <c r="T87" i="6"/>
  <c r="T102" i="6"/>
  <c r="T103" i="6"/>
  <c r="O111" i="6"/>
  <c r="AA111" i="6" s="1"/>
  <c r="T118" i="6"/>
  <c r="T119" i="6"/>
  <c r="O127" i="6"/>
  <c r="AA127" i="6" s="1"/>
  <c r="T134" i="6"/>
  <c r="T135" i="6"/>
  <c r="O143" i="6"/>
  <c r="AA143" i="6" s="1"/>
  <c r="AA97" i="9"/>
  <c r="AA28" i="9"/>
  <c r="U34" i="9"/>
  <c r="Z34" i="9" s="1"/>
  <c r="AA34" i="9" s="1"/>
  <c r="AA40" i="9"/>
  <c r="U41" i="9"/>
  <c r="Z41" i="9" s="1"/>
  <c r="AA41" i="9" s="1"/>
  <c r="AA59" i="9"/>
  <c r="T65" i="9"/>
  <c r="U76" i="9"/>
  <c r="Z76" i="9" s="1"/>
  <c r="AA76" i="9" s="1"/>
  <c r="T77" i="9"/>
  <c r="U97" i="9"/>
  <c r="Z97" i="9" s="1"/>
  <c r="T98" i="9"/>
  <c r="T99" i="9"/>
  <c r="U78" i="9"/>
  <c r="Z78" i="9" s="1"/>
  <c r="O6" i="9"/>
  <c r="AA6" i="9" s="1"/>
  <c r="O8" i="9"/>
  <c r="O10" i="9"/>
  <c r="AA10" i="9" s="1"/>
  <c r="T16" i="9"/>
  <c r="T25" i="9"/>
  <c r="T26" i="9"/>
  <c r="T28" i="9"/>
  <c r="O30" i="9"/>
  <c r="V30" i="9" s="1"/>
  <c r="Z30" i="9" s="1"/>
  <c r="O48" i="9"/>
  <c r="AA48" i="9" s="1"/>
  <c r="O50" i="9"/>
  <c r="AA50" i="9" s="1"/>
  <c r="U52" i="9"/>
  <c r="Z52" i="9" s="1"/>
  <c r="AA52" i="9" s="1"/>
  <c r="T61" i="9"/>
  <c r="U67" i="9"/>
  <c r="Z67" i="9" s="1"/>
  <c r="AA67" i="9" s="1"/>
  <c r="O72" i="9"/>
  <c r="U80" i="9"/>
  <c r="Z80" i="9" s="1"/>
  <c r="T81" i="9"/>
  <c r="O95" i="9"/>
  <c r="AA95" i="9" s="1"/>
  <c r="O103" i="9"/>
  <c r="AA103" i="9" s="1"/>
  <c r="P111" i="9"/>
  <c r="O105" i="9"/>
  <c r="O107" i="9"/>
  <c r="U65" i="9"/>
  <c r="Z65" i="9" s="1"/>
  <c r="AA65" i="9" s="1"/>
  <c r="T21" i="9"/>
  <c r="U26" i="9"/>
  <c r="Z26" i="9" s="1"/>
  <c r="AA26" i="9" s="1"/>
  <c r="T27" i="9"/>
  <c r="O37" i="9"/>
  <c r="AA37" i="9" s="1"/>
  <c r="O39" i="9"/>
  <c r="V39" i="9" s="1"/>
  <c r="Z39" i="9" s="1"/>
  <c r="O44" i="9"/>
  <c r="V44" i="9" s="1"/>
  <c r="T53" i="9"/>
  <c r="T60" i="9"/>
  <c r="U82" i="9"/>
  <c r="Z82" i="9" s="1"/>
  <c r="AA82" i="9" s="1"/>
  <c r="T83" i="9"/>
  <c r="T87" i="9"/>
  <c r="O93" i="9"/>
  <c r="V93" i="9" s="1"/>
  <c r="Q111" i="9"/>
  <c r="T105" i="9"/>
  <c r="T107" i="9"/>
  <c r="T109" i="9"/>
  <c r="T110" i="9"/>
  <c r="AA22" i="9"/>
  <c r="T58" i="9"/>
  <c r="U62" i="9"/>
  <c r="Z62" i="9" s="1"/>
  <c r="AA62" i="9" s="1"/>
  <c r="T63" i="9"/>
  <c r="U68" i="9"/>
  <c r="Z68" i="9" s="1"/>
  <c r="U84" i="9"/>
  <c r="Z84" i="9" s="1"/>
  <c r="T85" i="9"/>
  <c r="U88" i="9"/>
  <c r="Z88" i="9" s="1"/>
  <c r="AA88" i="9" s="1"/>
  <c r="T89" i="9"/>
  <c r="O99" i="9"/>
  <c r="T11" i="9"/>
  <c r="T12" i="9"/>
  <c r="T14" i="9"/>
  <c r="AA27" i="9"/>
  <c r="T31" i="9"/>
  <c r="T48" i="9"/>
  <c r="U54" i="9"/>
  <c r="Z54" i="9" s="1"/>
  <c r="U69" i="9"/>
  <c r="Z69" i="9" s="1"/>
  <c r="AA69" i="9" s="1"/>
  <c r="T73" i="9"/>
  <c r="U86" i="9"/>
  <c r="Z86" i="9" s="1"/>
  <c r="AA86" i="9" s="1"/>
  <c r="U90" i="9"/>
  <c r="T91" i="9"/>
  <c r="T93" i="9"/>
  <c r="S111" i="9"/>
  <c r="U29" i="9"/>
  <c r="Z29" i="9" s="1"/>
  <c r="T30" i="9"/>
  <c r="T35" i="9"/>
  <c r="T42" i="9"/>
  <c r="T47" i="9"/>
  <c r="T50" i="9"/>
  <c r="T72" i="9"/>
  <c r="T94" i="9"/>
  <c r="T95" i="9"/>
  <c r="T102" i="9"/>
  <c r="T103" i="9"/>
  <c r="T104" i="9"/>
  <c r="AA8" i="9"/>
  <c r="O22" i="9"/>
  <c r="O24" i="9"/>
  <c r="AA24" i="9" s="1"/>
  <c r="AA29" i="9"/>
  <c r="U32" i="9"/>
  <c r="Z32" i="9" s="1"/>
  <c r="T37" i="9"/>
  <c r="T39" i="9"/>
  <c r="T41" i="9"/>
  <c r="O61" i="9"/>
  <c r="V61" i="9" s="1"/>
  <c r="Z61" i="9" s="1"/>
  <c r="T64" i="9"/>
  <c r="U74" i="9"/>
  <c r="Z74" i="9" s="1"/>
  <c r="AA74" i="9" s="1"/>
  <c r="U92" i="9"/>
  <c r="T96" i="9"/>
  <c r="T97" i="9"/>
  <c r="T100" i="9"/>
  <c r="T101" i="9"/>
  <c r="O110" i="9"/>
  <c r="AA110" i="9" s="1"/>
  <c r="T337" i="5"/>
  <c r="T345" i="5"/>
  <c r="T355" i="5"/>
  <c r="T367" i="5"/>
  <c r="T400" i="5"/>
  <c r="U414" i="5"/>
  <c r="Z414" i="5" s="1"/>
  <c r="AA414" i="5" s="1"/>
  <c r="T440" i="5"/>
  <c r="T458" i="5"/>
  <c r="T470" i="5"/>
  <c r="U472" i="5"/>
  <c r="Z472" i="5" s="1"/>
  <c r="AA472" i="5" s="1"/>
  <c r="T473" i="5"/>
  <c r="T571" i="5"/>
  <c r="O349" i="5"/>
  <c r="V349" i="5" s="1"/>
  <c r="Z349" i="5" s="1"/>
  <c r="AA349" i="5" s="1"/>
  <c r="T353" i="5"/>
  <c r="O359" i="5"/>
  <c r="AA359" i="5" s="1"/>
  <c r="O360" i="5"/>
  <c r="AA360" i="5" s="1"/>
  <c r="O373" i="5"/>
  <c r="V373" i="5" s="1"/>
  <c r="Z373" i="5" s="1"/>
  <c r="T374" i="5"/>
  <c r="T409" i="5"/>
  <c r="T411" i="5"/>
  <c r="T424" i="5"/>
  <c r="O429" i="5"/>
  <c r="AA429" i="5" s="1"/>
  <c r="O462" i="5"/>
  <c r="V462" i="5" s="1"/>
  <c r="T477" i="5"/>
  <c r="O478" i="5"/>
  <c r="O480" i="5"/>
  <c r="AA480" i="5" s="1"/>
  <c r="O481" i="5"/>
  <c r="AA481" i="5" s="1"/>
  <c r="O482" i="5"/>
  <c r="AA482" i="5" s="1"/>
  <c r="T568" i="5"/>
  <c r="T342" i="5"/>
  <c r="O369" i="5"/>
  <c r="AA369" i="5" s="1"/>
  <c r="O370" i="5"/>
  <c r="AA370" i="5" s="1"/>
  <c r="O371" i="5"/>
  <c r="AA371" i="5" s="1"/>
  <c r="T377" i="5"/>
  <c r="T390" i="5"/>
  <c r="O402" i="5"/>
  <c r="V402" i="5" s="1"/>
  <c r="Z402" i="5" s="1"/>
  <c r="O417" i="5"/>
  <c r="V417" i="5" s="1"/>
  <c r="Z417" i="5" s="1"/>
  <c r="O443" i="5"/>
  <c r="O460" i="5"/>
  <c r="AA460" i="5" s="1"/>
  <c r="T463" i="5"/>
  <c r="T341" i="5"/>
  <c r="T362" i="5"/>
  <c r="T376" i="5"/>
  <c r="T427" i="5"/>
  <c r="T431" i="5"/>
  <c r="O473" i="5"/>
  <c r="AA473" i="5" s="1"/>
  <c r="T339" i="5"/>
  <c r="T375" i="5"/>
  <c r="U387" i="5"/>
  <c r="Z387" i="5" s="1"/>
  <c r="AA387" i="5" s="1"/>
  <c r="U405" i="5"/>
  <c r="Z405" i="5" s="1"/>
  <c r="AA405" i="5" s="1"/>
  <c r="U407" i="5"/>
  <c r="T426" i="5"/>
  <c r="O469" i="5"/>
  <c r="AA469" i="5" s="1"/>
  <c r="T476" i="5"/>
  <c r="T565" i="5"/>
  <c r="T566" i="5"/>
  <c r="T338" i="5"/>
  <c r="T348" i="5"/>
  <c r="T359" i="5"/>
  <c r="T360" i="5"/>
  <c r="T417" i="5"/>
  <c r="T410" i="5"/>
  <c r="Z477" i="5"/>
  <c r="AA397" i="5"/>
  <c r="U368" i="5"/>
  <c r="Z368" i="5" s="1"/>
  <c r="AA368" i="5" s="1"/>
  <c r="U566" i="5"/>
  <c r="U567" i="5"/>
  <c r="Z567" i="5" s="1"/>
  <c r="AA567" i="5" s="1"/>
  <c r="U336" i="5"/>
  <c r="Z336" i="5" s="1"/>
  <c r="AA336" i="5" s="1"/>
  <c r="U337" i="5"/>
  <c r="Z337" i="5" s="1"/>
  <c r="AA337" i="5" s="1"/>
  <c r="U342" i="5"/>
  <c r="Z342" i="5" s="1"/>
  <c r="AA342" i="5" s="1"/>
  <c r="T343" i="5"/>
  <c r="T344" i="5"/>
  <c r="T352" i="5"/>
  <c r="O356" i="5"/>
  <c r="V356" i="5" s="1"/>
  <c r="Z356" i="5" s="1"/>
  <c r="O358" i="5"/>
  <c r="AA358" i="5" s="1"/>
  <c r="T368" i="5"/>
  <c r="U377" i="5"/>
  <c r="Z377" i="5" s="1"/>
  <c r="AA377" i="5" s="1"/>
  <c r="T378" i="5"/>
  <c r="O392" i="5"/>
  <c r="V392" i="5" s="1"/>
  <c r="Z392" i="5" s="1"/>
  <c r="O398" i="5"/>
  <c r="V398" i="5" s="1"/>
  <c r="Z398" i="5" s="1"/>
  <c r="AA398" i="5" s="1"/>
  <c r="O399" i="5"/>
  <c r="V399" i="5" s="1"/>
  <c r="Z399" i="5" s="1"/>
  <c r="U403" i="5"/>
  <c r="Z403" i="5" s="1"/>
  <c r="AA403" i="5" s="1"/>
  <c r="O410" i="5"/>
  <c r="AA410" i="5" s="1"/>
  <c r="T420" i="5"/>
  <c r="T433" i="5"/>
  <c r="T434" i="5"/>
  <c r="T444" i="5"/>
  <c r="T448" i="5"/>
  <c r="T450" i="5"/>
  <c r="T451" i="5"/>
  <c r="O455" i="5"/>
  <c r="AA455" i="5" s="1"/>
  <c r="O456" i="5"/>
  <c r="AA456" i="5" s="1"/>
  <c r="T459" i="5"/>
  <c r="O466" i="5"/>
  <c r="AA466" i="5" s="1"/>
  <c r="O467" i="5"/>
  <c r="V467" i="5" s="1"/>
  <c r="Z467" i="5" s="1"/>
  <c r="AA467" i="5" s="1"/>
  <c r="U471" i="5"/>
  <c r="Z471" i="5" s="1"/>
  <c r="AA471" i="5" s="1"/>
  <c r="T472" i="5"/>
  <c r="O477" i="5"/>
  <c r="O483" i="5"/>
  <c r="U338" i="5"/>
  <c r="Z338" i="5" s="1"/>
  <c r="AA338" i="5" s="1"/>
  <c r="U415" i="5"/>
  <c r="Z415" i="5" s="1"/>
  <c r="AA415" i="5" s="1"/>
  <c r="U347" i="5"/>
  <c r="Z347" i="5" s="1"/>
  <c r="AA347" i="5" s="1"/>
  <c r="T349" i="5"/>
  <c r="T350" i="5"/>
  <c r="U353" i="5"/>
  <c r="T354" i="5"/>
  <c r="O361" i="5"/>
  <c r="V361" i="5" s="1"/>
  <c r="Z361" i="5" s="1"/>
  <c r="AA361" i="5" s="1"/>
  <c r="O363" i="5"/>
  <c r="V363" i="5" s="1"/>
  <c r="Z363" i="5" s="1"/>
  <c r="Z365" i="5"/>
  <c r="AA365" i="5" s="1"/>
  <c r="T373" i="5"/>
  <c r="O381" i="5"/>
  <c r="V381" i="5" s="1"/>
  <c r="Z381" i="5" s="1"/>
  <c r="AA381" i="5" s="1"/>
  <c r="O382" i="5"/>
  <c r="AA382" i="5" s="1"/>
  <c r="T388" i="5"/>
  <c r="O401" i="5"/>
  <c r="V401" i="5" s="1"/>
  <c r="Z401" i="5" s="1"/>
  <c r="T406" i="5"/>
  <c r="T408" i="5"/>
  <c r="O412" i="5"/>
  <c r="AA412" i="5" s="1"/>
  <c r="O413" i="5"/>
  <c r="V413" i="5" s="1"/>
  <c r="Z413" i="5" s="1"/>
  <c r="AA413" i="5" s="1"/>
  <c r="O431" i="5"/>
  <c r="V431" i="5" s="1"/>
  <c r="Z431" i="5" s="1"/>
  <c r="O441" i="5"/>
  <c r="V441" i="5" s="1"/>
  <c r="Z441" i="5" s="1"/>
  <c r="AA441" i="5" s="1"/>
  <c r="T453" i="5"/>
  <c r="O457" i="5"/>
  <c r="AA457" i="5" s="1"/>
  <c r="O458" i="5"/>
  <c r="AA458" i="5" s="1"/>
  <c r="T461" i="5"/>
  <c r="T462" i="5"/>
  <c r="T464" i="5"/>
  <c r="T474" i="5"/>
  <c r="O479" i="5"/>
  <c r="AA479" i="5" s="1"/>
  <c r="T572" i="5"/>
  <c r="O341" i="5"/>
  <c r="AA341" i="5" s="1"/>
  <c r="T356" i="5"/>
  <c r="T357" i="5"/>
  <c r="T370" i="5"/>
  <c r="T372" i="5"/>
  <c r="O376" i="5"/>
  <c r="AA376" i="5" s="1"/>
  <c r="T389" i="5"/>
  <c r="U419" i="5"/>
  <c r="Z419" i="5" s="1"/>
  <c r="AA419" i="5" s="1"/>
  <c r="T430" i="5"/>
  <c r="U435" i="5"/>
  <c r="Z435" i="5" s="1"/>
  <c r="AA435" i="5" s="1"/>
  <c r="AA443" i="5"/>
  <c r="U461" i="5"/>
  <c r="Z461" i="5" s="1"/>
  <c r="AA461" i="5" s="1"/>
  <c r="U474" i="5"/>
  <c r="Z474" i="5" s="1"/>
  <c r="AA474" i="5" s="1"/>
  <c r="T484" i="5"/>
  <c r="O565" i="5"/>
  <c r="O568" i="5"/>
  <c r="V568" i="5" s="1"/>
  <c r="Z568" i="5" s="1"/>
  <c r="T340" i="5"/>
  <c r="O343" i="5"/>
  <c r="AA343" i="5" s="1"/>
  <c r="O344" i="5"/>
  <c r="AA344" i="5" s="1"/>
  <c r="T358" i="5"/>
  <c r="O364" i="5"/>
  <c r="V364" i="5" s="1"/>
  <c r="Z364" i="5" s="1"/>
  <c r="AA364" i="5" s="1"/>
  <c r="O378" i="5"/>
  <c r="AA378" i="5" s="1"/>
  <c r="T379" i="5"/>
  <c r="T392" i="5"/>
  <c r="T398" i="5"/>
  <c r="O404" i="5"/>
  <c r="AA404" i="5" s="1"/>
  <c r="O427" i="5"/>
  <c r="AA427" i="5" s="1"/>
  <c r="T429" i="5"/>
  <c r="T437" i="5"/>
  <c r="T438" i="5"/>
  <c r="T439" i="5"/>
  <c r="O449" i="5"/>
  <c r="AA449" i="5" s="1"/>
  <c r="O451" i="5"/>
  <c r="AA451" i="5" s="1"/>
  <c r="T455" i="5"/>
  <c r="O459" i="5"/>
  <c r="V459" i="5" s="1"/>
  <c r="Z459" i="5" s="1"/>
  <c r="AA459" i="5" s="1"/>
  <c r="T465" i="5"/>
  <c r="T466" i="5"/>
  <c r="T467" i="5"/>
  <c r="T468" i="5"/>
  <c r="T469" i="5"/>
  <c r="U475" i="5"/>
  <c r="Z475" i="5" s="1"/>
  <c r="AA475" i="5" s="1"/>
  <c r="T483" i="5"/>
  <c r="O345" i="5"/>
  <c r="Z388" i="5"/>
  <c r="AA388" i="5" s="1"/>
  <c r="AA434" i="5"/>
  <c r="U437" i="5"/>
  <c r="Z437" i="5" s="1"/>
  <c r="AA437" i="5" s="1"/>
  <c r="Z462" i="5"/>
  <c r="AA462" i="5" s="1"/>
  <c r="U464" i="5"/>
  <c r="Z464" i="5" s="1"/>
  <c r="AA464" i="5" s="1"/>
  <c r="U468" i="5"/>
  <c r="Z468" i="5" s="1"/>
  <c r="AA468" i="5" s="1"/>
  <c r="T336" i="5"/>
  <c r="T361" i="5"/>
  <c r="T363" i="5"/>
  <c r="T366" i="5"/>
  <c r="T380" i="5"/>
  <c r="T381" i="5"/>
  <c r="T382" i="5"/>
  <c r="T383" i="5"/>
  <c r="T422" i="5"/>
  <c r="T423" i="5"/>
  <c r="T425" i="5"/>
  <c r="T432" i="5"/>
  <c r="T573" i="5"/>
  <c r="T351" i="5"/>
  <c r="T395" i="5"/>
  <c r="T404" i="5"/>
  <c r="T415" i="5"/>
  <c r="T421" i="5"/>
  <c r="T428" i="5"/>
  <c r="T480" i="5"/>
  <c r="V352" i="5"/>
  <c r="V348" i="5"/>
  <c r="V355" i="5"/>
  <c r="V357" i="5"/>
  <c r="V374" i="5"/>
  <c r="V362" i="5"/>
  <c r="I485" i="5"/>
  <c r="U335" i="5"/>
  <c r="O340" i="5"/>
  <c r="U346" i="5"/>
  <c r="Z346" i="5" s="1"/>
  <c r="AA346" i="5" s="1"/>
  <c r="U348" i="5"/>
  <c r="O351" i="5"/>
  <c r="AA351" i="5" s="1"/>
  <c r="V353" i="5"/>
  <c r="U355" i="5"/>
  <c r="U362" i="5"/>
  <c r="U374" i="5"/>
  <c r="O379" i="5"/>
  <c r="AA379" i="5" s="1"/>
  <c r="T386" i="5"/>
  <c r="T393" i="5"/>
  <c r="T396" i="5"/>
  <c r="T403" i="5"/>
  <c r="V407" i="5"/>
  <c r="T412" i="5"/>
  <c r="T419" i="5"/>
  <c r="O424" i="5"/>
  <c r="U424" i="5"/>
  <c r="Z424" i="5" s="1"/>
  <c r="T452" i="5"/>
  <c r="T482" i="5"/>
  <c r="L485" i="5"/>
  <c r="T365" i="5"/>
  <c r="U389" i="5"/>
  <c r="Z389" i="5" s="1"/>
  <c r="AA389" i="5" s="1"/>
  <c r="U408" i="5"/>
  <c r="Z408" i="5" s="1"/>
  <c r="AA408" i="5" s="1"/>
  <c r="O439" i="5"/>
  <c r="U439" i="5"/>
  <c r="V450" i="5"/>
  <c r="O463" i="5"/>
  <c r="U463" i="5"/>
  <c r="Z463" i="5" s="1"/>
  <c r="O335" i="5"/>
  <c r="U339" i="5"/>
  <c r="Z339" i="5" s="1"/>
  <c r="AA339" i="5" s="1"/>
  <c r="U350" i="5"/>
  <c r="Z350" i="5" s="1"/>
  <c r="AA350" i="5" s="1"/>
  <c r="U352" i="5"/>
  <c r="U357" i="5"/>
  <c r="O385" i="5"/>
  <c r="U390" i="5"/>
  <c r="Z390" i="5" s="1"/>
  <c r="AA390" i="5" s="1"/>
  <c r="T397" i="5"/>
  <c r="U400" i="5"/>
  <c r="Z400" i="5" s="1"/>
  <c r="AA400" i="5" s="1"/>
  <c r="U409" i="5"/>
  <c r="Z409" i="5" s="1"/>
  <c r="AA409" i="5" s="1"/>
  <c r="T413" i="5"/>
  <c r="O426" i="5"/>
  <c r="U426" i="5"/>
  <c r="Z426" i="5" s="1"/>
  <c r="T441" i="5"/>
  <c r="V465" i="5"/>
  <c r="O476" i="5"/>
  <c r="U476" i="5"/>
  <c r="V444" i="5"/>
  <c r="P485" i="5"/>
  <c r="O367" i="5"/>
  <c r="AA367" i="5" s="1"/>
  <c r="O372" i="5"/>
  <c r="O380" i="5"/>
  <c r="AA380" i="5" s="1"/>
  <c r="T384" i="5"/>
  <c r="T387" i="5"/>
  <c r="U391" i="5"/>
  <c r="Z391" i="5" s="1"/>
  <c r="AA391" i="5" s="1"/>
  <c r="T394" i="5"/>
  <c r="T405" i="5"/>
  <c r="T414" i="5"/>
  <c r="U418" i="5"/>
  <c r="Z418" i="5" s="1"/>
  <c r="AA418" i="5" s="1"/>
  <c r="O425" i="5"/>
  <c r="AA425" i="5" s="1"/>
  <c r="T435" i="5"/>
  <c r="T436" i="5"/>
  <c r="T442" i="5"/>
  <c r="T443" i="5"/>
  <c r="T445" i="5"/>
  <c r="T447" i="5"/>
  <c r="T454" i="5"/>
  <c r="T460" i="5"/>
  <c r="T471" i="5"/>
  <c r="T478" i="5"/>
  <c r="Q485" i="5"/>
  <c r="T371" i="5"/>
  <c r="O383" i="5"/>
  <c r="AA383" i="5" s="1"/>
  <c r="U420" i="5"/>
  <c r="Z420" i="5" s="1"/>
  <c r="AA420" i="5" s="1"/>
  <c r="O428" i="5"/>
  <c r="U428" i="5"/>
  <c r="Z428" i="5" s="1"/>
  <c r="AA432" i="5"/>
  <c r="O440" i="5"/>
  <c r="Z483" i="5"/>
  <c r="R485" i="5"/>
  <c r="U366" i="5"/>
  <c r="Z366" i="5" s="1"/>
  <c r="AA366" i="5" s="1"/>
  <c r="O446" i="5"/>
  <c r="U446" i="5"/>
  <c r="Z446" i="5" s="1"/>
  <c r="S485" i="5"/>
  <c r="T364" i="5"/>
  <c r="T369" i="5"/>
  <c r="T399" i="5"/>
  <c r="T402" i="5"/>
  <c r="T407" i="5"/>
  <c r="T416" i="5"/>
  <c r="O422" i="5"/>
  <c r="U422" i="5"/>
  <c r="Z422" i="5" s="1"/>
  <c r="O430" i="5"/>
  <c r="U430" i="5"/>
  <c r="T456" i="5"/>
  <c r="T475" i="5"/>
  <c r="U448" i="5"/>
  <c r="Z448" i="5" s="1"/>
  <c r="AA448" i="5" s="1"/>
  <c r="U450" i="5"/>
  <c r="U465" i="5"/>
  <c r="O21" i="9"/>
  <c r="U21" i="9"/>
  <c r="Z21" i="9" s="1"/>
  <c r="T6" i="9"/>
  <c r="T15" i="9"/>
  <c r="T22" i="9"/>
  <c r="T24" i="9"/>
  <c r="T51" i="9"/>
  <c r="O58" i="9"/>
  <c r="U58" i="9"/>
  <c r="Z58" i="9" s="1"/>
  <c r="T66" i="9"/>
  <c r="T75" i="9"/>
  <c r="V92" i="9"/>
  <c r="V70" i="9"/>
  <c r="Z70" i="9" s="1"/>
  <c r="AA70" i="9" s="1"/>
  <c r="O111" i="9"/>
  <c r="T5" i="9"/>
  <c r="T10" i="9"/>
  <c r="V15" i="9"/>
  <c r="AA18" i="9"/>
  <c r="O23" i="9"/>
  <c r="U23" i="9"/>
  <c r="Z23" i="9" s="1"/>
  <c r="T33" i="9"/>
  <c r="AA51" i="9"/>
  <c r="Z57" i="9"/>
  <c r="AA57" i="9" s="1"/>
  <c r="T62" i="9"/>
  <c r="AA64" i="9"/>
  <c r="AA78" i="9"/>
  <c r="T79" i="9"/>
  <c r="AA91" i="9"/>
  <c r="O5" i="9"/>
  <c r="U5" i="9"/>
  <c r="O25" i="9"/>
  <c r="U25" i="9"/>
  <c r="AA32" i="9"/>
  <c r="U43" i="9"/>
  <c r="Z43" i="9" s="1"/>
  <c r="AA43" i="9" s="1"/>
  <c r="T44" i="9"/>
  <c r="T68" i="9"/>
  <c r="AA80" i="9"/>
  <c r="O7" i="9"/>
  <c r="AA7" i="9" s="1"/>
  <c r="U7" i="9"/>
  <c r="Z7" i="9" s="1"/>
  <c r="AA30" i="9"/>
  <c r="V42" i="9"/>
  <c r="T46" i="9"/>
  <c r="Z93" i="9"/>
  <c r="AA93" i="9" s="1"/>
  <c r="AA101" i="9"/>
  <c r="AA105" i="9"/>
  <c r="AA107" i="9"/>
  <c r="O9" i="9"/>
  <c r="AA9" i="9" s="1"/>
  <c r="U9" i="9"/>
  <c r="Z9" i="9" s="1"/>
  <c r="V36" i="9"/>
  <c r="U36" i="9"/>
  <c r="O45" i="9"/>
  <c r="U45" i="9"/>
  <c r="Z45" i="9" s="1"/>
  <c r="V53" i="9"/>
  <c r="Z53" i="9" s="1"/>
  <c r="AA53" i="9" s="1"/>
  <c r="AA54" i="9"/>
  <c r="T70" i="9"/>
  <c r="AA84" i="9"/>
  <c r="AA99" i="9"/>
  <c r="O11" i="9"/>
  <c r="U11" i="9"/>
  <c r="Z11" i="9" s="1"/>
  <c r="U17" i="9"/>
  <c r="Z17" i="9" s="1"/>
  <c r="AA17" i="9" s="1"/>
  <c r="T18" i="9"/>
  <c r="V35" i="9"/>
  <c r="O47" i="9"/>
  <c r="U47" i="9"/>
  <c r="Z47" i="9" s="1"/>
  <c r="U56" i="9"/>
  <c r="Z56" i="9" s="1"/>
  <c r="AA56" i="9" s="1"/>
  <c r="T57" i="9"/>
  <c r="T59" i="9"/>
  <c r="V90" i="9"/>
  <c r="Z90" i="9" s="1"/>
  <c r="AA90" i="9"/>
  <c r="O60" i="9"/>
  <c r="U60" i="9"/>
  <c r="Z60" i="9" s="1"/>
  <c r="O13" i="9"/>
  <c r="U13" i="9"/>
  <c r="AA19" i="9"/>
  <c r="U19" i="9"/>
  <c r="Z19" i="9" s="1"/>
  <c r="T20" i="9"/>
  <c r="T29" i="9"/>
  <c r="O38" i="9"/>
  <c r="U38" i="9"/>
  <c r="Z38" i="9" s="1"/>
  <c r="T40" i="9"/>
  <c r="Z44" i="9"/>
  <c r="AA44" i="9" s="1"/>
  <c r="O49" i="9"/>
  <c r="U49" i="9"/>
  <c r="V55" i="9"/>
  <c r="AA68" i="9"/>
  <c r="O71" i="9"/>
  <c r="U71" i="9"/>
  <c r="V85" i="9"/>
  <c r="AA89" i="9"/>
  <c r="U104" i="9"/>
  <c r="U106" i="9"/>
  <c r="Z106" i="9" s="1"/>
  <c r="AA106" i="9" s="1"/>
  <c r="U108" i="9"/>
  <c r="Z108" i="9" s="1"/>
  <c r="AA108" i="9" s="1"/>
  <c r="U15" i="9"/>
  <c r="U94" i="9"/>
  <c r="Z94" i="9" s="1"/>
  <c r="AA94" i="9" s="1"/>
  <c r="U96" i="9"/>
  <c r="Z96" i="9" s="1"/>
  <c r="AA96" i="9" s="1"/>
  <c r="U98" i="9"/>
  <c r="Z98" i="9" s="1"/>
  <c r="AA98" i="9" s="1"/>
  <c r="U100" i="9"/>
  <c r="Z100" i="9" s="1"/>
  <c r="AA100" i="9" s="1"/>
  <c r="U102" i="9"/>
  <c r="Z102" i="9" s="1"/>
  <c r="AA102" i="9" s="1"/>
  <c r="U31" i="9"/>
  <c r="Z31" i="9" s="1"/>
  <c r="AA31" i="9" s="1"/>
  <c r="U33" i="9"/>
  <c r="Z33" i="9" s="1"/>
  <c r="AA33" i="9" s="1"/>
  <c r="U35" i="9"/>
  <c r="U42" i="9"/>
  <c r="U55" i="9"/>
  <c r="U66" i="9"/>
  <c r="Z66" i="9" s="1"/>
  <c r="AA66" i="9" s="1"/>
  <c r="U73" i="9"/>
  <c r="Z73" i="9" s="1"/>
  <c r="AA73" i="9" s="1"/>
  <c r="U75" i="9"/>
  <c r="Z75" i="9" s="1"/>
  <c r="AA75" i="9" s="1"/>
  <c r="U77" i="9"/>
  <c r="Z77" i="9" s="1"/>
  <c r="AA77" i="9" s="1"/>
  <c r="U79" i="9"/>
  <c r="Z79" i="9" s="1"/>
  <c r="AA79" i="9" s="1"/>
  <c r="U81" i="9"/>
  <c r="Z81" i="9" s="1"/>
  <c r="AA81" i="9" s="1"/>
  <c r="U83" i="9"/>
  <c r="Z83" i="9" s="1"/>
  <c r="AA83" i="9" s="1"/>
  <c r="U85" i="9"/>
  <c r="U87" i="9"/>
  <c r="Z87" i="9" s="1"/>
  <c r="AA87" i="9" s="1"/>
  <c r="U89" i="9"/>
  <c r="Z89" i="9" s="1"/>
  <c r="AA26" i="8"/>
  <c r="AA9" i="8"/>
  <c r="V16" i="8"/>
  <c r="Z16" i="8" s="1"/>
  <c r="AA16" i="8" s="1"/>
  <c r="AA24" i="8"/>
  <c r="AA21" i="8"/>
  <c r="AA22" i="8"/>
  <c r="V43" i="8"/>
  <c r="V6" i="8"/>
  <c r="V70" i="8"/>
  <c r="T4" i="8"/>
  <c r="U11" i="8"/>
  <c r="Z11" i="8" s="1"/>
  <c r="AA11" i="8" s="1"/>
  <c r="T22" i="8"/>
  <c r="U43" i="8"/>
  <c r="R204" i="8"/>
  <c r="AA18" i="8"/>
  <c r="T33" i="8"/>
  <c r="U36" i="8"/>
  <c r="Z36" i="8" s="1"/>
  <c r="AA36" i="8" s="1"/>
  <c r="V38" i="8"/>
  <c r="Z38" i="8" s="1"/>
  <c r="AA38" i="8" s="1"/>
  <c r="U45" i="8"/>
  <c r="Z45" i="8" s="1"/>
  <c r="AA45" i="8" s="1"/>
  <c r="AA56" i="8"/>
  <c r="AA68" i="8"/>
  <c r="V75" i="8"/>
  <c r="Z75" i="8" s="1"/>
  <c r="AA75" i="8" s="1"/>
  <c r="T89" i="8"/>
  <c r="U101" i="8"/>
  <c r="O101" i="8"/>
  <c r="V162" i="8"/>
  <c r="Z162" i="8" s="1"/>
  <c r="AA162" i="8" s="1"/>
  <c r="T177" i="8"/>
  <c r="U15" i="8"/>
  <c r="Z15" i="8" s="1"/>
  <c r="AA15" i="8" s="1"/>
  <c r="U91" i="8"/>
  <c r="Z91" i="8" s="1"/>
  <c r="AA91" i="8" s="1"/>
  <c r="I204" i="8"/>
  <c r="U4" i="8"/>
  <c r="U6" i="8"/>
  <c r="U17" i="8"/>
  <c r="Z17" i="8" s="1"/>
  <c r="AA17" i="8" s="1"/>
  <c r="V22" i="8"/>
  <c r="Z22" i="8" s="1"/>
  <c r="U34" i="8"/>
  <c r="Z34" i="8" s="1"/>
  <c r="AA34" i="8" s="1"/>
  <c r="AA42" i="8"/>
  <c r="Z58" i="8"/>
  <c r="AA58" i="8" s="1"/>
  <c r="T67" i="8"/>
  <c r="V69" i="8"/>
  <c r="Z69" i="8" s="1"/>
  <c r="AA69" i="8" s="1"/>
  <c r="U70" i="8"/>
  <c r="AA73" i="8"/>
  <c r="V120" i="8"/>
  <c r="U120" i="8"/>
  <c r="O159" i="8"/>
  <c r="AA159" i="8" s="1"/>
  <c r="U159" i="8"/>
  <c r="Z159" i="8" s="1"/>
  <c r="Z160" i="8"/>
  <c r="AA160" i="8" s="1"/>
  <c r="V195" i="8"/>
  <c r="Z198" i="8" s="1"/>
  <c r="AA198" i="8" s="1"/>
  <c r="U13" i="8"/>
  <c r="Z13" i="8" s="1"/>
  <c r="AA13" i="8" s="1"/>
  <c r="V100" i="8"/>
  <c r="Z100" i="8" s="1"/>
  <c r="AA100" i="8" s="1"/>
  <c r="L204" i="8"/>
  <c r="O19" i="8"/>
  <c r="AA19" i="8" s="1"/>
  <c r="T20" i="8"/>
  <c r="AA25" i="8"/>
  <c r="U25" i="8"/>
  <c r="Z25" i="8" s="1"/>
  <c r="T35" i="8"/>
  <c r="O37" i="8"/>
  <c r="T44" i="8"/>
  <c r="O46" i="8"/>
  <c r="O49" i="8"/>
  <c r="AA49" i="8" s="1"/>
  <c r="Z50" i="8"/>
  <c r="AA50" i="8" s="1"/>
  <c r="O54" i="8"/>
  <c r="AA54" i="8" s="1"/>
  <c r="U54" i="8"/>
  <c r="Z54" i="8" s="1"/>
  <c r="T55" i="8"/>
  <c r="T71" i="8"/>
  <c r="T79" i="8"/>
  <c r="O81" i="8"/>
  <c r="AA81" i="8" s="1"/>
  <c r="U86" i="8"/>
  <c r="Z86" i="8" s="1"/>
  <c r="O86" i="8"/>
  <c r="AA86" i="8" s="1"/>
  <c r="AA87" i="8"/>
  <c r="O202" i="8"/>
  <c r="U202" i="8"/>
  <c r="AA51" i="8"/>
  <c r="O65" i="8"/>
  <c r="U65" i="8"/>
  <c r="T40" i="8"/>
  <c r="AA80" i="8"/>
  <c r="O28" i="8"/>
  <c r="T51" i="8"/>
  <c r="O66" i="8"/>
  <c r="AA66" i="8" s="1"/>
  <c r="T96" i="8"/>
  <c r="U125" i="8"/>
  <c r="Z125" i="8" s="1"/>
  <c r="AA125" i="8" s="1"/>
  <c r="AA164" i="8"/>
  <c r="O185" i="8"/>
  <c r="U185" i="8"/>
  <c r="O175" i="8"/>
  <c r="AA175" i="8" s="1"/>
  <c r="U175" i="8"/>
  <c r="Z175" i="8" s="1"/>
  <c r="AA48" i="8"/>
  <c r="V52" i="8"/>
  <c r="Z52" i="8" s="1"/>
  <c r="AA52" i="8" s="1"/>
  <c r="AA60" i="8"/>
  <c r="O77" i="8"/>
  <c r="U77" i="8"/>
  <c r="P204" i="8"/>
  <c r="U23" i="8"/>
  <c r="V31" i="8"/>
  <c r="Z31" i="8" s="1"/>
  <c r="AA31" i="8" s="1"/>
  <c r="AA40" i="8"/>
  <c r="AA62" i="8"/>
  <c r="V74" i="8"/>
  <c r="Z74" i="8" s="1"/>
  <c r="AA74" i="8" s="1"/>
  <c r="AA79" i="8"/>
  <c r="V123" i="8"/>
  <c r="Z123" i="8" s="1"/>
  <c r="AA123" i="8" s="1"/>
  <c r="AA148" i="8"/>
  <c r="V148" i="8"/>
  <c r="Z148" i="8" s="1"/>
  <c r="U148" i="8"/>
  <c r="V163" i="8"/>
  <c r="U192" i="8"/>
  <c r="U27" i="8"/>
  <c r="Z27" i="8" s="1"/>
  <c r="AA27" i="8" s="1"/>
  <c r="Z33" i="8"/>
  <c r="AA33" i="8" s="1"/>
  <c r="O84" i="8"/>
  <c r="U84" i="8"/>
  <c r="Z84" i="8" s="1"/>
  <c r="AA169" i="8"/>
  <c r="H204" i="8"/>
  <c r="O90" i="8"/>
  <c r="U90" i="8"/>
  <c r="Z90" i="8" s="1"/>
  <c r="T182" i="8"/>
  <c r="Q204" i="8"/>
  <c r="V23" i="8"/>
  <c r="T42" i="8"/>
  <c r="V63" i="8"/>
  <c r="Z63" i="8" s="1"/>
  <c r="AA63" i="8" s="1"/>
  <c r="O72" i="8"/>
  <c r="U72" i="8"/>
  <c r="T76" i="8"/>
  <c r="V82" i="8"/>
  <c r="Z82" i="8" s="1"/>
  <c r="AA82" i="8" s="1"/>
  <c r="O97" i="8"/>
  <c r="U97" i="8"/>
  <c r="Z97" i="8" s="1"/>
  <c r="AA98" i="8"/>
  <c r="U98" i="8"/>
  <c r="Z98" i="8" s="1"/>
  <c r="U132" i="8"/>
  <c r="Z132" i="8" s="1"/>
  <c r="AA132" i="8" s="1"/>
  <c r="V184" i="8"/>
  <c r="Z184" i="8" s="1"/>
  <c r="AA184" i="8" s="1"/>
  <c r="V192" i="8"/>
  <c r="O93" i="8"/>
  <c r="U93" i="8"/>
  <c r="V95" i="8"/>
  <c r="Z95" i="8" s="1"/>
  <c r="AA95" i="8" s="1"/>
  <c r="U109" i="8"/>
  <c r="Z109" i="8" s="1"/>
  <c r="AA109" i="8" s="1"/>
  <c r="O113" i="8"/>
  <c r="U113" i="8"/>
  <c r="O129" i="8"/>
  <c r="U129" i="8"/>
  <c r="T131" i="8"/>
  <c r="O157" i="8"/>
  <c r="U157" i="8"/>
  <c r="Z157" i="8" s="1"/>
  <c r="O196" i="8"/>
  <c r="U196" i="8"/>
  <c r="Z199" i="8" s="1"/>
  <c r="T106" i="8"/>
  <c r="T117" i="8"/>
  <c r="AA130" i="8"/>
  <c r="O138" i="8"/>
  <c r="U138" i="8"/>
  <c r="T140" i="8"/>
  <c r="U144" i="8"/>
  <c r="Z144" i="8" s="1"/>
  <c r="AA144" i="8" s="1"/>
  <c r="U155" i="8"/>
  <c r="AA168" i="8"/>
  <c r="T170" i="8"/>
  <c r="T187" i="8"/>
  <c r="O198" i="8"/>
  <c r="U198" i="8"/>
  <c r="Z201" i="8" s="1"/>
  <c r="T92" i="8"/>
  <c r="T95" i="8"/>
  <c r="O99" i="8"/>
  <c r="U99" i="8"/>
  <c r="T102" i="8"/>
  <c r="U105" i="8"/>
  <c r="Z105" i="8" s="1"/>
  <c r="AA105" i="8" s="1"/>
  <c r="V111" i="8"/>
  <c r="Z111" i="8" s="1"/>
  <c r="AA111" i="8" s="1"/>
  <c r="U111" i="8"/>
  <c r="AA116" i="8"/>
  <c r="U116" i="8"/>
  <c r="Z116" i="8" s="1"/>
  <c r="U127" i="8"/>
  <c r="Z127" i="8" s="1"/>
  <c r="AA127" i="8" s="1"/>
  <c r="T128" i="8"/>
  <c r="U134" i="8"/>
  <c r="Z134" i="8" s="1"/>
  <c r="AA134" i="8" s="1"/>
  <c r="T135" i="8"/>
  <c r="T145" i="8"/>
  <c r="Z155" i="8"/>
  <c r="AA155" i="8" s="1"/>
  <c r="T156" i="8"/>
  <c r="T161" i="8"/>
  <c r="V166" i="8"/>
  <c r="U166" i="8"/>
  <c r="T172" i="8"/>
  <c r="O177" i="8"/>
  <c r="U177" i="8"/>
  <c r="T179" i="8"/>
  <c r="U183" i="8"/>
  <c r="AA186" i="8"/>
  <c r="AA191" i="8"/>
  <c r="V104" i="8"/>
  <c r="Z104" i="8" s="1"/>
  <c r="AA104" i="8" s="1"/>
  <c r="T108" i="8"/>
  <c r="O150" i="8"/>
  <c r="U150" i="8"/>
  <c r="Z150" i="8" s="1"/>
  <c r="U171" i="8"/>
  <c r="Z171" i="8" s="1"/>
  <c r="AA171" i="8" s="1"/>
  <c r="V183" i="8"/>
  <c r="Z183" i="8" s="1"/>
  <c r="AA183" i="8" s="1"/>
  <c r="T184" i="8"/>
  <c r="U188" i="8"/>
  <c r="T189" i="8"/>
  <c r="T195" i="8"/>
  <c r="T201" i="8"/>
  <c r="O88" i="8"/>
  <c r="U88" i="8"/>
  <c r="Z88" i="8" s="1"/>
  <c r="T103" i="8"/>
  <c r="U107" i="8"/>
  <c r="Z107" i="8" s="1"/>
  <c r="AA107" i="8" s="1"/>
  <c r="O121" i="8"/>
  <c r="AA121" i="8" s="1"/>
  <c r="O122" i="8"/>
  <c r="U122" i="8"/>
  <c r="AA139" i="8"/>
  <c r="Z140" i="8"/>
  <c r="AA140" i="8" s="1"/>
  <c r="V141" i="8"/>
  <c r="U141" i="8"/>
  <c r="T163" i="8"/>
  <c r="AA182" i="8"/>
  <c r="V193" i="8"/>
  <c r="O194" i="8"/>
  <c r="V194" i="8" s="1"/>
  <c r="U194" i="8"/>
  <c r="AA202" i="8"/>
  <c r="O200" i="8"/>
  <c r="U200" i="8"/>
  <c r="Z203" i="8" s="1"/>
  <c r="U89" i="8"/>
  <c r="Z89" i="8" s="1"/>
  <c r="AA89" i="8" s="1"/>
  <c r="U96" i="8"/>
  <c r="Z96" i="8" s="1"/>
  <c r="AA96" i="8" s="1"/>
  <c r="AA118" i="8"/>
  <c r="U118" i="8"/>
  <c r="Z118" i="8" s="1"/>
  <c r="T119" i="8"/>
  <c r="U136" i="8"/>
  <c r="Z136" i="8" s="1"/>
  <c r="AA136" i="8" s="1"/>
  <c r="U146" i="8"/>
  <c r="Z146" i="8" s="1"/>
  <c r="AA146" i="8" s="1"/>
  <c r="O152" i="8"/>
  <c r="U152" i="8"/>
  <c r="V173" i="8"/>
  <c r="U173" i="8"/>
  <c r="AA178" i="8"/>
  <c r="V180" i="8"/>
  <c r="Z180" i="8" s="1"/>
  <c r="AA180" i="8" s="1"/>
  <c r="U180" i="8"/>
  <c r="U190" i="8"/>
  <c r="Z190" i="8" s="1"/>
  <c r="AA190" i="8" s="1"/>
  <c r="T197" i="8"/>
  <c r="U106" i="8"/>
  <c r="Z106" i="8" s="1"/>
  <c r="AA106" i="8" s="1"/>
  <c r="U108" i="8"/>
  <c r="Z108" i="8" s="1"/>
  <c r="AA108" i="8" s="1"/>
  <c r="U115" i="8"/>
  <c r="Z115" i="8" s="1"/>
  <c r="AA115" i="8" s="1"/>
  <c r="U117" i="8"/>
  <c r="Z117" i="8" s="1"/>
  <c r="AA117" i="8" s="1"/>
  <c r="U124" i="8"/>
  <c r="Z124" i="8" s="1"/>
  <c r="AA124" i="8" s="1"/>
  <c r="U126" i="8"/>
  <c r="Z126" i="8" s="1"/>
  <c r="AA126" i="8" s="1"/>
  <c r="U131" i="8"/>
  <c r="Z131" i="8" s="1"/>
  <c r="AA131" i="8" s="1"/>
  <c r="U133" i="8"/>
  <c r="Z133" i="8" s="1"/>
  <c r="AA133" i="8" s="1"/>
  <c r="U140" i="8"/>
  <c r="V143" i="8"/>
  <c r="Z143" i="8" s="1"/>
  <c r="AA143" i="8" s="1"/>
  <c r="V154" i="8"/>
  <c r="Z154" i="8" s="1"/>
  <c r="AA154" i="8" s="1"/>
  <c r="U163" i="8"/>
  <c r="V170" i="8"/>
  <c r="Z170" i="8" s="1"/>
  <c r="AA170" i="8" s="1"/>
  <c r="U172" i="8"/>
  <c r="Z172" i="8" s="1"/>
  <c r="AA172" i="8" s="1"/>
  <c r="U179" i="8"/>
  <c r="Z179" i="8" s="1"/>
  <c r="AA179" i="8" s="1"/>
  <c r="V182" i="8"/>
  <c r="Z182" i="8" s="1"/>
  <c r="T8" i="7"/>
  <c r="U9" i="7"/>
  <c r="Z9" i="7" s="1"/>
  <c r="T11" i="7"/>
  <c r="T6" i="7"/>
  <c r="Q36" i="7"/>
  <c r="T26" i="7"/>
  <c r="T18" i="7"/>
  <c r="O20" i="7"/>
  <c r="V20" i="7" s="1"/>
  <c r="O31" i="7"/>
  <c r="O11" i="7"/>
  <c r="AA11" i="7" s="1"/>
  <c r="O7" i="7"/>
  <c r="AA7" i="7" s="1"/>
  <c r="T15" i="7"/>
  <c r="O27" i="7"/>
  <c r="T32" i="7"/>
  <c r="T9" i="7"/>
  <c r="O13" i="7"/>
  <c r="AA13" i="7" s="1"/>
  <c r="O14" i="7"/>
  <c r="AA14" i="7" s="1"/>
  <c r="U18" i="7"/>
  <c r="Z18" i="7" s="1"/>
  <c r="AA18" i="7" s="1"/>
  <c r="T23" i="7"/>
  <c r="T28" i="7"/>
  <c r="O5" i="7"/>
  <c r="T12" i="7"/>
  <c r="O15" i="7"/>
  <c r="AA15" i="7" s="1"/>
  <c r="O16" i="7"/>
  <c r="V16" i="7" s="1"/>
  <c r="Z16" i="7" s="1"/>
  <c r="AA16" i="7" s="1"/>
  <c r="T22" i="7"/>
  <c r="R36" i="7"/>
  <c r="S36" i="7"/>
  <c r="O33" i="7"/>
  <c r="AA33" i="7" s="1"/>
  <c r="T35" i="7"/>
  <c r="U12" i="7"/>
  <c r="Z12" i="7" s="1"/>
  <c r="T33" i="7"/>
  <c r="T13" i="7"/>
  <c r="T14" i="7"/>
  <c r="O29" i="7"/>
  <c r="AA29" i="7" s="1"/>
  <c r="T31" i="7"/>
  <c r="I36" i="7"/>
  <c r="T29" i="7"/>
  <c r="AA12" i="7"/>
  <c r="L36" i="7"/>
  <c r="T27" i="7"/>
  <c r="T7" i="7"/>
  <c r="T17" i="7"/>
  <c r="T19" i="7"/>
  <c r="T25" i="7"/>
  <c r="T30" i="7"/>
  <c r="AA9" i="7"/>
  <c r="AA35" i="7"/>
  <c r="AA31" i="7"/>
  <c r="Z23" i="7"/>
  <c r="AA23" i="7" s="1"/>
  <c r="AA27" i="7"/>
  <c r="S20" i="7"/>
  <c r="U21" i="7"/>
  <c r="Z21" i="7" s="1"/>
  <c r="AA21" i="7" s="1"/>
  <c r="U6" i="7"/>
  <c r="Z6" i="7" s="1"/>
  <c r="AA6" i="7" s="1"/>
  <c r="U8" i="7"/>
  <c r="Z8" i="7" s="1"/>
  <c r="AA8" i="7" s="1"/>
  <c r="U10" i="7"/>
  <c r="Z10" i="7" s="1"/>
  <c r="AA10" i="7" s="1"/>
  <c r="U20" i="7"/>
  <c r="T24" i="7"/>
  <c r="P21" i="7"/>
  <c r="U24" i="7"/>
  <c r="Z24" i="7" s="1"/>
  <c r="AA24" i="7" s="1"/>
  <c r="U26" i="7"/>
  <c r="Z26" i="7" s="1"/>
  <c r="AA26" i="7" s="1"/>
  <c r="U28" i="7"/>
  <c r="Z28" i="7" s="1"/>
  <c r="AA28" i="7" s="1"/>
  <c r="U30" i="7"/>
  <c r="Z30" i="7" s="1"/>
  <c r="AA30" i="7" s="1"/>
  <c r="U32" i="7"/>
  <c r="Z32" i="7" s="1"/>
  <c r="AA32" i="7" s="1"/>
  <c r="U34" i="7"/>
  <c r="Z34" i="7" s="1"/>
  <c r="AA34" i="7" s="1"/>
  <c r="P36" i="7"/>
  <c r="Q21" i="7"/>
  <c r="T5" i="7"/>
  <c r="U17" i="7"/>
  <c r="Z17" i="7" s="1"/>
  <c r="AA17" i="7" s="1"/>
  <c r="U19" i="7"/>
  <c r="Z19" i="7" s="1"/>
  <c r="AA19" i="7" s="1"/>
  <c r="P20" i="7"/>
  <c r="U22" i="7"/>
  <c r="Z22" i="7" s="1"/>
  <c r="AA22" i="7" s="1"/>
  <c r="Z5" i="7"/>
  <c r="AA5" i="7" s="1"/>
  <c r="V5" i="6"/>
  <c r="AA17" i="6"/>
  <c r="AA6" i="6"/>
  <c r="AA7" i="6"/>
  <c r="Z19" i="6"/>
  <c r="AA8" i="6"/>
  <c r="O46" i="6"/>
  <c r="U46" i="6"/>
  <c r="Z46" i="6" s="1"/>
  <c r="T6" i="6"/>
  <c r="Z10" i="6"/>
  <c r="AA10" i="6" s="1"/>
  <c r="V16" i="6"/>
  <c r="U18" i="6"/>
  <c r="Z18" i="6" s="1"/>
  <c r="AA18" i="6" s="1"/>
  <c r="U24" i="6"/>
  <c r="Z24" i="6" s="1"/>
  <c r="AA24" i="6" s="1"/>
  <c r="T29" i="6"/>
  <c r="T35" i="6"/>
  <c r="T41" i="6"/>
  <c r="U57" i="6"/>
  <c r="Z57" i="6" s="1"/>
  <c r="AA57" i="6" s="1"/>
  <c r="S144" i="6"/>
  <c r="T19" i="6"/>
  <c r="T32" i="6"/>
  <c r="U59" i="6"/>
  <c r="Z59" i="6" s="1"/>
  <c r="AA59" i="6" s="1"/>
  <c r="T62" i="6"/>
  <c r="Z65" i="6"/>
  <c r="O47" i="6"/>
  <c r="U61" i="6"/>
  <c r="Z61" i="6" s="1"/>
  <c r="AA61" i="6" s="1"/>
  <c r="T64" i="6"/>
  <c r="T68" i="6"/>
  <c r="T17" i="6"/>
  <c r="V21" i="6"/>
  <c r="V42" i="6"/>
  <c r="U42" i="6"/>
  <c r="U63" i="6"/>
  <c r="Z63" i="6" s="1"/>
  <c r="AA63" i="6" s="1"/>
  <c r="L144" i="6"/>
  <c r="U30" i="6"/>
  <c r="Z30" i="6" s="1"/>
  <c r="AA30" i="6" s="1"/>
  <c r="U49" i="6"/>
  <c r="O39" i="6"/>
  <c r="U39" i="6"/>
  <c r="U51" i="6"/>
  <c r="Z51" i="6" s="1"/>
  <c r="AA51" i="6" s="1"/>
  <c r="T54" i="6"/>
  <c r="U55" i="6"/>
  <c r="Z55" i="6" s="1"/>
  <c r="AA55" i="6" s="1"/>
  <c r="U26" i="6"/>
  <c r="T31" i="6"/>
  <c r="T34" i="6"/>
  <c r="Z37" i="6"/>
  <c r="T37" i="6"/>
  <c r="U48" i="6"/>
  <c r="U53" i="6"/>
  <c r="Z53" i="6" s="1"/>
  <c r="AA53" i="6" s="1"/>
  <c r="T56" i="6"/>
  <c r="T43" i="6"/>
  <c r="Q48" i="6"/>
  <c r="U66" i="6"/>
  <c r="Z66" i="6" s="1"/>
  <c r="AA66" i="6" s="1"/>
  <c r="U68" i="6"/>
  <c r="Z68" i="6" s="1"/>
  <c r="AA68" i="6" s="1"/>
  <c r="U70" i="6"/>
  <c r="Z70" i="6" s="1"/>
  <c r="AA70" i="6" s="1"/>
  <c r="U72" i="6"/>
  <c r="Z72" i="6" s="1"/>
  <c r="AA72" i="6" s="1"/>
  <c r="U74" i="6"/>
  <c r="Z74" i="6" s="1"/>
  <c r="AA74" i="6" s="1"/>
  <c r="U76" i="6"/>
  <c r="Z76" i="6" s="1"/>
  <c r="AA76" i="6" s="1"/>
  <c r="U78" i="6"/>
  <c r="Z78" i="6" s="1"/>
  <c r="AA78" i="6" s="1"/>
  <c r="U80" i="6"/>
  <c r="Z80" i="6" s="1"/>
  <c r="AA80" i="6" s="1"/>
  <c r="U82" i="6"/>
  <c r="Z82" i="6" s="1"/>
  <c r="AA82" i="6" s="1"/>
  <c r="U84" i="6"/>
  <c r="Z84" i="6" s="1"/>
  <c r="AA84" i="6" s="1"/>
  <c r="U86" i="6"/>
  <c r="Z86" i="6" s="1"/>
  <c r="AA86" i="6" s="1"/>
  <c r="U88" i="6"/>
  <c r="Z88" i="6" s="1"/>
  <c r="AA88" i="6" s="1"/>
  <c r="U90" i="6"/>
  <c r="Z90" i="6" s="1"/>
  <c r="AA90" i="6" s="1"/>
  <c r="U92" i="6"/>
  <c r="Z92" i="6" s="1"/>
  <c r="AA92" i="6" s="1"/>
  <c r="U94" i="6"/>
  <c r="Z94" i="6" s="1"/>
  <c r="AA94" i="6" s="1"/>
  <c r="U96" i="6"/>
  <c r="Z96" i="6" s="1"/>
  <c r="AA96" i="6" s="1"/>
  <c r="U98" i="6"/>
  <c r="Z98" i="6" s="1"/>
  <c r="AA98" i="6" s="1"/>
  <c r="U100" i="6"/>
  <c r="Z100" i="6" s="1"/>
  <c r="AA100" i="6" s="1"/>
  <c r="U102" i="6"/>
  <c r="Z102" i="6" s="1"/>
  <c r="AA102" i="6" s="1"/>
  <c r="U104" i="6"/>
  <c r="Z104" i="6" s="1"/>
  <c r="AA104" i="6" s="1"/>
  <c r="U106" i="6"/>
  <c r="Z106" i="6" s="1"/>
  <c r="AA106" i="6" s="1"/>
  <c r="U108" i="6"/>
  <c r="Z108" i="6" s="1"/>
  <c r="AA108" i="6" s="1"/>
  <c r="U110" i="6"/>
  <c r="Z110" i="6" s="1"/>
  <c r="AA110" i="6" s="1"/>
  <c r="U112" i="6"/>
  <c r="Z112" i="6" s="1"/>
  <c r="AA112" i="6" s="1"/>
  <c r="U114" i="6"/>
  <c r="Z114" i="6" s="1"/>
  <c r="AA114" i="6" s="1"/>
  <c r="U116" i="6"/>
  <c r="Z116" i="6" s="1"/>
  <c r="AA116" i="6" s="1"/>
  <c r="U118" i="6"/>
  <c r="Z118" i="6" s="1"/>
  <c r="AA118" i="6" s="1"/>
  <c r="U120" i="6"/>
  <c r="Z120" i="6" s="1"/>
  <c r="AA120" i="6" s="1"/>
  <c r="U122" i="6"/>
  <c r="Z122" i="6" s="1"/>
  <c r="AA122" i="6" s="1"/>
  <c r="U124" i="6"/>
  <c r="Z124" i="6" s="1"/>
  <c r="AA124" i="6" s="1"/>
  <c r="U126" i="6"/>
  <c r="Z126" i="6" s="1"/>
  <c r="AA126" i="6" s="1"/>
  <c r="U128" i="6"/>
  <c r="Z128" i="6" s="1"/>
  <c r="AA128" i="6" s="1"/>
  <c r="U130" i="6"/>
  <c r="Z130" i="6" s="1"/>
  <c r="AA130" i="6" s="1"/>
  <c r="U132" i="6"/>
  <c r="Z132" i="6" s="1"/>
  <c r="AA132" i="6" s="1"/>
  <c r="U134" i="6"/>
  <c r="Z134" i="6" s="1"/>
  <c r="AA134" i="6" s="1"/>
  <c r="U136" i="6"/>
  <c r="Z136" i="6" s="1"/>
  <c r="AA136" i="6" s="1"/>
  <c r="U138" i="6"/>
  <c r="Z138" i="6" s="1"/>
  <c r="AA138" i="6" s="1"/>
  <c r="U140" i="6"/>
  <c r="Z140" i="6" s="1"/>
  <c r="AA140" i="6" s="1"/>
  <c r="U142" i="6"/>
  <c r="Z142" i="6" s="1"/>
  <c r="AA142" i="6" s="1"/>
  <c r="T65" i="6"/>
  <c r="T38" i="6"/>
  <c r="V566" i="5"/>
  <c r="U565" i="5"/>
  <c r="O570" i="5"/>
  <c r="O563" i="5"/>
  <c r="AA563" i="5" s="1"/>
  <c r="O569" i="5"/>
  <c r="AA569" i="5" s="1"/>
  <c r="P609" i="5"/>
  <c r="T518" i="5"/>
  <c r="T103" i="5"/>
  <c r="T160" i="5"/>
  <c r="T147" i="5"/>
  <c r="O161" i="5"/>
  <c r="AA161" i="5" s="1"/>
  <c r="U4" i="5"/>
  <c r="Z4" i="5" s="1"/>
  <c r="AA4" i="5" s="1"/>
  <c r="U37" i="5"/>
  <c r="Z37" i="5" s="1"/>
  <c r="AA37" i="5" s="1"/>
  <c r="T500" i="5"/>
  <c r="T539" i="5"/>
  <c r="T497" i="5"/>
  <c r="T145" i="5"/>
  <c r="O292" i="5"/>
  <c r="AA292" i="5" s="1"/>
  <c r="T23" i="5"/>
  <c r="T31" i="5"/>
  <c r="U41" i="5"/>
  <c r="Z41" i="5" s="1"/>
  <c r="AA41" i="5" s="1"/>
  <c r="U320" i="5"/>
  <c r="Z320" i="5" s="1"/>
  <c r="AA320" i="5" s="1"/>
  <c r="U57" i="5"/>
  <c r="Z57" i="5" s="1"/>
  <c r="AA57" i="5" s="1"/>
  <c r="T240" i="5"/>
  <c r="T204" i="5"/>
  <c r="T228" i="5"/>
  <c r="U249" i="5"/>
  <c r="Z249" i="5" s="1"/>
  <c r="AA249" i="5" s="1"/>
  <c r="U259" i="5"/>
  <c r="Z259" i="5" s="1"/>
  <c r="AA259" i="5" s="1"/>
  <c r="U540" i="5"/>
  <c r="Z540" i="5" s="1"/>
  <c r="AA540" i="5" s="1"/>
  <c r="T604" i="5"/>
  <c r="U75" i="5"/>
  <c r="Z75" i="5" s="1"/>
  <c r="AA75" i="5" s="1"/>
  <c r="T124" i="5"/>
  <c r="T146" i="5"/>
  <c r="O181" i="5"/>
  <c r="V181" i="5" s="1"/>
  <c r="Z181" i="5" s="1"/>
  <c r="AA181" i="5" s="1"/>
  <c r="O182" i="5"/>
  <c r="V182" i="5" s="1"/>
  <c r="Z182" i="5" s="1"/>
  <c r="O183" i="5"/>
  <c r="AA183" i="5" s="1"/>
  <c r="O252" i="5"/>
  <c r="V252" i="5" s="1"/>
  <c r="Z252" i="5" s="1"/>
  <c r="AA252" i="5" s="1"/>
  <c r="T506" i="5"/>
  <c r="T64" i="5"/>
  <c r="O80" i="5"/>
  <c r="AA80" i="5" s="1"/>
  <c r="O78" i="5"/>
  <c r="AA78" i="5" s="1"/>
  <c r="T263" i="5"/>
  <c r="T97" i="5"/>
  <c r="T138" i="5"/>
  <c r="T155" i="5"/>
  <c r="U156" i="5"/>
  <c r="Z156" i="5" s="1"/>
  <c r="AA156" i="5" s="1"/>
  <c r="T262" i="5"/>
  <c r="U53" i="5"/>
  <c r="Z53" i="5" s="1"/>
  <c r="AA53" i="5" s="1"/>
  <c r="O150" i="5"/>
  <c r="AA150" i="5" s="1"/>
  <c r="T153" i="5"/>
  <c r="T223" i="5"/>
  <c r="O268" i="5"/>
  <c r="AA268" i="5" s="1"/>
  <c r="U298" i="5"/>
  <c r="Z298" i="5" s="1"/>
  <c r="AA298" i="5" s="1"/>
  <c r="U316" i="5"/>
  <c r="Z316" i="5" s="1"/>
  <c r="AA316" i="5" s="1"/>
  <c r="U334" i="5"/>
  <c r="Z334" i="5" s="1"/>
  <c r="AA334" i="5" s="1"/>
  <c r="T608" i="5"/>
  <c r="U501" i="5"/>
  <c r="Z501" i="5" s="1"/>
  <c r="AA501" i="5" s="1"/>
  <c r="U51" i="5"/>
  <c r="Z51" i="5" s="1"/>
  <c r="AA51" i="5" s="1"/>
  <c r="U73" i="5"/>
  <c r="Z73" i="5" s="1"/>
  <c r="AA73" i="5" s="1"/>
  <c r="U122" i="5"/>
  <c r="T141" i="5"/>
  <c r="T217" i="5"/>
  <c r="O530" i="5"/>
  <c r="O531" i="5"/>
  <c r="AA531" i="5" s="1"/>
  <c r="O532" i="5"/>
  <c r="AA532" i="5" s="1"/>
  <c r="U589" i="5"/>
  <c r="Z589" i="5" s="1"/>
  <c r="AA589" i="5" s="1"/>
  <c r="T21" i="5"/>
  <c r="T140" i="5"/>
  <c r="U261" i="5"/>
  <c r="Z261" i="5" s="1"/>
  <c r="AA261" i="5" s="1"/>
  <c r="U264" i="5"/>
  <c r="Z264" i="5" s="1"/>
  <c r="AA264" i="5" s="1"/>
  <c r="U493" i="5"/>
  <c r="Z493" i="5" s="1"/>
  <c r="AA493" i="5" s="1"/>
  <c r="O511" i="5"/>
  <c r="AA511" i="5" s="1"/>
  <c r="O96" i="5"/>
  <c r="V96" i="5" s="1"/>
  <c r="Z96" i="5" s="1"/>
  <c r="AA96" i="5" s="1"/>
  <c r="T111" i="5"/>
  <c r="T139" i="5"/>
  <c r="O159" i="5"/>
  <c r="AA159" i="5" s="1"/>
  <c r="T180" i="5"/>
  <c r="O221" i="5"/>
  <c r="AA221" i="5" s="1"/>
  <c r="T248" i="5"/>
  <c r="O271" i="5"/>
  <c r="AA271" i="5" s="1"/>
  <c r="O272" i="5"/>
  <c r="AA272" i="5" s="1"/>
  <c r="O273" i="5"/>
  <c r="AA273" i="5" s="1"/>
  <c r="O283" i="5"/>
  <c r="AA283" i="5" s="1"/>
  <c r="O284" i="5"/>
  <c r="AA284" i="5" s="1"/>
  <c r="T297" i="5"/>
  <c r="T595" i="5"/>
  <c r="T19" i="5"/>
  <c r="T27" i="5"/>
  <c r="U47" i="5"/>
  <c r="Z47" i="5" s="1"/>
  <c r="AA47" i="5" s="1"/>
  <c r="U59" i="5"/>
  <c r="Z59" i="5" s="1"/>
  <c r="AA59" i="5" s="1"/>
  <c r="O94" i="5"/>
  <c r="AA94" i="5" s="1"/>
  <c r="T128" i="5"/>
  <c r="O157" i="5"/>
  <c r="V157" i="5" s="1"/>
  <c r="Z157" i="5" s="1"/>
  <c r="O168" i="5"/>
  <c r="V168" i="5" s="1"/>
  <c r="Z168" i="5" s="1"/>
  <c r="AA168" i="5" s="1"/>
  <c r="O64" i="5"/>
  <c r="AA64" i="5" s="1"/>
  <c r="O123" i="5"/>
  <c r="AA123" i="5" s="1"/>
  <c r="O154" i="5"/>
  <c r="AA154" i="5" s="1"/>
  <c r="T241" i="5"/>
  <c r="T512" i="5"/>
  <c r="T25" i="5"/>
  <c r="O62" i="5"/>
  <c r="AA62" i="5" s="1"/>
  <c r="T98" i="5"/>
  <c r="U16" i="5"/>
  <c r="Z16" i="5" s="1"/>
  <c r="AA16" i="5" s="1"/>
  <c r="U43" i="5"/>
  <c r="Z43" i="5" s="1"/>
  <c r="AA43" i="5" s="1"/>
  <c r="O90" i="5"/>
  <c r="T95" i="5"/>
  <c r="U97" i="5"/>
  <c r="U98" i="5"/>
  <c r="T158" i="5"/>
  <c r="U222" i="5"/>
  <c r="Z222" i="5" s="1"/>
  <c r="AA222" i="5" s="1"/>
  <c r="U282" i="5"/>
  <c r="Z282" i="5" s="1"/>
  <c r="AA282" i="5" s="1"/>
  <c r="T607" i="5"/>
  <c r="T9" i="5"/>
  <c r="O82" i="5"/>
  <c r="AA82" i="5" s="1"/>
  <c r="O92" i="5"/>
  <c r="AA92" i="5" s="1"/>
  <c r="U39" i="5"/>
  <c r="Z39" i="5" s="1"/>
  <c r="AA39" i="5" s="1"/>
  <c r="U55" i="5"/>
  <c r="Z55" i="5" s="1"/>
  <c r="AA55" i="5" s="1"/>
  <c r="U71" i="5"/>
  <c r="Z71" i="5" s="1"/>
  <c r="AA71" i="5" s="1"/>
  <c r="T100" i="5"/>
  <c r="O132" i="5"/>
  <c r="AA132" i="5" s="1"/>
  <c r="T136" i="5"/>
  <c r="T142" i="5"/>
  <c r="T162" i="5"/>
  <c r="T193" i="5"/>
  <c r="T212" i="5"/>
  <c r="T231" i="5"/>
  <c r="T244" i="5"/>
  <c r="O275" i="5"/>
  <c r="AA275" i="5" s="1"/>
  <c r="O276" i="5"/>
  <c r="AA276" i="5" s="1"/>
  <c r="T286" i="5"/>
  <c r="T299" i="5"/>
  <c r="O492" i="5"/>
  <c r="AA492" i="5" s="1"/>
  <c r="O494" i="5"/>
  <c r="AA494" i="5" s="1"/>
  <c r="T502" i="5"/>
  <c r="U503" i="5"/>
  <c r="Z503" i="5" s="1"/>
  <c r="AA503" i="5" s="1"/>
  <c r="T534" i="5"/>
  <c r="U537" i="5"/>
  <c r="Z537" i="5" s="1"/>
  <c r="AA537" i="5" s="1"/>
  <c r="T93" i="5"/>
  <c r="T110" i="5"/>
  <c r="T121" i="5"/>
  <c r="T123" i="5"/>
  <c r="O128" i="5"/>
  <c r="AA128" i="5" s="1"/>
  <c r="O148" i="5"/>
  <c r="V148" i="5" s="1"/>
  <c r="Z148" i="5" s="1"/>
  <c r="T159" i="5"/>
  <c r="O177" i="5"/>
  <c r="AA177" i="5" s="1"/>
  <c r="O178" i="5"/>
  <c r="V178" i="5" s="1"/>
  <c r="Z178" i="5" s="1"/>
  <c r="AA178" i="5" s="1"/>
  <c r="O179" i="5"/>
  <c r="V179" i="5" s="1"/>
  <c r="Z179" i="5" s="1"/>
  <c r="AA179" i="5" s="1"/>
  <c r="T187" i="5"/>
  <c r="O216" i="5"/>
  <c r="V216" i="5" s="1"/>
  <c r="Z216" i="5" s="1"/>
  <c r="AA216" i="5" s="1"/>
  <c r="O241" i="5"/>
  <c r="AA241" i="5" s="1"/>
  <c r="O265" i="5"/>
  <c r="AA265" i="5" s="1"/>
  <c r="O266" i="5"/>
  <c r="AA266" i="5" s="1"/>
  <c r="T281" i="5"/>
  <c r="T283" i="5"/>
  <c r="T333" i="5"/>
  <c r="T510" i="5"/>
  <c r="T511" i="5"/>
  <c r="O541" i="5"/>
  <c r="V541" i="5" s="1"/>
  <c r="Z541" i="5" s="1"/>
  <c r="AA541" i="5" s="1"/>
  <c r="T556" i="5"/>
  <c r="T582" i="5"/>
  <c r="T583" i="5"/>
  <c r="O608" i="5"/>
  <c r="V608" i="5" s="1"/>
  <c r="Z608" i="5" s="1"/>
  <c r="AA608" i="5" s="1"/>
  <c r="U6" i="5"/>
  <c r="Z6" i="5" s="1"/>
  <c r="AA6" i="5" s="1"/>
  <c r="U18" i="5"/>
  <c r="Z18" i="5" s="1"/>
  <c r="AA18" i="5" s="1"/>
  <c r="U20" i="5"/>
  <c r="Z20" i="5" s="1"/>
  <c r="AA20" i="5" s="1"/>
  <c r="U22" i="5"/>
  <c r="Z22" i="5" s="1"/>
  <c r="AA22" i="5" s="1"/>
  <c r="U24" i="5"/>
  <c r="Z24" i="5" s="1"/>
  <c r="AA24" i="5" s="1"/>
  <c r="U49" i="5"/>
  <c r="Z49" i="5" s="1"/>
  <c r="AA49" i="5" s="1"/>
  <c r="T80" i="5"/>
  <c r="U83" i="5"/>
  <c r="Z83" i="5" s="1"/>
  <c r="AA83" i="5" s="1"/>
  <c r="T108" i="5"/>
  <c r="O115" i="5"/>
  <c r="AA115" i="5" s="1"/>
  <c r="O116" i="5"/>
  <c r="V116" i="5" s="1"/>
  <c r="Z116" i="5" s="1"/>
  <c r="O205" i="5"/>
  <c r="V205" i="5" s="1"/>
  <c r="Z205" i="5" s="1"/>
  <c r="AA205" i="5" s="1"/>
  <c r="T279" i="5"/>
  <c r="T295" i="5"/>
  <c r="O303" i="5"/>
  <c r="AA303" i="5" s="1"/>
  <c r="T495" i="5"/>
  <c r="T520" i="5"/>
  <c r="T593" i="5"/>
  <c r="T601" i="5"/>
  <c r="O606" i="5"/>
  <c r="AA606" i="5" s="1"/>
  <c r="T15" i="5"/>
  <c r="O138" i="5"/>
  <c r="V138" i="5" s="1"/>
  <c r="Z138" i="5" s="1"/>
  <c r="AA138" i="5" s="1"/>
  <c r="O174" i="5"/>
  <c r="AA174" i="5" s="1"/>
  <c r="O190" i="5"/>
  <c r="AA190" i="5" s="1"/>
  <c r="O191" i="5"/>
  <c r="AA191" i="5" s="1"/>
  <c r="O192" i="5"/>
  <c r="O193" i="5"/>
  <c r="AA193" i="5" s="1"/>
  <c r="O202" i="5"/>
  <c r="V202" i="5" s="1"/>
  <c r="Z202" i="5" s="1"/>
  <c r="AA202" i="5" s="1"/>
  <c r="O203" i="5"/>
  <c r="V203" i="5" s="1"/>
  <c r="Z203" i="5" s="1"/>
  <c r="AA203" i="5" s="1"/>
  <c r="O213" i="5"/>
  <c r="AA213" i="5" s="1"/>
  <c r="O225" i="5"/>
  <c r="V225" i="5" s="1"/>
  <c r="Z225" i="5" s="1"/>
  <c r="AA225" i="5" s="1"/>
  <c r="O237" i="5"/>
  <c r="AA237" i="5" s="1"/>
  <c r="T253" i="5"/>
  <c r="O287" i="5"/>
  <c r="AA287" i="5" s="1"/>
  <c r="O288" i="5"/>
  <c r="AA288" i="5" s="1"/>
  <c r="T491" i="5"/>
  <c r="T508" i="5"/>
  <c r="O525" i="5"/>
  <c r="AA525" i="5" s="1"/>
  <c r="O526" i="5"/>
  <c r="AA526" i="5" s="1"/>
  <c r="O577" i="5"/>
  <c r="AA577" i="5" s="1"/>
  <c r="T63" i="5"/>
  <c r="T65" i="5"/>
  <c r="T89" i="5"/>
  <c r="T131" i="5"/>
  <c r="O137" i="5"/>
  <c r="AA137" i="5" s="1"/>
  <c r="T166" i="5"/>
  <c r="T175" i="5"/>
  <c r="U14" i="5"/>
  <c r="Z14" i="5" s="1"/>
  <c r="AA14" i="5" s="1"/>
  <c r="U45" i="5"/>
  <c r="Z45" i="5" s="1"/>
  <c r="AA45" i="5" s="1"/>
  <c r="U61" i="5"/>
  <c r="Z61" i="5" s="1"/>
  <c r="AA61" i="5" s="1"/>
  <c r="U63" i="5"/>
  <c r="Z63" i="5" s="1"/>
  <c r="AA63" i="5" s="1"/>
  <c r="U65" i="5"/>
  <c r="Z65" i="5" s="1"/>
  <c r="AA65" i="5" s="1"/>
  <c r="U77" i="5"/>
  <c r="Z77" i="5" s="1"/>
  <c r="AA77" i="5" s="1"/>
  <c r="T86" i="5"/>
  <c r="T127" i="5"/>
  <c r="T129" i="5"/>
  <c r="T130" i="5"/>
  <c r="O139" i="5"/>
  <c r="AA139" i="5" s="1"/>
  <c r="O140" i="5"/>
  <c r="AA140" i="5" s="1"/>
  <c r="O141" i="5"/>
  <c r="V141" i="5" s="1"/>
  <c r="Z141" i="5" s="1"/>
  <c r="AA141" i="5" s="1"/>
  <c r="T149" i="5"/>
  <c r="O163" i="5"/>
  <c r="AA163" i="5" s="1"/>
  <c r="T183" i="5"/>
  <c r="U184" i="5"/>
  <c r="Z184" i="5" s="1"/>
  <c r="AA184" i="5" s="1"/>
  <c r="T207" i="5"/>
  <c r="U229" i="5"/>
  <c r="T234" i="5"/>
  <c r="O235" i="5"/>
  <c r="T250" i="5"/>
  <c r="U251" i="5"/>
  <c r="Z251" i="5" s="1"/>
  <c r="AA251" i="5" s="1"/>
  <c r="O300" i="5"/>
  <c r="AA300" i="5" s="1"/>
  <c r="U314" i="5"/>
  <c r="Z314" i="5" s="1"/>
  <c r="AA314" i="5" s="1"/>
  <c r="O535" i="5"/>
  <c r="AA535" i="5" s="1"/>
  <c r="O549" i="5"/>
  <c r="O575" i="5"/>
  <c r="AA575" i="5" s="1"/>
  <c r="T591" i="5"/>
  <c r="T599" i="5"/>
  <c r="O7" i="5"/>
  <c r="AA7" i="5" s="1"/>
  <c r="O109" i="5"/>
  <c r="V109" i="5" s="1"/>
  <c r="Z109" i="5" s="1"/>
  <c r="AA109" i="5" s="1"/>
  <c r="T112" i="5"/>
  <c r="T114" i="5"/>
  <c r="T116" i="5"/>
  <c r="T171" i="5"/>
  <c r="T226" i="5"/>
  <c r="T247" i="5"/>
  <c r="T258" i="5"/>
  <c r="O278" i="5"/>
  <c r="AA278" i="5" s="1"/>
  <c r="O279" i="5"/>
  <c r="AA279" i="5" s="1"/>
  <c r="O280" i="5"/>
  <c r="AA280" i="5" s="1"/>
  <c r="O295" i="5"/>
  <c r="AA295" i="5" s="1"/>
  <c r="T302" i="5"/>
  <c r="T504" i="5"/>
  <c r="T516" i="5"/>
  <c r="T597" i="5"/>
  <c r="U36" i="5"/>
  <c r="Z36" i="5" s="1"/>
  <c r="AA36" i="5" s="1"/>
  <c r="U34" i="5"/>
  <c r="Z34" i="5" s="1"/>
  <c r="O34" i="5"/>
  <c r="O33" i="5"/>
  <c r="U33" i="5"/>
  <c r="Z33" i="5" s="1"/>
  <c r="T11" i="5"/>
  <c r="U32" i="5"/>
  <c r="Z32" i="5" s="1"/>
  <c r="O32" i="5"/>
  <c r="V186" i="5"/>
  <c r="V209" i="5"/>
  <c r="O35" i="5"/>
  <c r="U35" i="5"/>
  <c r="Z35" i="5" s="1"/>
  <c r="V257" i="5"/>
  <c r="U30" i="5"/>
  <c r="Z30" i="5" s="1"/>
  <c r="O30" i="5"/>
  <c r="T33" i="5"/>
  <c r="T3" i="5"/>
  <c r="T5" i="5"/>
  <c r="T7" i="5"/>
  <c r="T13" i="5"/>
  <c r="T18" i="5"/>
  <c r="T22" i="5"/>
  <c r="T26" i="5"/>
  <c r="T29" i="5"/>
  <c r="T37" i="5"/>
  <c r="T38" i="5"/>
  <c r="T39" i="5"/>
  <c r="T40" i="5"/>
  <c r="T41" i="5"/>
  <c r="T43" i="5"/>
  <c r="T44" i="5"/>
  <c r="T45" i="5"/>
  <c r="T46" i="5"/>
  <c r="T47" i="5"/>
  <c r="T48" i="5"/>
  <c r="T49" i="5"/>
  <c r="T51" i="5"/>
  <c r="T52" i="5"/>
  <c r="T53" i="5"/>
  <c r="T54" i="5"/>
  <c r="T55" i="5"/>
  <c r="T56" i="5"/>
  <c r="T57" i="5"/>
  <c r="T59" i="5"/>
  <c r="T61" i="5"/>
  <c r="O70" i="5"/>
  <c r="AA70" i="5" s="1"/>
  <c r="O72" i="5"/>
  <c r="AA72" i="5" s="1"/>
  <c r="O74" i="5"/>
  <c r="AA74" i="5" s="1"/>
  <c r="O76" i="5"/>
  <c r="AA76" i="5" s="1"/>
  <c r="O87" i="5"/>
  <c r="V87" i="5" s="1"/>
  <c r="Z87" i="5" s="1"/>
  <c r="AA87" i="5" s="1"/>
  <c r="O89" i="5"/>
  <c r="V89" i="5" s="1"/>
  <c r="Z89" i="5" s="1"/>
  <c r="U101" i="5"/>
  <c r="Z101" i="5" s="1"/>
  <c r="AA101" i="5" s="1"/>
  <c r="T102" i="5"/>
  <c r="T105" i="5"/>
  <c r="T106" i="5"/>
  <c r="T115" i="5"/>
  <c r="O120" i="5"/>
  <c r="V120" i="5" s="1"/>
  <c r="Z120" i="5" s="1"/>
  <c r="U125" i="5"/>
  <c r="Z125" i="5" s="1"/>
  <c r="AA125" i="5" s="1"/>
  <c r="O130" i="5"/>
  <c r="AA130" i="5" s="1"/>
  <c r="T143" i="5"/>
  <c r="O152" i="5"/>
  <c r="V152" i="5" s="1"/>
  <c r="Z152" i="5" s="1"/>
  <c r="O165" i="5"/>
  <c r="AA165" i="5" s="1"/>
  <c r="O167" i="5"/>
  <c r="AA167" i="5" s="1"/>
  <c r="O172" i="5"/>
  <c r="AA172" i="5" s="1"/>
  <c r="O173" i="5"/>
  <c r="V173" i="5" s="1"/>
  <c r="Z173" i="5" s="1"/>
  <c r="AA173" i="5" s="1"/>
  <c r="O176" i="5"/>
  <c r="AA176" i="5" s="1"/>
  <c r="O189" i="5"/>
  <c r="T197" i="5"/>
  <c r="U200" i="5"/>
  <c r="Z200" i="5" s="1"/>
  <c r="AA200" i="5" s="1"/>
  <c r="T211" i="5"/>
  <c r="T214" i="5"/>
  <c r="T218" i="5"/>
  <c r="O238" i="5"/>
  <c r="V238" i="5" s="1"/>
  <c r="Z238" i="5" s="1"/>
  <c r="AA238" i="5" s="1"/>
  <c r="U289" i="5"/>
  <c r="Z289" i="5" s="1"/>
  <c r="AA289" i="5" s="1"/>
  <c r="U291" i="5"/>
  <c r="Z291" i="5" s="1"/>
  <c r="AA291" i="5" s="1"/>
  <c r="U293" i="5"/>
  <c r="Z293" i="5" s="1"/>
  <c r="AA293" i="5" s="1"/>
  <c r="T522" i="5"/>
  <c r="U587" i="5"/>
  <c r="Z587" i="5" s="1"/>
  <c r="AA587" i="5" s="1"/>
  <c r="O598" i="5"/>
  <c r="U598" i="5"/>
  <c r="Z598" i="5" s="1"/>
  <c r="U310" i="5"/>
  <c r="Z310" i="5" s="1"/>
  <c r="AA310" i="5" s="1"/>
  <c r="U3" i="5"/>
  <c r="Z3" i="5" s="1"/>
  <c r="AA3" i="5" s="1"/>
  <c r="T67" i="5"/>
  <c r="T68" i="5"/>
  <c r="T117" i="5"/>
  <c r="U126" i="5"/>
  <c r="Z126" i="5" s="1"/>
  <c r="AA126" i="5" s="1"/>
  <c r="U142" i="5"/>
  <c r="Z142" i="5" s="1"/>
  <c r="AA142" i="5" s="1"/>
  <c r="U185" i="5"/>
  <c r="Z185" i="5" s="1"/>
  <c r="AA185" i="5" s="1"/>
  <c r="U195" i="5"/>
  <c r="Z195" i="5" s="1"/>
  <c r="AA195" i="5" s="1"/>
  <c r="U209" i="5"/>
  <c r="U212" i="5"/>
  <c r="T216" i="5"/>
  <c r="U219" i="5"/>
  <c r="T221" i="5"/>
  <c r="U224" i="5"/>
  <c r="Z224" i="5" s="1"/>
  <c r="AA224" i="5" s="1"/>
  <c r="T233" i="5"/>
  <c r="U257" i="5"/>
  <c r="T266" i="5"/>
  <c r="U296" i="5"/>
  <c r="Z296" i="5" s="1"/>
  <c r="AA296" i="5" s="1"/>
  <c r="U533" i="5"/>
  <c r="O533" i="5"/>
  <c r="V533" i="5" s="1"/>
  <c r="O596" i="5"/>
  <c r="U596" i="5"/>
  <c r="Z596" i="5" s="1"/>
  <c r="U604" i="5"/>
  <c r="Z604" i="5" s="1"/>
  <c r="O604" i="5"/>
  <c r="T69" i="5"/>
  <c r="U8" i="5"/>
  <c r="Z8" i="5" s="1"/>
  <c r="AA8" i="5" s="1"/>
  <c r="U10" i="5"/>
  <c r="Z10" i="5" s="1"/>
  <c r="AA10" i="5" s="1"/>
  <c r="U12" i="5"/>
  <c r="Z12" i="5" s="1"/>
  <c r="AA12" i="5" s="1"/>
  <c r="U67" i="5"/>
  <c r="Z67" i="5" s="1"/>
  <c r="AA67" i="5" s="1"/>
  <c r="U69" i="5"/>
  <c r="Z69" i="5" s="1"/>
  <c r="AA69" i="5" s="1"/>
  <c r="T71" i="5"/>
  <c r="T72" i="5"/>
  <c r="T73" i="5"/>
  <c r="T75" i="5"/>
  <c r="T77" i="5"/>
  <c r="O99" i="5"/>
  <c r="V99" i="5" s="1"/>
  <c r="Z99" i="5" s="1"/>
  <c r="T119" i="5"/>
  <c r="T164" i="5"/>
  <c r="T169" i="5"/>
  <c r="T186" i="5"/>
  <c r="T188" i="5"/>
  <c r="U220" i="5"/>
  <c r="O220" i="5"/>
  <c r="V220" i="5" s="1"/>
  <c r="T254" i="5"/>
  <c r="T270" i="5"/>
  <c r="T543" i="5"/>
  <c r="O603" i="5"/>
  <c r="U603" i="5"/>
  <c r="Z603" i="5" s="1"/>
  <c r="U194" i="5"/>
  <c r="Z194" i="5" s="1"/>
  <c r="AA194" i="5" s="1"/>
  <c r="U294" i="5"/>
  <c r="Z294" i="5" s="1"/>
  <c r="AA294" i="5" s="1"/>
  <c r="U308" i="5"/>
  <c r="Z308" i="5" s="1"/>
  <c r="AA308" i="5" s="1"/>
  <c r="U312" i="5"/>
  <c r="Z312" i="5" s="1"/>
  <c r="AA312" i="5" s="1"/>
  <c r="U318" i="5"/>
  <c r="Z318" i="5" s="1"/>
  <c r="AA318" i="5" s="1"/>
  <c r="U322" i="5"/>
  <c r="Z322" i="5" s="1"/>
  <c r="AA322" i="5" s="1"/>
  <c r="U326" i="5"/>
  <c r="Z326" i="5" s="1"/>
  <c r="AA326" i="5" s="1"/>
  <c r="P527" i="5"/>
  <c r="T79" i="5"/>
  <c r="T81" i="5"/>
  <c r="T88" i="5"/>
  <c r="T91" i="5"/>
  <c r="O102" i="5"/>
  <c r="AA102" i="5" s="1"/>
  <c r="U119" i="5"/>
  <c r="Z119" i="5" s="1"/>
  <c r="AA119" i="5" s="1"/>
  <c r="T133" i="5"/>
  <c r="T134" i="5"/>
  <c r="U151" i="5"/>
  <c r="Z151" i="5" s="1"/>
  <c r="AA151" i="5" s="1"/>
  <c r="T165" i="5"/>
  <c r="T167" i="5"/>
  <c r="T172" i="5"/>
  <c r="T173" i="5"/>
  <c r="T176" i="5"/>
  <c r="U186" i="5"/>
  <c r="T189" i="5"/>
  <c r="T201" i="5"/>
  <c r="O206" i="5"/>
  <c r="AA206" i="5" s="1"/>
  <c r="O208" i="5"/>
  <c r="V208" i="5" s="1"/>
  <c r="Z208" i="5" s="1"/>
  <c r="AA208" i="5" s="1"/>
  <c r="T237" i="5"/>
  <c r="U245" i="5"/>
  <c r="Z245" i="5" s="1"/>
  <c r="AA245" i="5" s="1"/>
  <c r="T249" i="5"/>
  <c r="T251" i="5"/>
  <c r="O305" i="5"/>
  <c r="AA305" i="5" s="1"/>
  <c r="O307" i="5"/>
  <c r="AA307" i="5" s="1"/>
  <c r="O324" i="5"/>
  <c r="AA324" i="5" s="1"/>
  <c r="O328" i="5"/>
  <c r="AA328" i="5" s="1"/>
  <c r="O330" i="5"/>
  <c r="AA330" i="5" s="1"/>
  <c r="O332" i="5"/>
  <c r="AA332" i="5" s="1"/>
  <c r="O594" i="5"/>
  <c r="U594" i="5"/>
  <c r="Z594" i="5" s="1"/>
  <c r="O602" i="5"/>
  <c r="V602" i="5" s="1"/>
  <c r="U602" i="5"/>
  <c r="O26" i="5"/>
  <c r="AA26" i="5" s="1"/>
  <c r="O28" i="5"/>
  <c r="AA28" i="5" s="1"/>
  <c r="O38" i="5"/>
  <c r="AA38" i="5" s="1"/>
  <c r="O40" i="5"/>
  <c r="AA40" i="5" s="1"/>
  <c r="O42" i="5"/>
  <c r="AA42" i="5" s="1"/>
  <c r="O44" i="5"/>
  <c r="AA44" i="5" s="1"/>
  <c r="O46" i="5"/>
  <c r="AA46" i="5" s="1"/>
  <c r="O48" i="5"/>
  <c r="AA48" i="5" s="1"/>
  <c r="O50" i="5"/>
  <c r="AA50" i="5" s="1"/>
  <c r="O52" i="5"/>
  <c r="AA52" i="5" s="1"/>
  <c r="O54" i="5"/>
  <c r="AA54" i="5" s="1"/>
  <c r="O56" i="5"/>
  <c r="AA56" i="5" s="1"/>
  <c r="O58" i="5"/>
  <c r="AA58" i="5" s="1"/>
  <c r="O60" i="5"/>
  <c r="AA60" i="5" s="1"/>
  <c r="U79" i="5"/>
  <c r="Z79" i="5" s="1"/>
  <c r="AA79" i="5" s="1"/>
  <c r="U81" i="5"/>
  <c r="Z81" i="5" s="1"/>
  <c r="AA81" i="5" s="1"/>
  <c r="T83" i="5"/>
  <c r="U91" i="5"/>
  <c r="T94" i="5"/>
  <c r="O104" i="5"/>
  <c r="AA104" i="5" s="1"/>
  <c r="O107" i="5"/>
  <c r="AA107" i="5" s="1"/>
  <c r="T122" i="5"/>
  <c r="T132" i="5"/>
  <c r="T137" i="5"/>
  <c r="T156" i="5"/>
  <c r="T174" i="5"/>
  <c r="T178" i="5"/>
  <c r="T179" i="5"/>
  <c r="T181" i="5"/>
  <c r="T190" i="5"/>
  <c r="T191" i="5"/>
  <c r="T198" i="5"/>
  <c r="O215" i="5"/>
  <c r="O227" i="5"/>
  <c r="V227" i="5" s="1"/>
  <c r="Z227" i="5" s="1"/>
  <c r="T252" i="5"/>
  <c r="U277" i="5"/>
  <c r="Z277" i="5" s="1"/>
  <c r="AA277" i="5" s="1"/>
  <c r="O505" i="5"/>
  <c r="U505" i="5"/>
  <c r="Z505" i="5" s="1"/>
  <c r="O592" i="5"/>
  <c r="U592" i="5"/>
  <c r="Z592" i="5" s="1"/>
  <c r="O600" i="5"/>
  <c r="U600" i="5"/>
  <c r="Z600" i="5" s="1"/>
  <c r="T17" i="5"/>
  <c r="T35" i="5"/>
  <c r="O66" i="5"/>
  <c r="AA66" i="5" s="1"/>
  <c r="O68" i="5"/>
  <c r="AA68" i="5" s="1"/>
  <c r="T101" i="5"/>
  <c r="T113" i="5"/>
  <c r="O118" i="5"/>
  <c r="V118" i="5" s="1"/>
  <c r="Z118" i="5" s="1"/>
  <c r="T196" i="5"/>
  <c r="T200" i="5"/>
  <c r="T202" i="5"/>
  <c r="T210" i="5"/>
  <c r="T219" i="5"/>
  <c r="O223" i="5"/>
  <c r="AA223" i="5" s="1"/>
  <c r="T229" i="5"/>
  <c r="T255" i="5"/>
  <c r="T256" i="5"/>
  <c r="T259" i="5"/>
  <c r="T265" i="5"/>
  <c r="U269" i="5"/>
  <c r="Z269" i="5" s="1"/>
  <c r="AA269" i="5" s="1"/>
  <c r="U274" i="5"/>
  <c r="Z274" i="5" s="1"/>
  <c r="AA274" i="5" s="1"/>
  <c r="T275" i="5"/>
  <c r="U285" i="5"/>
  <c r="Z285" i="5" s="1"/>
  <c r="AA285" i="5" s="1"/>
  <c r="U290" i="5"/>
  <c r="Z290" i="5" s="1"/>
  <c r="AA290" i="5" s="1"/>
  <c r="T291" i="5"/>
  <c r="O299" i="5"/>
  <c r="AA299" i="5" s="1"/>
  <c r="U301" i="5"/>
  <c r="Z301" i="5" s="1"/>
  <c r="AA301" i="5" s="1"/>
  <c r="O304" i="5"/>
  <c r="AA304" i="5" s="1"/>
  <c r="U306" i="5"/>
  <c r="Z306" i="5" s="1"/>
  <c r="AA306" i="5" s="1"/>
  <c r="T307" i="5"/>
  <c r="T308" i="5"/>
  <c r="T309" i="5"/>
  <c r="T311" i="5"/>
  <c r="T312" i="5"/>
  <c r="T313" i="5"/>
  <c r="T315" i="5"/>
  <c r="T316" i="5"/>
  <c r="T317" i="5"/>
  <c r="T319" i="5"/>
  <c r="T321" i="5"/>
  <c r="T323" i="5"/>
  <c r="T324" i="5"/>
  <c r="T325" i="5"/>
  <c r="T327" i="5"/>
  <c r="T328" i="5"/>
  <c r="T329" i="5"/>
  <c r="T331" i="5"/>
  <c r="T332" i="5"/>
  <c r="O497" i="5"/>
  <c r="O523" i="5"/>
  <c r="AA523" i="5" s="1"/>
  <c r="O524" i="5"/>
  <c r="AA524" i="5" s="1"/>
  <c r="O529" i="5"/>
  <c r="AA529" i="5" s="1"/>
  <c r="T533" i="5"/>
  <c r="T537" i="5"/>
  <c r="T538" i="5"/>
  <c r="O546" i="5"/>
  <c r="AA546" i="5" s="1"/>
  <c r="O552" i="5"/>
  <c r="AA552" i="5" s="1"/>
  <c r="O554" i="5"/>
  <c r="AA554" i="5" s="1"/>
  <c r="O557" i="5"/>
  <c r="AA557" i="5" s="1"/>
  <c r="O559" i="5"/>
  <c r="AA559" i="5" s="1"/>
  <c r="O561" i="5"/>
  <c r="AA561" i="5" s="1"/>
  <c r="T584" i="5"/>
  <c r="T585" i="5"/>
  <c r="U270" i="5"/>
  <c r="Z270" i="5" s="1"/>
  <c r="AA270" i="5" s="1"/>
  <c r="T271" i="5"/>
  <c r="U281" i="5"/>
  <c r="Z281" i="5" s="1"/>
  <c r="AA281" i="5" s="1"/>
  <c r="U286" i="5"/>
  <c r="Z286" i="5" s="1"/>
  <c r="AA286" i="5" s="1"/>
  <c r="T287" i="5"/>
  <c r="U297" i="5"/>
  <c r="Z297" i="5" s="1"/>
  <c r="AA297" i="5" s="1"/>
  <c r="U302" i="5"/>
  <c r="Z302" i="5" s="1"/>
  <c r="AA302" i="5" s="1"/>
  <c r="T303" i="5"/>
  <c r="T492" i="5"/>
  <c r="U539" i="5"/>
  <c r="Z539" i="5" s="1"/>
  <c r="AA539" i="5" s="1"/>
  <c r="T541" i="5"/>
  <c r="T546" i="5"/>
  <c r="T559" i="5"/>
  <c r="T561" i="5"/>
  <c r="T563" i="5"/>
  <c r="Q609" i="5"/>
  <c r="T236" i="5"/>
  <c r="T239" i="5"/>
  <c r="T277" i="5"/>
  <c r="T282" i="5"/>
  <c r="T293" i="5"/>
  <c r="T298" i="5"/>
  <c r="T493" i="5"/>
  <c r="T521" i="5"/>
  <c r="T528" i="5"/>
  <c r="T545" i="5"/>
  <c r="T551" i="5"/>
  <c r="T558" i="5"/>
  <c r="T560" i="5"/>
  <c r="T562" i="5"/>
  <c r="T564" i="5"/>
  <c r="T575" i="5"/>
  <c r="T577" i="5"/>
  <c r="T580" i="5"/>
  <c r="T581" i="5"/>
  <c r="T513" i="5"/>
  <c r="T523" i="5"/>
  <c r="T524" i="5"/>
  <c r="U528" i="5"/>
  <c r="Z528" i="5" s="1"/>
  <c r="AA528" i="5" s="1"/>
  <c r="T529" i="5"/>
  <c r="U542" i="5"/>
  <c r="Z542" i="5" s="1"/>
  <c r="AA542" i="5" s="1"/>
  <c r="U544" i="5"/>
  <c r="Z544" i="5" s="1"/>
  <c r="AA544" i="5" s="1"/>
  <c r="U545" i="5"/>
  <c r="Z545" i="5" s="1"/>
  <c r="AA545" i="5" s="1"/>
  <c r="T550" i="5"/>
  <c r="T552" i="5"/>
  <c r="T554" i="5"/>
  <c r="T557" i="5"/>
  <c r="U558" i="5"/>
  <c r="Z558" i="5" s="1"/>
  <c r="AA558" i="5" s="1"/>
  <c r="U560" i="5"/>
  <c r="Z560" i="5" s="1"/>
  <c r="AA560" i="5" s="1"/>
  <c r="U562" i="5"/>
  <c r="Z562" i="5" s="1"/>
  <c r="AA562" i="5" s="1"/>
  <c r="U564" i="5"/>
  <c r="Z564" i="5" s="1"/>
  <c r="AA564" i="5" s="1"/>
  <c r="T574" i="5"/>
  <c r="T576" i="5"/>
  <c r="T578" i="5"/>
  <c r="T579" i="5"/>
  <c r="T224" i="5"/>
  <c r="T232" i="5"/>
  <c r="T243" i="5"/>
  <c r="U267" i="5"/>
  <c r="Z267" i="5" s="1"/>
  <c r="AA267" i="5" s="1"/>
  <c r="T278" i="5"/>
  <c r="T289" i="5"/>
  <c r="T294" i="5"/>
  <c r="T305" i="5"/>
  <c r="T494" i="5"/>
  <c r="T498" i="5"/>
  <c r="T514" i="5"/>
  <c r="T525" i="5"/>
  <c r="T526" i="5"/>
  <c r="T547" i="5"/>
  <c r="T549" i="5"/>
  <c r="U574" i="5"/>
  <c r="Z574" i="5" s="1"/>
  <c r="AA574" i="5" s="1"/>
  <c r="U576" i="5"/>
  <c r="Z576" i="5" s="1"/>
  <c r="AA576" i="5" s="1"/>
  <c r="U578" i="5"/>
  <c r="T606" i="5"/>
  <c r="U547" i="5"/>
  <c r="T230" i="5"/>
  <c r="T260" i="5"/>
  <c r="T285" i="5"/>
  <c r="T301" i="5"/>
  <c r="AA498" i="5"/>
  <c r="T505" i="5"/>
  <c r="T509" i="5"/>
  <c r="O527" i="5"/>
  <c r="V527" i="5" s="1"/>
  <c r="T531" i="5"/>
  <c r="T532" i="5"/>
  <c r="T535" i="5"/>
  <c r="T536" i="5"/>
  <c r="T586" i="5"/>
  <c r="T587" i="5"/>
  <c r="T589" i="5"/>
  <c r="T603" i="5"/>
  <c r="T605" i="5"/>
  <c r="T4" i="5"/>
  <c r="O9" i="5"/>
  <c r="AA9" i="5" s="1"/>
  <c r="O13" i="5"/>
  <c r="AA13" i="5" s="1"/>
  <c r="O17" i="5"/>
  <c r="AA17" i="5" s="1"/>
  <c r="O21" i="5"/>
  <c r="AA21" i="5" s="1"/>
  <c r="O25" i="5"/>
  <c r="U31" i="5"/>
  <c r="Z31" i="5" s="1"/>
  <c r="AA31" i="5" s="1"/>
  <c r="T32" i="5"/>
  <c r="T70" i="5"/>
  <c r="T90" i="5"/>
  <c r="U108" i="5"/>
  <c r="O108" i="5"/>
  <c r="T148" i="5"/>
  <c r="O180" i="5"/>
  <c r="U180" i="5"/>
  <c r="T8" i="5"/>
  <c r="U11" i="5"/>
  <c r="Z11" i="5" s="1"/>
  <c r="AA11" i="5" s="1"/>
  <c r="U15" i="5"/>
  <c r="Z15" i="5" s="1"/>
  <c r="AA15" i="5" s="1"/>
  <c r="U19" i="5"/>
  <c r="Z19" i="5" s="1"/>
  <c r="AA19" i="5" s="1"/>
  <c r="U23" i="5"/>
  <c r="Z23" i="5" s="1"/>
  <c r="AA23" i="5" s="1"/>
  <c r="U27" i="5"/>
  <c r="Z27" i="5" s="1"/>
  <c r="AA27" i="5" s="1"/>
  <c r="T28" i="5"/>
  <c r="T34" i="5"/>
  <c r="T58" i="5"/>
  <c r="T74" i="5"/>
  <c r="V91" i="5"/>
  <c r="T92" i="5"/>
  <c r="V122" i="5"/>
  <c r="O136" i="5"/>
  <c r="U136" i="5"/>
  <c r="Z136" i="5" s="1"/>
  <c r="U243" i="5"/>
  <c r="Z243" i="5" s="1"/>
  <c r="O243" i="5"/>
  <c r="T2" i="5"/>
  <c r="T12" i="5"/>
  <c r="T16" i="5"/>
  <c r="T20" i="5"/>
  <c r="T24" i="5"/>
  <c r="T42" i="5"/>
  <c r="T50" i="5"/>
  <c r="T60" i="5"/>
  <c r="T76" i="5"/>
  <c r="V93" i="5"/>
  <c r="U93" i="5"/>
  <c r="U111" i="5"/>
  <c r="Z111" i="5" s="1"/>
  <c r="AA111" i="5" s="1"/>
  <c r="U114" i="5"/>
  <c r="Z114" i="5" s="1"/>
  <c r="AA114" i="5" s="1"/>
  <c r="U124" i="5"/>
  <c r="O124" i="5"/>
  <c r="U131" i="5"/>
  <c r="Z131" i="5" s="1"/>
  <c r="O131" i="5"/>
  <c r="U5" i="5"/>
  <c r="Z5" i="5" s="1"/>
  <c r="AA5" i="5" s="1"/>
  <c r="T36" i="5"/>
  <c r="T62" i="5"/>
  <c r="T78" i="5"/>
  <c r="U86" i="5"/>
  <c r="Z86" i="5" s="1"/>
  <c r="AA86" i="5" s="1"/>
  <c r="T87" i="5"/>
  <c r="T154" i="5"/>
  <c r="V97" i="5"/>
  <c r="Z2" i="5"/>
  <c r="U29" i="5"/>
  <c r="Z29" i="5" s="1"/>
  <c r="AA29" i="5" s="1"/>
  <c r="T30" i="5"/>
  <c r="AA90" i="5"/>
  <c r="T96" i="5"/>
  <c r="V103" i="5"/>
  <c r="U103" i="5"/>
  <c r="T104" i="5"/>
  <c r="T118" i="5"/>
  <c r="T144" i="5"/>
  <c r="T170" i="5"/>
  <c r="V98" i="5"/>
  <c r="T6" i="5"/>
  <c r="T66" i="5"/>
  <c r="T82" i="5"/>
  <c r="T84" i="5"/>
  <c r="O95" i="5"/>
  <c r="U95" i="5"/>
  <c r="Z95" i="5" s="1"/>
  <c r="T107" i="5"/>
  <c r="T157" i="5"/>
  <c r="T10" i="5"/>
  <c r="T14" i="5"/>
  <c r="O88" i="5"/>
  <c r="U88" i="5"/>
  <c r="O129" i="5"/>
  <c r="U129" i="5"/>
  <c r="Z129" i="5" s="1"/>
  <c r="U146" i="5"/>
  <c r="Z146" i="5" s="1"/>
  <c r="AA146" i="5" s="1"/>
  <c r="O158" i="5"/>
  <c r="U158" i="5"/>
  <c r="Z158" i="5" s="1"/>
  <c r="O166" i="5"/>
  <c r="U166" i="5"/>
  <c r="O105" i="5"/>
  <c r="AA105" i="5" s="1"/>
  <c r="O133" i="5"/>
  <c r="AA133" i="5" s="1"/>
  <c r="U147" i="5"/>
  <c r="Z147" i="5" s="1"/>
  <c r="AA147" i="5" s="1"/>
  <c r="T150" i="5"/>
  <c r="O160" i="5"/>
  <c r="U160" i="5"/>
  <c r="Z160" i="5" s="1"/>
  <c r="T161" i="5"/>
  <c r="T168" i="5"/>
  <c r="T182" i="5"/>
  <c r="T194" i="5"/>
  <c r="U239" i="5"/>
  <c r="Z239" i="5" s="1"/>
  <c r="O239" i="5"/>
  <c r="O242" i="5"/>
  <c r="U242" i="5"/>
  <c r="U84" i="5"/>
  <c r="Z84" i="5" s="1"/>
  <c r="AA84" i="5" s="1"/>
  <c r="T99" i="5"/>
  <c r="T109" i="5"/>
  <c r="U112" i="5"/>
  <c r="Z112" i="5" s="1"/>
  <c r="AA112" i="5" s="1"/>
  <c r="T120" i="5"/>
  <c r="U127" i="5"/>
  <c r="O149" i="5"/>
  <c r="U153" i="5"/>
  <c r="Z153" i="5" s="1"/>
  <c r="AA153" i="5" s="1"/>
  <c r="O155" i="5"/>
  <c r="AA155" i="5" s="1"/>
  <c r="U175" i="5"/>
  <c r="Z175" i="5" s="1"/>
  <c r="O175" i="5"/>
  <c r="T199" i="5"/>
  <c r="T85" i="5"/>
  <c r="T125" i="5"/>
  <c r="V127" i="5"/>
  <c r="U143" i="5"/>
  <c r="Z143" i="5" s="1"/>
  <c r="AA143" i="5" s="1"/>
  <c r="O162" i="5"/>
  <c r="U162" i="5"/>
  <c r="Z162" i="5" s="1"/>
  <c r="T163" i="5"/>
  <c r="T177" i="5"/>
  <c r="O2" i="5"/>
  <c r="U85" i="5"/>
  <c r="O106" i="5"/>
  <c r="AA106" i="5" s="1"/>
  <c r="U113" i="5"/>
  <c r="Z113" i="5" s="1"/>
  <c r="AA113" i="5" s="1"/>
  <c r="O117" i="5"/>
  <c r="AA117" i="5" s="1"/>
  <c r="O134" i="5"/>
  <c r="AA134" i="5" s="1"/>
  <c r="T151" i="5"/>
  <c r="U169" i="5"/>
  <c r="Z169" i="5" s="1"/>
  <c r="O169" i="5"/>
  <c r="U196" i="5"/>
  <c r="Z196" i="5" s="1"/>
  <c r="AA196" i="5" s="1"/>
  <c r="U197" i="5"/>
  <c r="Z197" i="5" s="1"/>
  <c r="AA197" i="5" s="1"/>
  <c r="U144" i="5"/>
  <c r="Z144" i="5" s="1"/>
  <c r="AA144" i="5" s="1"/>
  <c r="O164" i="5"/>
  <c r="U164" i="5"/>
  <c r="Z164" i="5" s="1"/>
  <c r="O170" i="5"/>
  <c r="U170" i="5"/>
  <c r="Z170" i="5" s="1"/>
  <c r="U171" i="5"/>
  <c r="O171" i="5"/>
  <c r="U100" i="5"/>
  <c r="Z100" i="5" s="1"/>
  <c r="AA100" i="5" s="1"/>
  <c r="U110" i="5"/>
  <c r="Z110" i="5" s="1"/>
  <c r="AA110" i="5" s="1"/>
  <c r="U121" i="5"/>
  <c r="Z121" i="5" s="1"/>
  <c r="AA121" i="5" s="1"/>
  <c r="T126" i="5"/>
  <c r="U135" i="5"/>
  <c r="T135" i="5"/>
  <c r="U145" i="5"/>
  <c r="Z145" i="5" s="1"/>
  <c r="AA145" i="5" s="1"/>
  <c r="T152" i="5"/>
  <c r="U217" i="5"/>
  <c r="Z217" i="5" s="1"/>
  <c r="O217" i="5"/>
  <c r="T184" i="5"/>
  <c r="U187" i="5"/>
  <c r="Z187" i="5" s="1"/>
  <c r="AA187" i="5" s="1"/>
  <c r="T209" i="5"/>
  <c r="V212" i="5"/>
  <c r="V189" i="5"/>
  <c r="Z189" i="5" s="1"/>
  <c r="O214" i="5"/>
  <c r="U214" i="5"/>
  <c r="Z214" i="5" s="1"/>
  <c r="T215" i="5"/>
  <c r="T220" i="5"/>
  <c r="T225" i="5"/>
  <c r="O240" i="5"/>
  <c r="U240" i="5"/>
  <c r="U244" i="5"/>
  <c r="O244" i="5"/>
  <c r="U204" i="5"/>
  <c r="Z204" i="5" s="1"/>
  <c r="AA204" i="5" s="1"/>
  <c r="O230" i="5"/>
  <c r="U230" i="5"/>
  <c r="Z230" i="5" s="1"/>
  <c r="U231" i="5"/>
  <c r="Z231" i="5" s="1"/>
  <c r="O231" i="5"/>
  <c r="Z235" i="5"/>
  <c r="T185" i="5"/>
  <c r="U188" i="5"/>
  <c r="U198" i="5"/>
  <c r="Z198" i="5" s="1"/>
  <c r="AA198" i="5" s="1"/>
  <c r="T205" i="5"/>
  <c r="V219" i="5"/>
  <c r="V229" i="5"/>
  <c r="O232" i="5"/>
  <c r="U232" i="5"/>
  <c r="Z232" i="5" s="1"/>
  <c r="U233" i="5"/>
  <c r="Z233" i="5" s="1"/>
  <c r="O233" i="5"/>
  <c r="O236" i="5"/>
  <c r="U236" i="5"/>
  <c r="U248" i="5"/>
  <c r="Z248" i="5" s="1"/>
  <c r="O248" i="5"/>
  <c r="U255" i="5"/>
  <c r="Z255" i="5" s="1"/>
  <c r="O255" i="5"/>
  <c r="O491" i="5"/>
  <c r="U491" i="5"/>
  <c r="U210" i="5"/>
  <c r="Z210" i="5" s="1"/>
  <c r="O210" i="5"/>
  <c r="T222" i="5"/>
  <c r="U226" i="5"/>
  <c r="O226" i="5"/>
  <c r="O234" i="5"/>
  <c r="U234" i="5"/>
  <c r="Z234" i="5" s="1"/>
  <c r="U253" i="5"/>
  <c r="Z253" i="5" s="1"/>
  <c r="O253" i="5"/>
  <c r="O260" i="5"/>
  <c r="U260" i="5"/>
  <c r="Z260" i="5" s="1"/>
  <c r="U263" i="5"/>
  <c r="Z263" i="5" s="1"/>
  <c r="O263" i="5"/>
  <c r="T192" i="5"/>
  <c r="T195" i="5"/>
  <c r="U199" i="5"/>
  <c r="Z199" i="5" s="1"/>
  <c r="AA199" i="5" s="1"/>
  <c r="O201" i="5"/>
  <c r="T206" i="5"/>
  <c r="O211" i="5"/>
  <c r="U211" i="5"/>
  <c r="T227" i="5"/>
  <c r="T238" i="5"/>
  <c r="T203" i="5"/>
  <c r="O207" i="5"/>
  <c r="U207" i="5"/>
  <c r="Z207" i="5" s="1"/>
  <c r="T208" i="5"/>
  <c r="T213" i="5"/>
  <c r="O218" i="5"/>
  <c r="U218" i="5"/>
  <c r="O228" i="5"/>
  <c r="U228" i="5"/>
  <c r="T242" i="5"/>
  <c r="V256" i="5"/>
  <c r="T264" i="5"/>
  <c r="T267" i="5"/>
  <c r="T272" i="5"/>
  <c r="T288" i="5"/>
  <c r="T304" i="5"/>
  <c r="T314" i="5"/>
  <c r="T330" i="5"/>
  <c r="T257" i="5"/>
  <c r="T273" i="5"/>
  <c r="T245" i="5"/>
  <c r="T268" i="5"/>
  <c r="T284" i="5"/>
  <c r="T300" i="5"/>
  <c r="T318" i="5"/>
  <c r="T334" i="5"/>
  <c r="O543" i="5"/>
  <c r="U543" i="5"/>
  <c r="Z543" i="5" s="1"/>
  <c r="T235" i="5"/>
  <c r="T261" i="5"/>
  <c r="T269" i="5"/>
  <c r="T274" i="5"/>
  <c r="T290" i="5"/>
  <c r="T306" i="5"/>
  <c r="T320" i="5"/>
  <c r="T246" i="5"/>
  <c r="O250" i="5"/>
  <c r="AA250" i="5" s="1"/>
  <c r="O258" i="5"/>
  <c r="U258" i="5"/>
  <c r="Z258" i="5" s="1"/>
  <c r="T280" i="5"/>
  <c r="T296" i="5"/>
  <c r="T322" i="5"/>
  <c r="O247" i="5"/>
  <c r="U247" i="5"/>
  <c r="O262" i="5"/>
  <c r="U262" i="5"/>
  <c r="T276" i="5"/>
  <c r="T292" i="5"/>
  <c r="T310" i="5"/>
  <c r="T326" i="5"/>
  <c r="U246" i="5"/>
  <c r="Z246" i="5" s="1"/>
  <c r="AA246" i="5" s="1"/>
  <c r="U309" i="5"/>
  <c r="Z309" i="5" s="1"/>
  <c r="AA309" i="5" s="1"/>
  <c r="U311" i="5"/>
  <c r="Z311" i="5" s="1"/>
  <c r="AA311" i="5" s="1"/>
  <c r="U313" i="5"/>
  <c r="Z313" i="5" s="1"/>
  <c r="AA313" i="5" s="1"/>
  <c r="U315" i="5"/>
  <c r="Z315" i="5" s="1"/>
  <c r="AA315" i="5" s="1"/>
  <c r="U317" i="5"/>
  <c r="Z317" i="5" s="1"/>
  <c r="AA317" i="5" s="1"/>
  <c r="U319" i="5"/>
  <c r="Z319" i="5" s="1"/>
  <c r="AA319" i="5" s="1"/>
  <c r="U321" i="5"/>
  <c r="Z321" i="5" s="1"/>
  <c r="AA321" i="5" s="1"/>
  <c r="U323" i="5"/>
  <c r="Z323" i="5" s="1"/>
  <c r="AA323" i="5" s="1"/>
  <c r="U325" i="5"/>
  <c r="Z325" i="5" s="1"/>
  <c r="AA325" i="5" s="1"/>
  <c r="U327" i="5"/>
  <c r="Z327" i="5" s="1"/>
  <c r="AA327" i="5" s="1"/>
  <c r="U329" i="5"/>
  <c r="Z329" i="5" s="1"/>
  <c r="AA329" i="5" s="1"/>
  <c r="U331" i="5"/>
  <c r="Z331" i="5" s="1"/>
  <c r="AA331" i="5" s="1"/>
  <c r="U333" i="5"/>
  <c r="Z333" i="5" s="1"/>
  <c r="AA333" i="5" s="1"/>
  <c r="T530" i="5"/>
  <c r="V578" i="5"/>
  <c r="T499" i="5"/>
  <c r="T501" i="5"/>
  <c r="T503" i="5"/>
  <c r="T519" i="5"/>
  <c r="R609" i="5"/>
  <c r="T592" i="5"/>
  <c r="T594" i="5"/>
  <c r="T596" i="5"/>
  <c r="T598" i="5"/>
  <c r="T600" i="5"/>
  <c r="T602" i="5"/>
  <c r="U254" i="5"/>
  <c r="Z254" i="5" s="1"/>
  <c r="AA254" i="5" s="1"/>
  <c r="U256" i="5"/>
  <c r="O522" i="5"/>
  <c r="U522" i="5"/>
  <c r="T548" i="5"/>
  <c r="S609" i="5"/>
  <c r="T588" i="5"/>
  <c r="T590" i="5"/>
  <c r="O500" i="5"/>
  <c r="U500" i="5"/>
  <c r="Z500" i="5" s="1"/>
  <c r="O502" i="5"/>
  <c r="U502" i="5"/>
  <c r="Z502" i="5" s="1"/>
  <c r="T507" i="5"/>
  <c r="T517" i="5"/>
  <c r="O520" i="5"/>
  <c r="U520" i="5"/>
  <c r="Z520" i="5" s="1"/>
  <c r="O591" i="5"/>
  <c r="U591" i="5"/>
  <c r="Z591" i="5" s="1"/>
  <c r="O593" i="5"/>
  <c r="U593" i="5"/>
  <c r="Z593" i="5" s="1"/>
  <c r="O595" i="5"/>
  <c r="U595" i="5"/>
  <c r="Z595" i="5" s="1"/>
  <c r="O597" i="5"/>
  <c r="U597" i="5"/>
  <c r="Z597" i="5" s="1"/>
  <c r="O599" i="5"/>
  <c r="U599" i="5"/>
  <c r="Z599" i="5" s="1"/>
  <c r="O601" i="5"/>
  <c r="U601" i="5"/>
  <c r="Z601" i="5" s="1"/>
  <c r="T490" i="5"/>
  <c r="O504" i="5"/>
  <c r="U504" i="5"/>
  <c r="Z504" i="5" s="1"/>
  <c r="O508" i="5"/>
  <c r="U508" i="5"/>
  <c r="Z508" i="5" s="1"/>
  <c r="O518" i="5"/>
  <c r="U518" i="5"/>
  <c r="Z518" i="5" s="1"/>
  <c r="T553" i="5"/>
  <c r="T555" i="5"/>
  <c r="V586" i="5"/>
  <c r="V590" i="5"/>
  <c r="U490" i="5"/>
  <c r="T496" i="5"/>
  <c r="O506" i="5"/>
  <c r="U506" i="5"/>
  <c r="Z506" i="5" s="1"/>
  <c r="V512" i="5"/>
  <c r="O516" i="5"/>
  <c r="U516" i="5"/>
  <c r="Z516" i="5" s="1"/>
  <c r="T540" i="5"/>
  <c r="T542" i="5"/>
  <c r="T544" i="5"/>
  <c r="O556" i="5"/>
  <c r="U556" i="5"/>
  <c r="I609" i="5"/>
  <c r="V551" i="5"/>
  <c r="V555" i="5"/>
  <c r="L609" i="5"/>
  <c r="O495" i="5"/>
  <c r="AA495" i="5" s="1"/>
  <c r="O513" i="5"/>
  <c r="AA513" i="5" s="1"/>
  <c r="V547" i="5"/>
  <c r="O550" i="5"/>
  <c r="AA550" i="5" s="1"/>
  <c r="O579" i="5"/>
  <c r="AA579" i="5" s="1"/>
  <c r="O581" i="5"/>
  <c r="AA581" i="5" s="1"/>
  <c r="O583" i="5"/>
  <c r="AA583" i="5" s="1"/>
  <c r="O585" i="5"/>
  <c r="AA585" i="5" s="1"/>
  <c r="U510" i="5"/>
  <c r="Z510" i="5" s="1"/>
  <c r="AA510" i="5" s="1"/>
  <c r="U512" i="5"/>
  <c r="U605" i="5"/>
  <c r="Z605" i="5" s="1"/>
  <c r="AA605" i="5" s="1"/>
  <c r="U607" i="5"/>
  <c r="Z607" i="5" s="1"/>
  <c r="AA607" i="5" s="1"/>
  <c r="U496" i="5"/>
  <c r="Z496" i="5" s="1"/>
  <c r="AA496" i="5" s="1"/>
  <c r="U514" i="5"/>
  <c r="Z514" i="5" s="1"/>
  <c r="AA514" i="5" s="1"/>
  <c r="Q527" i="5"/>
  <c r="Z530" i="5"/>
  <c r="U534" i="5"/>
  <c r="Z534" i="5" s="1"/>
  <c r="AA534" i="5" s="1"/>
  <c r="U536" i="5"/>
  <c r="Z536" i="5" s="1"/>
  <c r="AA536" i="5" s="1"/>
  <c r="U538" i="5"/>
  <c r="Z538" i="5" s="1"/>
  <c r="AA538" i="5" s="1"/>
  <c r="V549" i="5"/>
  <c r="Z549" i="5" s="1"/>
  <c r="AA549" i="5" s="1"/>
  <c r="U551" i="5"/>
  <c r="U580" i="5"/>
  <c r="Z580" i="5" s="1"/>
  <c r="AA580" i="5" s="1"/>
  <c r="U582" i="5"/>
  <c r="Z582" i="5" s="1"/>
  <c r="AA582" i="5" s="1"/>
  <c r="U584" i="5"/>
  <c r="Z584" i="5" s="1"/>
  <c r="AA584" i="5" s="1"/>
  <c r="U586" i="5"/>
  <c r="T515" i="5"/>
  <c r="U553" i="5"/>
  <c r="Z553" i="5" s="1"/>
  <c r="AA553" i="5" s="1"/>
  <c r="U555" i="5"/>
  <c r="U588" i="5"/>
  <c r="Z588" i="5" s="1"/>
  <c r="AA588" i="5" s="1"/>
  <c r="U590" i="5"/>
  <c r="U507" i="5"/>
  <c r="Z507" i="5" s="1"/>
  <c r="AA507" i="5" s="1"/>
  <c r="U509" i="5"/>
  <c r="Z509" i="5" s="1"/>
  <c r="AA509" i="5" s="1"/>
  <c r="U515" i="5"/>
  <c r="U517" i="5"/>
  <c r="Z517" i="5" s="1"/>
  <c r="AA517" i="5" s="1"/>
  <c r="U519" i="5"/>
  <c r="Z519" i="5" s="1"/>
  <c r="AA519" i="5" s="1"/>
  <c r="U521" i="5"/>
  <c r="Z521" i="5" s="1"/>
  <c r="AA521" i="5" s="1"/>
  <c r="S527" i="5"/>
  <c r="U548" i="5"/>
  <c r="Z548" i="5" s="1"/>
  <c r="AA548" i="5" s="1"/>
  <c r="O499" i="5"/>
  <c r="U527" i="5"/>
  <c r="U10" i="4"/>
  <c r="Z10" i="4" s="1"/>
  <c r="AA10" i="4" s="1"/>
  <c r="U3" i="4"/>
  <c r="Z3" i="4" s="1"/>
  <c r="T5" i="4"/>
  <c r="T4" i="4"/>
  <c r="T6" i="4"/>
  <c r="U4" i="4"/>
  <c r="Z4" i="4" s="1"/>
  <c r="AA4" i="4" s="1"/>
  <c r="H15" i="4"/>
  <c r="L15" i="4"/>
  <c r="O6" i="4"/>
  <c r="AA6" i="4" s="1"/>
  <c r="T13" i="4"/>
  <c r="R15" i="4"/>
  <c r="T11" i="4"/>
  <c r="Q15" i="4"/>
  <c r="T9" i="4"/>
  <c r="T10" i="4"/>
  <c r="AA3" i="4"/>
  <c r="V9" i="4"/>
  <c r="Z2" i="4"/>
  <c r="V13" i="4"/>
  <c r="V15" i="4"/>
  <c r="Z8" i="4"/>
  <c r="AA8" i="4" s="1"/>
  <c r="S15" i="4"/>
  <c r="U5" i="4"/>
  <c r="U7" i="4"/>
  <c r="Z7" i="4" s="1"/>
  <c r="AA7" i="4" s="1"/>
  <c r="U14" i="4"/>
  <c r="Z14" i="4" s="1"/>
  <c r="AA14" i="4" s="1"/>
  <c r="U9" i="4"/>
  <c r="O12" i="4"/>
  <c r="AA12" i="4" s="1"/>
  <c r="T2" i="4"/>
  <c r="O5" i="4"/>
  <c r="U11" i="4"/>
  <c r="Z11" i="4" s="1"/>
  <c r="AA11" i="4" s="1"/>
  <c r="O2" i="4"/>
  <c r="U13" i="4"/>
  <c r="AH21" i="1"/>
  <c r="AH22" i="1"/>
  <c r="AH23" i="1"/>
  <c r="AH24" i="1"/>
  <c r="AH25" i="1"/>
  <c r="AH26" i="1"/>
  <c r="AH27" i="1"/>
  <c r="AD21" i="1"/>
  <c r="AD22" i="1"/>
  <c r="AD23" i="1"/>
  <c r="AD24" i="1"/>
  <c r="AD25" i="1"/>
  <c r="AD26" i="1"/>
  <c r="AD27" i="1"/>
  <c r="Z166" i="8" l="1"/>
  <c r="AA166" i="8" s="1"/>
  <c r="T15" i="4"/>
  <c r="V10" i="8"/>
  <c r="Z10" i="8" s="1"/>
  <c r="AA10" i="8" s="1"/>
  <c r="V7" i="8"/>
  <c r="Z7" i="8" s="1"/>
  <c r="AA7" i="8" s="1"/>
  <c r="AA157" i="8"/>
  <c r="Z55" i="9"/>
  <c r="AA55" i="9" s="1"/>
  <c r="AA94" i="8"/>
  <c r="Z120" i="8"/>
  <c r="AA120" i="8" s="1"/>
  <c r="Z15" i="9"/>
  <c r="AA15" i="9" s="1"/>
  <c r="Z173" i="8"/>
  <c r="AA173" i="8" s="1"/>
  <c r="Z43" i="8"/>
  <c r="AA43" i="8" s="1"/>
  <c r="AA363" i="5"/>
  <c r="Z407" i="5"/>
  <c r="AA407" i="5" s="1"/>
  <c r="AA478" i="5"/>
  <c r="Z444" i="5"/>
  <c r="AA444" i="5" s="1"/>
  <c r="AA411" i="5"/>
  <c r="AA483" i="5"/>
  <c r="AA477" i="5"/>
  <c r="AA373" i="5"/>
  <c r="AA399" i="5"/>
  <c r="Z122" i="5"/>
  <c r="AA122" i="5" s="1"/>
  <c r="AA417" i="5"/>
  <c r="Z374" i="5"/>
  <c r="AA374" i="5" s="1"/>
  <c r="AA401" i="5"/>
  <c r="AA463" i="5"/>
  <c r="AA28" i="6"/>
  <c r="AA23" i="6"/>
  <c r="Z16" i="6"/>
  <c r="AA16" i="6" s="1"/>
  <c r="Z31" i="6"/>
  <c r="AA65" i="6"/>
  <c r="AA144" i="6" s="1"/>
  <c r="AA40" i="6"/>
  <c r="O144" i="6"/>
  <c r="AA34" i="6"/>
  <c r="T144" i="6"/>
  <c r="Z41" i="6"/>
  <c r="AA41" i="6" s="1"/>
  <c r="Z38" i="6"/>
  <c r="AA58" i="9"/>
  <c r="Z85" i="9"/>
  <c r="AA85" i="9" s="1"/>
  <c r="AA11" i="9"/>
  <c r="AA45" i="9"/>
  <c r="V72" i="9"/>
  <c r="Z72" i="9" s="1"/>
  <c r="AA72" i="9" s="1"/>
  <c r="AA39" i="9"/>
  <c r="Z92" i="9"/>
  <c r="AA92" i="9" s="1"/>
  <c r="T111" i="9"/>
  <c r="AA47" i="9"/>
  <c r="AA23" i="9"/>
  <c r="AA60" i="9"/>
  <c r="AA61" i="9"/>
  <c r="V345" i="5"/>
  <c r="Z345" i="5" s="1"/>
  <c r="AA345" i="5" s="1"/>
  <c r="AA402" i="5"/>
  <c r="AA596" i="5"/>
  <c r="AA431" i="5"/>
  <c r="AA392" i="5"/>
  <c r="AA568" i="5"/>
  <c r="AA428" i="5"/>
  <c r="Z465" i="5"/>
  <c r="AA465" i="5" s="1"/>
  <c r="AA356" i="5"/>
  <c r="AA592" i="5"/>
  <c r="Z353" i="5"/>
  <c r="AA353" i="5" s="1"/>
  <c r="T485" i="5"/>
  <c r="V476" i="5"/>
  <c r="Z476" i="5" s="1"/>
  <c r="AA476" i="5" s="1"/>
  <c r="V340" i="5"/>
  <c r="Z340" i="5" s="1"/>
  <c r="AA340" i="5" s="1"/>
  <c r="AA424" i="5"/>
  <c r="Z357" i="5"/>
  <c r="AA357" i="5" s="1"/>
  <c r="Z348" i="5"/>
  <c r="AA348" i="5" s="1"/>
  <c r="V372" i="5"/>
  <c r="Z372" i="5" s="1"/>
  <c r="AA372" i="5" s="1"/>
  <c r="V385" i="5"/>
  <c r="Z385" i="5" s="1"/>
  <c r="AA385" i="5" s="1"/>
  <c r="U485" i="5"/>
  <c r="V440" i="5"/>
  <c r="Z440" i="5" s="1"/>
  <c r="AA440" i="5" s="1"/>
  <c r="Z355" i="5"/>
  <c r="AA355" i="5" s="1"/>
  <c r="AA182" i="5"/>
  <c r="Z450" i="5"/>
  <c r="AA450" i="5" s="1"/>
  <c r="V430" i="5"/>
  <c r="Z430" i="5" s="1"/>
  <c r="AA430" i="5" s="1"/>
  <c r="Z352" i="5"/>
  <c r="AA352" i="5" s="1"/>
  <c r="Z362" i="5"/>
  <c r="AA362" i="5" s="1"/>
  <c r="AA422" i="5"/>
  <c r="AA446" i="5"/>
  <c r="AA426" i="5"/>
  <c r="O485" i="5"/>
  <c r="AD485" i="5" s="1"/>
  <c r="V335" i="5"/>
  <c r="V439" i="5"/>
  <c r="Z439" i="5" s="1"/>
  <c r="AA439" i="5" s="1"/>
  <c r="AA235" i="5"/>
  <c r="Z212" i="5"/>
  <c r="AA212" i="5" s="1"/>
  <c r="AA116" i="5"/>
  <c r="Z98" i="5"/>
  <c r="AA98" i="5" s="1"/>
  <c r="V13" i="9"/>
  <c r="Z36" i="9"/>
  <c r="AA36" i="9" s="1"/>
  <c r="Z5" i="9"/>
  <c r="V71" i="9"/>
  <c r="Z71" i="9" s="1"/>
  <c r="AA71" i="9" s="1"/>
  <c r="AA38" i="9"/>
  <c r="AA5" i="9"/>
  <c r="Z104" i="9"/>
  <c r="U111" i="9"/>
  <c r="Z42" i="9"/>
  <c r="AA42" i="9" s="1"/>
  <c r="Z35" i="9"/>
  <c r="AA35" i="9" s="1"/>
  <c r="V49" i="9"/>
  <c r="Z49" i="9" s="1"/>
  <c r="AA49" i="9" s="1"/>
  <c r="AA25" i="9"/>
  <c r="V25" i="9"/>
  <c r="Z25" i="9" s="1"/>
  <c r="AA21" i="9"/>
  <c r="AA88" i="8"/>
  <c r="T204" i="8"/>
  <c r="AA203" i="8"/>
  <c r="V122" i="8"/>
  <c r="Z122" i="8" s="1"/>
  <c r="AA122" i="8" s="1"/>
  <c r="AA201" i="8"/>
  <c r="V72" i="8"/>
  <c r="Z72" i="8" s="1"/>
  <c r="AA72" i="8" s="1"/>
  <c r="AA90" i="8"/>
  <c r="V65" i="8"/>
  <c r="Z65" i="8" s="1"/>
  <c r="AA65" i="8" s="1"/>
  <c r="V46" i="8"/>
  <c r="Z46" i="8" s="1"/>
  <c r="AA46" i="8" s="1"/>
  <c r="Z70" i="8"/>
  <c r="AA70" i="8" s="1"/>
  <c r="AA129" i="8"/>
  <c r="V129" i="8"/>
  <c r="Z129" i="8" s="1"/>
  <c r="V93" i="8"/>
  <c r="Z93" i="8" s="1"/>
  <c r="AA93" i="8" s="1"/>
  <c r="Z163" i="8"/>
  <c r="AA163" i="8" s="1"/>
  <c r="V37" i="8"/>
  <c r="Z37" i="8" s="1"/>
  <c r="AA37" i="8" s="1"/>
  <c r="Z6" i="8"/>
  <c r="AA6" i="8" s="1"/>
  <c r="V152" i="8"/>
  <c r="Z152" i="8" s="1"/>
  <c r="AA152" i="8" s="1"/>
  <c r="Z141" i="8"/>
  <c r="AA141" i="8" s="1"/>
  <c r="Z188" i="8"/>
  <c r="AA188" i="8" s="1"/>
  <c r="Z197" i="8"/>
  <c r="AA197" i="8" s="1"/>
  <c r="AA150" i="8"/>
  <c r="V138" i="8"/>
  <c r="Z138" i="8" s="1"/>
  <c r="AA138" i="8" s="1"/>
  <c r="V113" i="8"/>
  <c r="Z113" i="8" s="1"/>
  <c r="AA113" i="8" s="1"/>
  <c r="Z192" i="8"/>
  <c r="AA192" i="8" s="1"/>
  <c r="AA97" i="8"/>
  <c r="V101" i="8"/>
  <c r="Z101" i="8" s="1"/>
  <c r="AA101" i="8" s="1"/>
  <c r="V177" i="8"/>
  <c r="Z177" i="8" s="1"/>
  <c r="AA177" i="8" s="1"/>
  <c r="V99" i="8"/>
  <c r="Z99" i="8" s="1"/>
  <c r="AA99" i="8" s="1"/>
  <c r="AA199" i="8"/>
  <c r="Z23" i="8"/>
  <c r="AA23" i="8" s="1"/>
  <c r="AA84" i="8"/>
  <c r="V77" i="8"/>
  <c r="Z77" i="8" s="1"/>
  <c r="AA77" i="8" s="1"/>
  <c r="V185" i="8"/>
  <c r="Z185" i="8" s="1"/>
  <c r="AA185" i="8" s="1"/>
  <c r="V28" i="8"/>
  <c r="Z28" i="8" s="1"/>
  <c r="AA28" i="8" s="1"/>
  <c r="Z4" i="8"/>
  <c r="U204" i="8"/>
  <c r="O204" i="8"/>
  <c r="Z196" i="8"/>
  <c r="AA196" i="8" s="1"/>
  <c r="Z195" i="8"/>
  <c r="AA195" i="8" s="1"/>
  <c r="Z193" i="8"/>
  <c r="AA193" i="8" s="1"/>
  <c r="T21" i="7"/>
  <c r="O36" i="7"/>
  <c r="T36" i="7"/>
  <c r="T20" i="7"/>
  <c r="AA36" i="7"/>
  <c r="Z20" i="7"/>
  <c r="AA20" i="7" s="1"/>
  <c r="Z36" i="7"/>
  <c r="U36" i="7"/>
  <c r="AA44" i="6"/>
  <c r="Z42" i="6"/>
  <c r="AA42" i="6" s="1"/>
  <c r="Z5" i="6"/>
  <c r="Z26" i="6"/>
  <c r="Z49" i="6"/>
  <c r="AA37" i="6"/>
  <c r="V39" i="6"/>
  <c r="AA46" i="6"/>
  <c r="T48" i="6"/>
  <c r="Z21" i="6"/>
  <c r="AA21" i="6" s="1"/>
  <c r="Z144" i="6"/>
  <c r="Z48" i="6"/>
  <c r="U144" i="6"/>
  <c r="AA19" i="6"/>
  <c r="V570" i="5"/>
  <c r="Z570" i="5" s="1"/>
  <c r="AA570" i="5" s="1"/>
  <c r="Z565" i="5"/>
  <c r="Z229" i="5"/>
  <c r="AA229" i="5" s="1"/>
  <c r="Z566" i="5"/>
  <c r="AA566" i="5" s="1"/>
  <c r="AA603" i="5"/>
  <c r="AA594" i="5"/>
  <c r="AA598" i="5"/>
  <c r="AA152" i="5"/>
  <c r="AA157" i="5"/>
  <c r="Z97" i="5"/>
  <c r="AA97" i="5" s="1"/>
  <c r="Z220" i="5"/>
  <c r="AA220" i="5" s="1"/>
  <c r="AA148" i="5"/>
  <c r="AA118" i="5"/>
  <c r="Z91" i="5"/>
  <c r="AA91" i="5" s="1"/>
  <c r="AA35" i="5"/>
  <c r="Z103" i="5"/>
  <c r="AA103" i="5" s="1"/>
  <c r="Z209" i="5"/>
  <c r="AA209" i="5" s="1"/>
  <c r="AA233" i="5"/>
  <c r="AA600" i="5"/>
  <c r="Z578" i="5"/>
  <c r="AA578" i="5" s="1"/>
  <c r="Z527" i="5"/>
  <c r="AA527" i="5" s="1"/>
  <c r="AA591" i="5"/>
  <c r="AA175" i="5"/>
  <c r="AA593" i="5"/>
  <c r="AA170" i="5"/>
  <c r="AA34" i="5"/>
  <c r="AA32" i="5"/>
  <c r="T527" i="5"/>
  <c r="Z219" i="5"/>
  <c r="AA219" i="5" s="1"/>
  <c r="AA120" i="5"/>
  <c r="AA95" i="5"/>
  <c r="Z602" i="5"/>
  <c r="AA602" i="5" s="1"/>
  <c r="AA227" i="5"/>
  <c r="AA604" i="5"/>
  <c r="AA33" i="5"/>
  <c r="AA520" i="5"/>
  <c r="AA258" i="5"/>
  <c r="AA500" i="5"/>
  <c r="AA189" i="5"/>
  <c r="AA217" i="5"/>
  <c r="AA99" i="5"/>
  <c r="AA164" i="5"/>
  <c r="AA243" i="5"/>
  <c r="AA89" i="5"/>
  <c r="AA30" i="5"/>
  <c r="AA543" i="5"/>
  <c r="V192" i="5"/>
  <c r="Z192" i="5" s="1"/>
  <c r="AA192" i="5" s="1"/>
  <c r="V215" i="5"/>
  <c r="Z215" i="5" s="1"/>
  <c r="AA215" i="5" s="1"/>
  <c r="Z257" i="5"/>
  <c r="AA257" i="5" s="1"/>
  <c r="AA234" i="5"/>
  <c r="AA136" i="5"/>
  <c r="V497" i="5"/>
  <c r="Z497" i="5" s="1"/>
  <c r="AA497" i="5" s="1"/>
  <c r="AA505" i="5"/>
  <c r="Z186" i="5"/>
  <c r="AA186" i="5" s="1"/>
  <c r="Z590" i="5"/>
  <c r="AA590" i="5" s="1"/>
  <c r="AA518" i="5"/>
  <c r="Z127" i="5"/>
  <c r="AA127" i="5" s="1"/>
  <c r="AA239" i="5"/>
  <c r="Z547" i="5"/>
  <c r="V556" i="5"/>
  <c r="Z556" i="5" s="1"/>
  <c r="AA556" i="5" s="1"/>
  <c r="AA506" i="5"/>
  <c r="Z586" i="5"/>
  <c r="AA586" i="5" s="1"/>
  <c r="AA232" i="5"/>
  <c r="Z135" i="5"/>
  <c r="AA162" i="5"/>
  <c r="Z93" i="5"/>
  <c r="AA93" i="5" s="1"/>
  <c r="V180" i="5"/>
  <c r="Z180" i="5" s="1"/>
  <c r="AA180" i="5" s="1"/>
  <c r="V211" i="5"/>
  <c r="Z211" i="5" s="1"/>
  <c r="AA211" i="5" s="1"/>
  <c r="V188" i="5"/>
  <c r="Z188" i="5" s="1"/>
  <c r="AA188" i="5" s="1"/>
  <c r="AA2" i="5"/>
  <c r="Z242" i="5"/>
  <c r="Z515" i="5"/>
  <c r="T609" i="5"/>
  <c r="AA597" i="5"/>
  <c r="AA263" i="5"/>
  <c r="AA230" i="5"/>
  <c r="V166" i="5"/>
  <c r="Z166" i="5" s="1"/>
  <c r="AA166" i="5" s="1"/>
  <c r="V124" i="5"/>
  <c r="Z124" i="5" s="1"/>
  <c r="AA124" i="5" s="1"/>
  <c r="V201" i="5"/>
  <c r="Z201" i="5" s="1"/>
  <c r="AA201" i="5" s="1"/>
  <c r="V491" i="5"/>
  <c r="V108" i="5"/>
  <c r="Z108" i="5" s="1"/>
  <c r="AA108" i="5" s="1"/>
  <c r="V25" i="5"/>
  <c r="Z555" i="5"/>
  <c r="AA555" i="5" s="1"/>
  <c r="Z490" i="5"/>
  <c r="O609" i="5"/>
  <c r="AA601" i="5"/>
  <c r="AA502" i="5"/>
  <c r="V247" i="5"/>
  <c r="Z247" i="5" s="1"/>
  <c r="AA247" i="5" s="1"/>
  <c r="AA207" i="5"/>
  <c r="V226" i="5"/>
  <c r="Z226" i="5" s="1"/>
  <c r="AA226" i="5" s="1"/>
  <c r="V149" i="5"/>
  <c r="AA160" i="5"/>
  <c r="AA129" i="5"/>
  <c r="V171" i="5"/>
  <c r="Z171" i="5" s="1"/>
  <c r="AA171" i="5" s="1"/>
  <c r="AA499" i="5"/>
  <c r="Z533" i="5"/>
  <c r="AA533" i="5" s="1"/>
  <c r="AA516" i="5"/>
  <c r="Z512" i="5"/>
  <c r="AA512" i="5" s="1"/>
  <c r="AA508" i="5"/>
  <c r="AA595" i="5"/>
  <c r="AA530" i="5"/>
  <c r="V228" i="5"/>
  <c r="Z228" i="5" s="1"/>
  <c r="AA228" i="5" s="1"/>
  <c r="AA260" i="5"/>
  <c r="AA255" i="5"/>
  <c r="V236" i="5"/>
  <c r="V240" i="5"/>
  <c r="Z240" i="5" s="1"/>
  <c r="AA240" i="5" s="1"/>
  <c r="AA214" i="5"/>
  <c r="AA158" i="5"/>
  <c r="AA131" i="5"/>
  <c r="V609" i="5"/>
  <c r="Z256" i="5"/>
  <c r="AA256" i="5" s="1"/>
  <c r="V244" i="5"/>
  <c r="U609" i="5"/>
  <c r="Z551" i="5"/>
  <c r="AA551" i="5" s="1"/>
  <c r="AA504" i="5"/>
  <c r="AA599" i="5"/>
  <c r="V522" i="5"/>
  <c r="V262" i="5"/>
  <c r="Z262" i="5" s="1"/>
  <c r="AA262" i="5" s="1"/>
  <c r="V218" i="5"/>
  <c r="Z218" i="5" s="1"/>
  <c r="AA218" i="5" s="1"/>
  <c r="AA253" i="5"/>
  <c r="AA210" i="5"/>
  <c r="AA248" i="5"/>
  <c r="AA231" i="5"/>
  <c r="AA169" i="5"/>
  <c r="Z85" i="5"/>
  <c r="V88" i="5"/>
  <c r="O15" i="4"/>
  <c r="Z13" i="4"/>
  <c r="AA13" i="4" s="1"/>
  <c r="Z9" i="4"/>
  <c r="AA9" i="4" s="1"/>
  <c r="AA2" i="4"/>
  <c r="U15" i="4"/>
  <c r="Z5" i="4"/>
  <c r="G26" i="1"/>
  <c r="AO26" i="1" s="1"/>
  <c r="G21" i="1"/>
  <c r="AO21" i="1" s="1"/>
  <c r="G22" i="1"/>
  <c r="AO22" i="1" s="1"/>
  <c r="G23" i="1"/>
  <c r="AO23" i="1" s="1"/>
  <c r="G24" i="1"/>
  <c r="AO24" i="1" s="1"/>
  <c r="G25" i="1"/>
  <c r="AO25" i="1" s="1"/>
  <c r="G27" i="1"/>
  <c r="AO27" i="1" s="1"/>
  <c r="G20" i="1"/>
  <c r="AO20" i="1" s="1"/>
  <c r="N35" i="3"/>
  <c r="M35" i="3"/>
  <c r="K35" i="3"/>
  <c r="J35" i="3"/>
  <c r="G35" i="3"/>
  <c r="L34" i="3"/>
  <c r="I34" i="3"/>
  <c r="H34" i="3"/>
  <c r="O34" i="3" s="1"/>
  <c r="I33" i="3"/>
  <c r="H33" i="3"/>
  <c r="L32" i="3"/>
  <c r="I32" i="3"/>
  <c r="H32" i="3"/>
  <c r="O32" i="3" s="1"/>
  <c r="L31" i="3"/>
  <c r="I31" i="3"/>
  <c r="H31" i="3"/>
  <c r="O31" i="3" s="1"/>
  <c r="L30" i="3"/>
  <c r="I30" i="3"/>
  <c r="H30" i="3"/>
  <c r="O30" i="3" s="1"/>
  <c r="O29" i="3"/>
  <c r="L29" i="3"/>
  <c r="I29" i="3"/>
  <c r="H29" i="3"/>
  <c r="L28" i="3"/>
  <c r="I28" i="3"/>
  <c r="H28" i="3"/>
  <c r="O28" i="3" s="1"/>
  <c r="L27" i="3"/>
  <c r="I27" i="3"/>
  <c r="H27" i="3"/>
  <c r="O27" i="3" s="1"/>
  <c r="L26" i="3"/>
  <c r="I26" i="3"/>
  <c r="H26" i="3"/>
  <c r="O26" i="3" s="1"/>
  <c r="O25" i="3"/>
  <c r="L25" i="3"/>
  <c r="I25" i="3"/>
  <c r="H25" i="3"/>
  <c r="L24" i="3"/>
  <c r="I24" i="3"/>
  <c r="H24" i="3"/>
  <c r="O24" i="3" s="1"/>
  <c r="L23" i="3"/>
  <c r="I23" i="3"/>
  <c r="H23" i="3"/>
  <c r="O23" i="3" s="1"/>
  <c r="L22" i="3"/>
  <c r="I22" i="3"/>
  <c r="H22" i="3"/>
  <c r="O22" i="3" s="1"/>
  <c r="O21" i="3"/>
  <c r="L21" i="3"/>
  <c r="I21" i="3"/>
  <c r="H21" i="3"/>
  <c r="L20" i="3"/>
  <c r="I20" i="3"/>
  <c r="H20" i="3"/>
  <c r="O20" i="3" s="1"/>
  <c r="L19" i="3"/>
  <c r="I19" i="3"/>
  <c r="H19" i="3"/>
  <c r="O19" i="3" s="1"/>
  <c r="L18" i="3"/>
  <c r="I18" i="3"/>
  <c r="H18" i="3"/>
  <c r="O18" i="3" s="1"/>
  <c r="O17" i="3"/>
  <c r="L17" i="3"/>
  <c r="I17" i="3"/>
  <c r="H17" i="3"/>
  <c r="L16" i="3"/>
  <c r="I16" i="3"/>
  <c r="H16" i="3"/>
  <c r="O16" i="3" s="1"/>
  <c r="L15" i="3"/>
  <c r="I15" i="3"/>
  <c r="H15" i="3"/>
  <c r="O15" i="3" s="1"/>
  <c r="L14" i="3"/>
  <c r="I14" i="3"/>
  <c r="H14" i="3"/>
  <c r="O14" i="3" s="1"/>
  <c r="O13" i="3"/>
  <c r="L13" i="3"/>
  <c r="I13" i="3"/>
  <c r="H13" i="3"/>
  <c r="L12" i="3"/>
  <c r="I12" i="3"/>
  <c r="H12" i="3"/>
  <c r="O12" i="3" s="1"/>
  <c r="L11" i="3"/>
  <c r="I11" i="3"/>
  <c r="H11" i="3"/>
  <c r="O11" i="3" s="1"/>
  <c r="L10" i="3"/>
  <c r="I10" i="3"/>
  <c r="H10" i="3"/>
  <c r="O10" i="3" s="1"/>
  <c r="O9" i="3"/>
  <c r="L9" i="3"/>
  <c r="I9" i="3"/>
  <c r="H9" i="3"/>
  <c r="L8" i="3"/>
  <c r="I8" i="3"/>
  <c r="H8" i="3"/>
  <c r="O8" i="3" s="1"/>
  <c r="L7" i="3"/>
  <c r="I7" i="3"/>
  <c r="H7" i="3"/>
  <c r="O7" i="3" s="1"/>
  <c r="L6" i="3"/>
  <c r="I6" i="3"/>
  <c r="H6" i="3"/>
  <c r="O6" i="3" s="1"/>
  <c r="O5" i="3"/>
  <c r="L5" i="3"/>
  <c r="I5" i="3"/>
  <c r="H5" i="3"/>
  <c r="L4" i="3"/>
  <c r="I4" i="3"/>
  <c r="H4" i="3"/>
  <c r="O4" i="3" s="1"/>
  <c r="L3" i="3"/>
  <c r="I3" i="3"/>
  <c r="H3" i="3"/>
  <c r="O3" i="3" s="1"/>
  <c r="L2" i="3"/>
  <c r="I2" i="3"/>
  <c r="H2" i="3"/>
  <c r="O2" i="3" s="1"/>
  <c r="L35" i="3" l="1"/>
  <c r="I35" i="3"/>
  <c r="AA31" i="6"/>
  <c r="AA38" i="6"/>
  <c r="V485" i="5"/>
  <c r="Z335" i="5"/>
  <c r="Z111" i="9"/>
  <c r="AA104" i="9"/>
  <c r="AA111" i="9" s="1"/>
  <c r="Z13" i="9"/>
  <c r="AA13" i="9" s="1"/>
  <c r="V204" i="8"/>
  <c r="Z204" i="8"/>
  <c r="AA4" i="8"/>
  <c r="AA204" i="8" s="1"/>
  <c r="AA26" i="6"/>
  <c r="AA49" i="6"/>
  <c r="AA5" i="6"/>
  <c r="Z39" i="6"/>
  <c r="AA48" i="6"/>
  <c r="AA565" i="5"/>
  <c r="AA609" i="5"/>
  <c r="Z522" i="5"/>
  <c r="AA522" i="5" s="1"/>
  <c r="AA135" i="5"/>
  <c r="Z609" i="5"/>
  <c r="AA515" i="5"/>
  <c r="Z244" i="5"/>
  <c r="AA244" i="5" s="1"/>
  <c r="Z149" i="5"/>
  <c r="AA149" i="5" s="1"/>
  <c r="Z88" i="5"/>
  <c r="AA88" i="5" s="1"/>
  <c r="AA85" i="5"/>
  <c r="AA490" i="5"/>
  <c r="AA547" i="5"/>
  <c r="Z491" i="5"/>
  <c r="AA491" i="5" s="1"/>
  <c r="Z236" i="5"/>
  <c r="AA242" i="5"/>
  <c r="Z25" i="5"/>
  <c r="Z15" i="4"/>
  <c r="AA5" i="4"/>
  <c r="AA15" i="4" s="1"/>
  <c r="O35" i="3"/>
  <c r="H35" i="3"/>
  <c r="Z485" i="5" l="1"/>
  <c r="AA335" i="5"/>
  <c r="AA485" i="5" s="1"/>
  <c r="AA39" i="6"/>
  <c r="AA236" i="5"/>
  <c r="AA25" i="5"/>
  <c r="AI105" i="1" l="1"/>
  <c r="AO105" i="1" s="1"/>
  <c r="AD117" i="1"/>
  <c r="AD116" i="1"/>
  <c r="AD115" i="1"/>
  <c r="AD114" i="1"/>
  <c r="AH114" i="1" l="1"/>
  <c r="AH102" i="1"/>
  <c r="AH104" i="1"/>
  <c r="AH116" i="1"/>
  <c r="AH115" i="1"/>
  <c r="AH117" i="1"/>
  <c r="AH101" i="1"/>
  <c r="AH103" i="1"/>
  <c r="AH105" i="1"/>
  <c r="AH92" i="1" l="1"/>
  <c r="AH100" i="1"/>
  <c r="AH93" i="1"/>
  <c r="AH99" i="1"/>
  <c r="AH87" i="1"/>
  <c r="AH95" i="1"/>
  <c r="AH91" i="1"/>
  <c r="AH94" i="1"/>
  <c r="AH88" i="1"/>
  <c r="AH96" i="1"/>
  <c r="AH89" i="1"/>
  <c r="AH97" i="1"/>
  <c r="AH90" i="1"/>
  <c r="AH98" i="1"/>
  <c r="F67" i="2" l="1"/>
  <c r="G67" i="2"/>
  <c r="H67" i="2"/>
  <c r="I67" i="2"/>
  <c r="J67" i="2"/>
  <c r="K67" i="2"/>
  <c r="L67" i="2"/>
  <c r="M67" i="2"/>
  <c r="M573" i="2" l="1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AD113" i="1"/>
  <c r="AD112" i="1"/>
  <c r="AD111" i="1"/>
  <c r="AD110" i="1"/>
  <c r="AD109" i="1"/>
  <c r="AD108" i="1"/>
  <c r="AD107" i="1"/>
  <c r="AH110" i="1" l="1"/>
  <c r="AH111" i="1"/>
  <c r="AH112" i="1"/>
  <c r="AH108" i="1"/>
  <c r="AH113" i="1"/>
  <c r="AH107" i="1"/>
  <c r="AH109" i="1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M535" i="2" l="1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M15" i="2" l="1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T14" i="2" l="1"/>
  <c r="T16" i="2" s="1"/>
  <c r="S55" i="2"/>
  <c r="F20" i="2"/>
  <c r="F15" i="2"/>
  <c r="AH86" i="1" l="1"/>
  <c r="AH20" i="1"/>
  <c r="AD20" i="1"/>
  <c r="I1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agosto</t>
        </r>
      </text>
    </comment>
    <comment ref="D23" authorId="0" shapeId="0" xr:uid="{00000000-0006-0000-0100-000002000000}">
      <text>
        <r>
          <rPr>
            <sz val="9"/>
            <color indexed="81"/>
            <rFont val="Tahoma"/>
            <family val="2"/>
          </rPr>
          <t>alta  por accidente 
26/01/2022</t>
        </r>
      </text>
    </comment>
    <comment ref="D2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accidente 29/07/2021</t>
        </r>
      </text>
    </comment>
    <comment ref="K2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 febrero 2023 sube a 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01/07/2023</t>
        </r>
      </text>
    </comment>
    <comment ref="K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01/09/2023</t>
        </r>
      </text>
    </comment>
    <comment ref="D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suspendido por accidente 28/01/2022</t>
        </r>
      </text>
    </comment>
    <comment ref="K2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16/07/2023</t>
        </r>
      </text>
    </comment>
    <comment ref="K3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subio a 50 en diciembre 2020</t>
        </r>
      </text>
    </comment>
    <comment ref="D3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suspendido por accidente 21/10/2021</t>
        </r>
      </text>
    </comment>
    <comment ref="K4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01/05/2022</t>
        </r>
      </text>
    </comment>
    <comment ref="K4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01/03/2023</t>
        </r>
      </text>
    </comment>
    <comment ref="W49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D5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suspende por enfermedad 60 dias 12/03/2022</t>
        </r>
      </text>
    </comment>
    <comment ref="K5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BONO DE 75</t>
        </r>
      </text>
    </comment>
    <comment ref="K5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01/03/2023</t>
        </r>
      </text>
    </comment>
    <comment ref="K68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01/01/2022</t>
        </r>
      </text>
    </comment>
    <comment ref="W68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76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77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86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K89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96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97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16/03/2023</t>
        </r>
      </text>
    </comment>
    <comment ref="K99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16/07/2022 sube a 75</t>
        </r>
      </text>
    </comment>
    <comment ref="V100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K105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16/03/2022</t>
        </r>
      </text>
    </comment>
    <comment ref="K106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07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08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09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11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13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17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18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21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W123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V127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FEBRERO 2022</t>
        </r>
      </text>
    </comment>
    <comment ref="W127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K128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K131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16/01/2023</t>
        </r>
      </text>
    </comment>
    <comment ref="W140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V141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JULIO 2021</t>
        </r>
      </text>
    </comment>
    <comment ref="W141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142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144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K147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16/09/2023
</t>
        </r>
      </text>
    </comment>
    <comment ref="K149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21/10/2023
</t>
        </r>
      </text>
    </comment>
    <comment ref="V153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 2022</t>
        </r>
      </text>
    </comment>
    <comment ref="D157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tiene dos codigos de empleado no se puede asignar bono de antigüedad </t>
        </r>
      </text>
    </comment>
    <comment ref="K157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bono 75</t>
        </r>
      </text>
    </comment>
    <comment ref="D159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quitar montepio </t>
        </r>
      </text>
    </comment>
    <comment ref="W159" authorId="0" shapeId="0" xr:uid="{00000000-0006-0000-0300-00003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165" authorId="0" shapeId="0" xr:uid="{00000000-0006-0000-0300-00003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V168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 2021</t>
        </r>
      </text>
    </comment>
    <comment ref="V171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NOVIEMBRE</t>
        </r>
      </text>
    </comment>
    <comment ref="W189" authorId="0" shapeId="0" xr:uid="{00000000-0006-0000-0300-00003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SEPTIEMBRE 2021</t>
        </r>
      </text>
    </comment>
    <comment ref="V195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aplicar en agosto 2021</t>
        </r>
      </text>
    </comment>
    <comment ref="V205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octubre 2021</t>
        </r>
      </text>
    </comment>
    <comment ref="W210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217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218" authorId="0" shapeId="0" xr:uid="{00000000-0006-0000-0300-00003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V219" authorId="0" shapeId="0" xr:uid="{00000000-0006-0000-0300-00003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abril 2022</t>
        </r>
      </text>
    </comment>
    <comment ref="V220" authorId="0" shapeId="0" xr:uid="{00000000-0006-0000-0300-00003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FEBRERO 2022</t>
        </r>
      </text>
    </comment>
    <comment ref="V227" authorId="0" shapeId="0" xr:uid="{00000000-0006-0000-0300-00003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 2021</t>
        </r>
      </text>
    </comment>
    <comment ref="W228" authorId="0" shapeId="0" xr:uid="{00000000-0006-0000-0300-00003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230" authorId="0" shapeId="0" xr:uid="{00000000-0006-0000-0300-00003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231" authorId="0" shapeId="0" xr:uid="{00000000-0006-0000-0300-00004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238" authorId="0" shapeId="0" xr:uid="{00000000-0006-0000-0300-00004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K244" authorId="0" shapeId="0" xr:uid="{00000000-0006-0000-0300-00004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15/11/2023</t>
        </r>
      </text>
    </comment>
    <comment ref="K246" authorId="0" shapeId="0" xr:uid="{00000000-0006-0000-0300-00004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15/11/2023</t>
        </r>
      </text>
    </comment>
    <comment ref="K252" authorId="0" shapeId="0" xr:uid="{00000000-0006-0000-0300-00004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15/11/2023</t>
        </r>
      </text>
    </comment>
    <comment ref="K257" authorId="0" shapeId="0" xr:uid="{00000000-0006-0000-0300-00004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15/11/2023</t>
        </r>
      </text>
    </comment>
    <comment ref="W257" authorId="0" shapeId="0" xr:uid="{00000000-0006-0000-0300-00004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258" authorId="0" shapeId="0" xr:uid="{00000000-0006-0000-0300-00004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K261" authorId="0" shapeId="0" xr:uid="{00000000-0006-0000-0300-00004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15/11/2023</t>
        </r>
      </text>
    </comment>
    <comment ref="W261" authorId="0" shapeId="0" xr:uid="{00000000-0006-0000-0300-00004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K262" authorId="0" shapeId="0" xr:uid="{00000000-0006-0000-0300-00004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15/11/2023</t>
        </r>
      </text>
    </comment>
    <comment ref="W262" authorId="0" shapeId="0" xr:uid="{00000000-0006-0000-0300-00004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K263" authorId="0" shapeId="0" xr:uid="{00000000-0006-0000-0300-00004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15/11/2023</t>
        </r>
      </text>
    </comment>
    <comment ref="W266" authorId="0" shapeId="0" xr:uid="{00000000-0006-0000-0300-00004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K336" authorId="0" shapeId="0" xr:uid="{00000000-0006-0000-0300-00004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16/02/2022</t>
        </r>
      </text>
    </comment>
    <comment ref="K337" authorId="0" shapeId="0" xr:uid="{00000000-0006-0000-0300-00004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16/09/2022</t>
        </r>
      </text>
    </comment>
    <comment ref="K341" authorId="0" shapeId="0" xr:uid="{00000000-0006-0000-0300-00005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julio</t>
        </r>
      </text>
    </comment>
    <comment ref="V353" authorId="0" shapeId="0" xr:uid="{00000000-0006-0000-0300-00005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SEPTIEMBRE 2022</t>
        </r>
      </text>
    </comment>
    <comment ref="V355" authorId="0" shapeId="0" xr:uid="{00000000-0006-0000-0300-00005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W355" authorId="0" shapeId="0" xr:uid="{00000000-0006-0000-0300-00005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quitar mes de mayo</t>
        </r>
      </text>
    </comment>
    <comment ref="V361" authorId="0" shapeId="0" xr:uid="{00000000-0006-0000-0300-00005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abril 2022</t>
        </r>
      </text>
    </comment>
    <comment ref="K362" authorId="0" shapeId="0" xr:uid="{00000000-0006-0000-0300-00005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16/03/2022</t>
        </r>
      </text>
    </comment>
    <comment ref="K363" authorId="0" shapeId="0" xr:uid="{00000000-0006-0000-0300-00005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16/03/2023</t>
        </r>
      </text>
    </comment>
    <comment ref="V363" authorId="0" shapeId="0" xr:uid="{00000000-0006-0000-0300-00005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abril 2022</t>
        </r>
      </text>
    </comment>
    <comment ref="K367" authorId="0" shapeId="0" xr:uid="{00000000-0006-0000-0300-00005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16/07/2022</t>
        </r>
      </text>
    </comment>
    <comment ref="K374" authorId="0" shapeId="0" xr:uid="{00000000-0006-0000-0300-00005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16/09/2022</t>
        </r>
      </text>
    </comment>
    <comment ref="V374" authorId="0" shapeId="0" xr:uid="{00000000-0006-0000-0300-00005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W375" authorId="0" shapeId="0" xr:uid="{00000000-0006-0000-0300-00005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quitar  julio</t>
        </r>
      </text>
    </comment>
    <comment ref="K376" authorId="0" shapeId="0" xr:uid="{00000000-0006-0000-0300-00005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16/03/2022</t>
        </r>
      </text>
    </comment>
    <comment ref="K377" authorId="0" shapeId="0" xr:uid="{00000000-0006-0000-0300-00005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19/03/2022</t>
        </r>
      </text>
    </comment>
    <comment ref="K378" authorId="0" shapeId="0" xr:uid="{00000000-0006-0000-0300-00005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16/09/2022</t>
        </r>
      </text>
    </comment>
    <comment ref="K379" authorId="0" shapeId="0" xr:uid="{00000000-0006-0000-0300-00005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16/03/2023
</t>
        </r>
      </text>
    </comment>
    <comment ref="K381" authorId="0" shapeId="0" xr:uid="{00000000-0006-0000-0300-00006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16/02/2022</t>
        </r>
      </text>
    </comment>
    <comment ref="V381" authorId="0" shapeId="0" xr:uid="{00000000-0006-0000-0300-00006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SEPTIEMBRE 2022</t>
        </r>
      </text>
    </comment>
    <comment ref="W385" authorId="0" shapeId="0" xr:uid="{00000000-0006-0000-0300-00006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V388" authorId="0" shapeId="0" xr:uid="{00000000-0006-0000-0300-00006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diciembre</t>
        </r>
      </text>
    </comment>
    <comment ref="D391" authorId="0" shapeId="0" xr:uid="{00000000-0006-0000-0300-00006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suspendido por accidente a partir del 07/08/2022</t>
        </r>
      </text>
    </comment>
    <comment ref="K392" authorId="0" shapeId="0" xr:uid="{00000000-0006-0000-0300-00006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16/09/2022</t>
        </r>
      </text>
    </comment>
    <comment ref="V392" authorId="0" shapeId="0" xr:uid="{00000000-0006-0000-0300-00006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V399" authorId="0" shapeId="0" xr:uid="{00000000-0006-0000-0300-00006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V400" authorId="0" shapeId="0" xr:uid="{00000000-0006-0000-0300-00006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abril 2022</t>
        </r>
      </text>
    </comment>
    <comment ref="K407" authorId="0" shapeId="0" xr:uid="{00000000-0006-0000-0300-00006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16/09/2022</t>
        </r>
      </text>
    </comment>
    <comment ref="W409" authorId="0" shapeId="0" xr:uid="{00000000-0006-0000-0300-00006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K410" authorId="0" shapeId="0" xr:uid="{00000000-0006-0000-0300-00006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16/03/2023
</t>
        </r>
      </text>
    </comment>
    <comment ref="V413" authorId="0" shapeId="0" xr:uid="{00000000-0006-0000-0300-00006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K416" authorId="0" shapeId="0" xr:uid="{00000000-0006-0000-0300-00006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01/08/2023</t>
        </r>
      </text>
    </comment>
    <comment ref="K421" authorId="0" shapeId="0" xr:uid="{00000000-0006-0000-0300-00006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16/03/2022</t>
        </r>
      </text>
    </comment>
    <comment ref="K422" authorId="0" shapeId="0" xr:uid="{00000000-0006-0000-0300-00006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16/03/2023
</t>
        </r>
      </text>
    </comment>
    <comment ref="K427" authorId="0" shapeId="0" xr:uid="{00000000-0006-0000-0300-00007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16/06/2022</t>
        </r>
      </text>
    </comment>
    <comment ref="K430" authorId="0" shapeId="0" xr:uid="{00000000-0006-0000-0300-00007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30" authorId="0" shapeId="0" xr:uid="{00000000-0006-0000-0300-00007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JULIO 2022</t>
        </r>
      </text>
    </comment>
    <comment ref="D433" authorId="0" shapeId="0" xr:uid="{00000000-0006-0000-0300-00007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suspendido por acciente 17/07/2019</t>
        </r>
      </text>
    </comment>
    <comment ref="K433" authorId="0" shapeId="0" xr:uid="{00000000-0006-0000-0300-00007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16/03/2022</t>
        </r>
      </text>
    </comment>
    <comment ref="K441" authorId="0" shapeId="0" xr:uid="{00000000-0006-0000-0300-00007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 a 75 el 01/08/2023</t>
        </r>
      </text>
    </comment>
    <comment ref="V444" authorId="0" shapeId="0" xr:uid="{00000000-0006-0000-0300-00007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K449" authorId="0" shapeId="0" xr:uid="{00000000-0006-0000-0300-00007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16/09/2022</t>
        </r>
      </text>
    </comment>
    <comment ref="K452" authorId="0" shapeId="0" xr:uid="{00000000-0006-0000-0300-00007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16/09/2022</t>
        </r>
      </text>
    </comment>
    <comment ref="D455" authorId="0" shapeId="0" xr:uid="{00000000-0006-0000-0300-00007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suspendida por enfermedad corta salario 6/03/2022</t>
        </r>
      </text>
    </comment>
    <comment ref="K455" authorId="0" shapeId="0" xr:uid="{00000000-0006-0000-0300-00007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BONO DE 50
</t>
        </r>
      </text>
    </comment>
    <comment ref="W460" authorId="0" shapeId="0" xr:uid="{00000000-0006-0000-0300-00007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quitar mes de mayo</t>
        </r>
      </text>
    </comment>
    <comment ref="V465" authorId="0" shapeId="0" xr:uid="{00000000-0006-0000-0300-00007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MAYO 2022</t>
        </r>
      </text>
    </comment>
    <comment ref="K467" authorId="0" shapeId="0" xr:uid="{00000000-0006-0000-0300-00007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16/03/2023</t>
        </r>
      </text>
    </comment>
    <comment ref="K470" authorId="0" shapeId="0" xr:uid="{00000000-0006-0000-0300-00007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16/02/2021</t>
        </r>
      </text>
    </comment>
    <comment ref="K474" authorId="0" shapeId="0" xr:uid="{00000000-0006-0000-0300-00007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 en 01/10/2023
</t>
        </r>
      </text>
    </comment>
    <comment ref="V476" authorId="0" shapeId="0" xr:uid="{00000000-0006-0000-0300-00008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abril 2022</t>
        </r>
      </text>
    </comment>
    <comment ref="V477" authorId="0" shapeId="0" xr:uid="{00000000-0006-0000-0300-00008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NOVIEMBRE</t>
        </r>
      </text>
    </comment>
    <comment ref="K478" authorId="0" shapeId="0" xr:uid="{00000000-0006-0000-0300-00008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16/03/2023</t>
        </r>
      </text>
    </comment>
    <comment ref="K479" authorId="0" shapeId="0" xr:uid="{00000000-0006-0000-0300-00008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en 16/06/2022</t>
        </r>
      </text>
    </comment>
    <comment ref="K480" authorId="0" shapeId="0" xr:uid="{00000000-0006-0000-0300-00008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16/01/2023</t>
        </r>
      </text>
    </comment>
    <comment ref="K482" authorId="0" shapeId="0" xr:uid="{00000000-0006-0000-0300-00008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75 EN FEBRERO</t>
        </r>
      </text>
    </comment>
    <comment ref="K506" authorId="0" shapeId="0" xr:uid="{00000000-0006-0000-0300-00008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16/09/2023</t>
        </r>
      </text>
    </comment>
    <comment ref="V512" authorId="0" shapeId="0" xr:uid="{00000000-0006-0000-0300-00008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diciembre</t>
        </r>
      </text>
    </comment>
    <comment ref="W513" authorId="0" shapeId="0" xr:uid="{00000000-0006-0000-0300-00008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514" authorId="0" shapeId="0" xr:uid="{00000000-0006-0000-0300-00008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546" authorId="0" shapeId="0" xr:uid="{00000000-0006-0000-0300-00008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551" authorId="0" shapeId="0" xr:uid="{00000000-0006-0000-0300-00008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552" authorId="0" shapeId="0" xr:uid="{00000000-0006-0000-0300-00008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555" authorId="0" shapeId="0" xr:uid="{00000000-0006-0000-0300-00008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556" authorId="0" shapeId="0" xr:uid="{00000000-0006-0000-0300-00008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569" authorId="0" shapeId="0" xr:uid="{00000000-0006-0000-0300-00008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K584" authorId="0" shapeId="0" xr:uid="{00000000-0006-0000-0300-00009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bono de 75</t>
        </r>
      </text>
    </comment>
    <comment ref="D594" authorId="0" shapeId="0" xr:uid="{00000000-0006-0000-0300-00009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fecha de ingreso 15/02/2008</t>
        </r>
      </text>
    </comment>
    <comment ref="K594" authorId="0" shapeId="0" xr:uid="{00000000-0006-0000-0300-00009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bono de 50 sacar en mayo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2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K2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01/03/2023
</t>
        </r>
      </text>
    </comment>
    <comment ref="D3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suspendida por enfermedad corta salario a partir del 08/03/2022</t>
        </r>
      </text>
    </comment>
    <comment ref="K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el 15/01/2023
</t>
        </r>
      </text>
    </comment>
    <comment ref="V3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diciembre 2022</t>
        </r>
      </text>
    </comment>
    <comment ref="W3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V4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abril 2022</t>
        </r>
      </text>
    </comment>
    <comment ref="W4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FEBRERO 2022</t>
        </r>
      </text>
    </comment>
    <comment ref="D62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pendiente compromiso</t>
        </r>
      </text>
    </comment>
    <comment ref="K65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mayo 2023</t>
        </r>
      </text>
    </comment>
    <comment ref="K68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mayo 2023</t>
        </r>
      </text>
    </comment>
    <comment ref="K69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mayo 2023</t>
        </r>
      </text>
    </comment>
    <comment ref="K70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mayo 2023</t>
        </r>
      </text>
    </comment>
    <comment ref="K71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mayo 2023</t>
        </r>
      </text>
    </comment>
    <comment ref="D77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suspendido por accidente 20/07/2020
</t>
        </r>
      </text>
    </comment>
    <comment ref="D82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recontratado</t>
        </r>
      </text>
    </comment>
    <comment ref="D97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suspendida por accidente 18/01/2020</t>
        </r>
      </text>
    </comment>
    <comment ref="D9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recontratado</t>
        </r>
      </text>
    </comment>
    <comment ref="W99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SUSPENDIDA POR MATERNIDAD</t>
        </r>
      </text>
    </comment>
    <comment ref="W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D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SUSPENDIDA POR MATERNIDAD 23/08/2021</t>
        </r>
      </text>
    </comment>
    <comment ref="D1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SUSPENDIDO POR ACCIDENTE 31/08/2021</t>
        </r>
      </text>
    </comment>
    <comment ref="V1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quitar no tiene resolución</t>
        </r>
      </text>
    </comment>
    <comment ref="W2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2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24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26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27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28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W31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D34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suspendida por maternidad a partir del 08/08/2022
</t>
        </r>
      </text>
    </comment>
    <comment ref="D35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pendiente compromiso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Luis Rodolfo Escobar</author>
  </authors>
  <commentList>
    <comment ref="W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V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asignar en noviembre resolución D-2015-457</t>
        </r>
      </text>
    </comment>
    <comment ref="V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octubre 2021</t>
        </r>
      </text>
    </comment>
    <comment ref="W4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V4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diciembre</t>
        </r>
      </text>
    </comment>
    <comment ref="K4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Luis Rodolfo Escobar:</t>
        </r>
        <r>
          <rPr>
            <sz val="9"/>
            <color indexed="81"/>
            <rFont val="Tahoma"/>
            <family val="2"/>
          </rPr>
          <t xml:space="preserve">
no se le esta pagando bono</t>
        </r>
      </text>
    </comment>
    <comment ref="K48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>Luis Rodolfo Escobar:</t>
        </r>
        <r>
          <rPr>
            <sz val="9"/>
            <color indexed="81"/>
            <rFont val="Tahoma"/>
            <family val="2"/>
          </rPr>
          <t xml:space="preserve">
no se le esta pagando bono</t>
        </r>
      </text>
    </comment>
    <comment ref="V58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JULIO 2021</t>
        </r>
      </text>
    </comment>
    <comment ref="K6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de 50 a 75 en octubre </t>
        </r>
      </text>
    </comment>
    <comment ref="D6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tiene 02 fichas no se puede modificar fecha de ingreso no saldra bono de antigüedad </t>
        </r>
      </text>
    </comment>
    <comment ref="K6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PENDIENTE BONO DE 50
</t>
        </r>
      </text>
    </comment>
    <comment ref="K7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en octubre de 50 a 75</t>
        </r>
      </text>
    </comment>
    <comment ref="V100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octubre 2021</t>
        </r>
      </text>
    </comment>
    <comment ref="W106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tiene sindical, quitar o verificar</t>
        </r>
      </text>
    </comment>
    <comment ref="V114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 2021</t>
        </r>
      </text>
    </comment>
    <comment ref="W119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127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V130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noviembre</t>
        </r>
      </text>
    </comment>
    <comment ref="K133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el 15/11/2023</t>
        </r>
      </text>
    </comment>
    <comment ref="W134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D145" authorId="1" shapeId="0" xr:uid="{00000000-0006-0000-0600-000015000000}">
      <text>
        <r>
          <rPr>
            <b/>
            <sz val="9"/>
            <color indexed="81"/>
            <rFont val="Tahoma"/>
            <family val="2"/>
          </rPr>
          <t>Luis Rodolfo Escobar:</t>
        </r>
        <r>
          <rPr>
            <sz val="9"/>
            <color indexed="81"/>
            <rFont val="Tahoma"/>
            <family val="2"/>
          </rPr>
          <t xml:space="preserve">
suspendido por accidente a partir del 23/05/2019</t>
        </r>
      </text>
    </comment>
    <comment ref="W145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D149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CAMBIAR PUESTO DE AUXILIAR DE ALBAÑILERIA AL DE ALBAÑIL I</t>
        </r>
      </text>
    </comment>
    <comment ref="K149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de 35 a 50</t>
        </r>
      </text>
    </comment>
    <comment ref="W152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V160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SEPTIEMBRE
</t>
        </r>
      </text>
    </comment>
    <comment ref="V181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Agosto</t>
        </r>
      </text>
    </comment>
    <comment ref="V182" authorId="0" shapeId="0" xr:uid="{00000000-0006-0000-0600-00001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Agosto</t>
        </r>
      </text>
    </comment>
    <comment ref="V195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 2022</t>
        </r>
      </text>
    </comment>
    <comment ref="W195" authorId="0" shapeId="0" xr:uid="{00000000-0006-0000-0600-00001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199" authorId="0" shapeId="0" xr:uid="{00000000-0006-0000-0600-00001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suspendido por accidente a partir del 03/08/2022</t>
        </r>
      </text>
    </comment>
    <comment ref="K1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BONO DE 75</t>
        </r>
      </text>
    </comment>
    <comment ref="V3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 2021</t>
        </r>
      </text>
    </comment>
    <comment ref="V4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V44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diciembre 2022</t>
        </r>
      </text>
    </comment>
    <comment ref="K45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50 en 16/08/2022</t>
        </r>
      </text>
    </comment>
    <comment ref="K52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a 75 a partir del 01/10/2023</t>
        </r>
      </text>
    </comment>
    <comment ref="V53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JULIO 2021</t>
        </r>
      </text>
    </comment>
    <comment ref="V55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octubre
</t>
        </r>
      </text>
    </comment>
    <comment ref="V57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SEPTIEMBRE
</t>
        </r>
      </text>
    </comment>
    <comment ref="V61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SEPTIEMBRE
</t>
        </r>
      </text>
    </comment>
    <comment ref="W73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D74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alta por accidente 17/02/2022</t>
        </r>
      </text>
    </comment>
    <comment ref="W79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junio</t>
        </r>
      </text>
    </comment>
    <comment ref="V92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abril 2022</t>
        </r>
      </text>
    </comment>
    <comment ref="V93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MES DE JUNIO 2022</t>
        </r>
      </text>
    </comment>
    <comment ref="W93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  <comment ref="W94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MAYO</t>
        </r>
      </text>
    </comment>
  </commentList>
</comments>
</file>

<file path=xl/sharedStrings.xml><?xml version="1.0" encoding="utf-8"?>
<sst xmlns="http://schemas.openxmlformats.org/spreadsheetml/2006/main" count="4505" uniqueCount="2415">
  <si>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</si>
  <si>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</si>
  <si>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</si>
  <si>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</si>
  <si>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</si>
  <si>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</si>
  <si>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</si>
  <si>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</si>
  <si>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</si>
  <si>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</si>
  <si>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</si>
  <si>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</si>
  <si>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</si>
  <si>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</si>
  <si>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</si>
  <si>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</si>
  <si>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</si>
  <si>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</si>
  <si>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</si>
  <si>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</si>
  <si>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</si>
  <si>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</si>
  <si>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</si>
  <si>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</si>
  <si>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</si>
  <si>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</si>
  <si>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</si>
  <si>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</si>
  <si>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</si>
  <si>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</si>
  <si>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</si>
  <si>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</si>
  <si>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</si>
  <si>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</si>
  <si>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</si>
  <si>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</si>
  <si>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</si>
  <si>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</si>
  <si>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</si>
  <si>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</si>
  <si>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</si>
  <si>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</si>
  <si>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</si>
  <si>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</si>
  <si>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</si>
  <si>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</si>
  <si>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</si>
  <si>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</si>
  <si>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</si>
  <si>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</si>
  <si>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</si>
  <si>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</si>
  <si>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</si>
  <si>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</si>
  <si>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</si>
  <si>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</si>
  <si>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</si>
  <si>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</si>
  <si>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</si>
  <si>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</si>
  <si>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</si>
  <si>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</si>
  <si>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</si>
  <si>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</si>
  <si>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</si>
  <si>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</si>
  <si>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</si>
  <si>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</si>
  <si>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</si>
  <si>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</si>
  <si>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</si>
  <si>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</si>
  <si>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</si>
  <si>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</si>
  <si>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</si>
  <si>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</si>
  <si>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</si>
  <si>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</si>
  <si>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</si>
  <si>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</si>
  <si>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</si>
  <si>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</si>
  <si>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</si>
  <si>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</si>
  <si>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</si>
  <si>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</si>
  <si>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</si>
  <si>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</si>
  <si>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Responsable: SANDRA CAROLINA LEIVA MORALES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</si>
  <si>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</si>
  <si>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</si>
  <si>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</si>
  <si>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</si>
  <si>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</si>
  <si>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</si>
  <si>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</si>
  <si>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</si>
  <si>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</si>
  <si>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</si>
  <si>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</si>
  <si>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</si>
  <si>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</si>
  <si>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</si>
  <si>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</si>
  <si>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</si>
  <si>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</si>
  <si>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</si>
  <si>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</si>
  <si>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</si>
  <si>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</si>
  <si>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</si>
  <si>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</si>
  <si>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</si>
  <si>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</si>
  <si>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</si>
  <si>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</si>
  <si>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</si>
  <si>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</si>
  <si>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</si>
  <si>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</si>
  <si>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</si>
  <si>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</si>
  <si>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</si>
  <si>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</si>
  <si>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</si>
  <si>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</si>
  <si>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</si>
  <si>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</si>
  <si>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</si>
  <si>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</si>
  <si>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</si>
  <si>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</si>
  <si>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</si>
  <si>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</si>
  <si>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</si>
  <si>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</si>
  <si>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</si>
  <si>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</si>
  <si>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</si>
  <si>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</si>
  <si>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</si>
  <si>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</si>
  <si>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</si>
  <si>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</si>
  <si>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</si>
  <si>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</si>
  <si>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</si>
  <si>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</si>
  <si>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</si>
  <si>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No</t>
  </si>
  <si>
    <t>CONTRATO</t>
  </si>
  <si>
    <t>NO. EMPLEADO</t>
  </si>
  <si>
    <t>NOMBRE</t>
  </si>
  <si>
    <t>PUESTO NOMINAL</t>
  </si>
  <si>
    <t xml:space="preserve">DIAS </t>
  </si>
  <si>
    <t>031 JORNAL</t>
  </si>
  <si>
    <t>031 JORNAL MENSUAL</t>
  </si>
  <si>
    <t>031 JORNAL ANUAL</t>
  </si>
  <si>
    <t>VIGENCIA CONTRATO</t>
  </si>
  <si>
    <t>032 B ANT</t>
  </si>
  <si>
    <t>033 (IDAEH)</t>
  </si>
  <si>
    <t>033 66-2000</t>
  </si>
  <si>
    <t xml:space="preserve">TOTAL INGRESOS </t>
  </si>
  <si>
    <t xml:space="preserve">DGPCYN - 031 - 1085 - 2022 </t>
  </si>
  <si>
    <t>ALMA LORENA ORTEGA GARZA</t>
  </si>
  <si>
    <t xml:space="preserve">DGPCYN - 031 - 1087 - 2022 </t>
  </si>
  <si>
    <t>CANDIDA AMADA ESPERANZA CABRERA LÓPEZ</t>
  </si>
  <si>
    <t xml:space="preserve">DGPCYN - 031 - 1088 - 2022 </t>
  </si>
  <si>
    <t>CARMEN CRISTINA ACABAL MEJIA</t>
  </si>
  <si>
    <t xml:space="preserve">DGPCYN - 031 - 1089 - 2022 </t>
  </si>
  <si>
    <t>CAROL NISHELDY QUINTANILLA FRANCO</t>
  </si>
  <si>
    <t xml:space="preserve">DGPCYN - 031 - 1090 - 2022 </t>
  </si>
  <si>
    <t>DORA ODILIA HERNANDEZ ORTIZ DE ALFARO</t>
  </si>
  <si>
    <t xml:space="preserve">DGPCYN - 031 - 1091 - 2022 </t>
  </si>
  <si>
    <t>EZEQUIEL MARROQUIN NORIEGA</t>
  </si>
  <si>
    <t xml:space="preserve">DGPCYN - 031 - 1092 - 2022 </t>
  </si>
  <si>
    <t>FABIOLA MARIBEL ROSALES CASTAÑEDA</t>
  </si>
  <si>
    <t xml:space="preserve">DGPCYN - 031 - 1093 - 2022 </t>
  </si>
  <si>
    <t>FIDEL OBISPO RENOJ COLORADO</t>
  </si>
  <si>
    <t xml:space="preserve">DGPCYN - 031 - 1094 - 2022 </t>
  </si>
  <si>
    <t>FRANCISCO  SACUL TIUL</t>
  </si>
  <si>
    <t xml:space="preserve">DGPCYN - 031 - 1095 - 2022 </t>
  </si>
  <si>
    <t>JEIMY GABRIELA PACHECO PIC</t>
  </si>
  <si>
    <t xml:space="preserve">DGPCYN - 031 - 1096 - 2022 </t>
  </si>
  <si>
    <t>JORGE FABIÁN GIRÓN TEPAZ</t>
  </si>
  <si>
    <t xml:space="preserve">DGPCYN - 031 - 1097 - 2022 </t>
  </si>
  <si>
    <t>JORGE LUIS FERNÁNDEZ  (ÚNICO APELLIDO)</t>
  </si>
  <si>
    <t xml:space="preserve">DGPCYN - 031 - 1098 - 2022 </t>
  </si>
  <si>
    <t>JULIO IGNACIO CARDONA HERNANDEZ</t>
  </si>
  <si>
    <t xml:space="preserve">DGPCYN - 031 - 1099 - 2022 </t>
  </si>
  <si>
    <t>KATHERIN GABRIELA CARDONA OROZCO</t>
  </si>
  <si>
    <t xml:space="preserve">DGPCYN - 031 - 1100 - 2022 </t>
  </si>
  <si>
    <t>MARÍA FERNANDA CRUZ ABREGO</t>
  </si>
  <si>
    <t xml:space="preserve">DGPCYN - 031 - 1101 - 2022 </t>
  </si>
  <si>
    <t>LUIS ESTUARDO VIVAR ROSALES</t>
  </si>
  <si>
    <t xml:space="preserve">DGPCYN - 031 - 1102 - 2022 </t>
  </si>
  <si>
    <t>MARÍA INÉS AGÜIN XAJPOT</t>
  </si>
  <si>
    <t xml:space="preserve">DGPCYN - 031 - 1103 - 2022 </t>
  </si>
  <si>
    <t xml:space="preserve">NICOLAS AJCUC GARCÍA </t>
  </si>
  <si>
    <t xml:space="preserve">DGPCYN - 031 - 1104 - 2022 </t>
  </si>
  <si>
    <t>ODILIO GUTIÉRREZ RAYMUNDO</t>
  </si>
  <si>
    <t xml:space="preserve">DGPCYN - 031 - 1106 - 2022 </t>
  </si>
  <si>
    <t>ROSA ALBERTINA DUARTE CAMEY</t>
  </si>
  <si>
    <t xml:space="preserve">DGPCYN - 031 - 1107 - 2022 </t>
  </si>
  <si>
    <t>ROSMERY LILI GONZÁLEZ FLORIÁN</t>
  </si>
  <si>
    <t xml:space="preserve">DGPCYN - 031 - 1108 - 2022 </t>
  </si>
  <si>
    <t>RUDDY ESTUARDO SAENZ MENCOS</t>
  </si>
  <si>
    <t xml:space="preserve">DGPCYN - 031 - 1109 - 2022 </t>
  </si>
  <si>
    <t>RUTH VERONICA MAGALY GONZALEZ GARCÍA</t>
  </si>
  <si>
    <t xml:space="preserve">DGPCYN - 031 - 1110 - 2022 </t>
  </si>
  <si>
    <t>SAÚL ANTONIO CASTAÑEDA ARÉVALO</t>
  </si>
  <si>
    <t xml:space="preserve">DGPCYN - 031 - 1111 - 2022 </t>
  </si>
  <si>
    <t>SERGIO LUIS ZELADA GUTIERREZ</t>
  </si>
  <si>
    <t xml:space="preserve">DGPCYN - 031 - 1112 - 2022 </t>
  </si>
  <si>
    <t>SUSAN VERÓNICA ROMERO DE CASTELLANOS</t>
  </si>
  <si>
    <t xml:space="preserve">DGPCYN - 031 - 1113 - 2022 </t>
  </si>
  <si>
    <t>VICTOR HUGO VILLAGRÁN BARRENO</t>
  </si>
  <si>
    <t xml:space="preserve">DGPCYN - 031 - 1115 - 2022 </t>
  </si>
  <si>
    <t>RUTH NOEMI MEJIA LOPEZ</t>
  </si>
  <si>
    <t>DGPCYN - 031 - 616 - 2022</t>
  </si>
  <si>
    <t>CARLOS ENRIQUE TELLO  (ÚNICO APELLIDO)</t>
  </si>
  <si>
    <t>ALAN JOSUÉ ESTRADA BLANCO</t>
  </si>
  <si>
    <t>LUIS ALFREDO CABRERA LOCÓN</t>
  </si>
  <si>
    <t>JULIO ESTUARDO HERNANDEZ  BALAN</t>
  </si>
  <si>
    <t>ESTUARDO ROBLES ARAGÓN</t>
  </si>
  <si>
    <t>TOTAL 033</t>
  </si>
  <si>
    <t>Etiquetas de fila</t>
  </si>
  <si>
    <t>Total general</t>
  </si>
  <si>
    <t>Cuenta de PUESTO NOMINAL</t>
  </si>
  <si>
    <t>Máx. de 031 JORNAL</t>
  </si>
  <si>
    <t>(en blanco)</t>
  </si>
  <si>
    <t>Suma de 032 B ANT</t>
  </si>
  <si>
    <t>BONO 14</t>
  </si>
  <si>
    <t>AGUINALDO</t>
  </si>
  <si>
    <t>BONO VACACIONAL</t>
  </si>
  <si>
    <t>COMPROMISO SALARIO</t>
  </si>
  <si>
    <t xml:space="preserve">COMPROMISO SALARIO + BONOS </t>
  </si>
  <si>
    <t>IGSS</t>
  </si>
  <si>
    <t>MONTEPIO</t>
  </si>
  <si>
    <t>CUOTA SINDICAL</t>
  </si>
  <si>
    <t xml:space="preserve">EGRESOS </t>
  </si>
  <si>
    <t>LIQUIDO A RECIBIR</t>
  </si>
  <si>
    <t>BONO NAVIDEÑO</t>
  </si>
  <si>
    <t xml:space="preserve">DGPCYN - 031 - 1116 - 2022 </t>
  </si>
  <si>
    <t>EDGAR JEOVANNY DÁVILA ARREOLA</t>
  </si>
  <si>
    <t xml:space="preserve">DGPCYN - 031 - 1117 - 2022 </t>
  </si>
  <si>
    <t>HELEN VIVIANA EMILIA ESPINOZA (ÚNICO APELLIDO)</t>
  </si>
  <si>
    <t xml:space="preserve">DGPCYN - 031 - 1118 - 2022 </t>
  </si>
  <si>
    <t>ALEXIS ESTUARDO QUIXCHÁN CORZO</t>
  </si>
  <si>
    <t xml:space="preserve">DGPCYN - 031 - 1119 - 2022 </t>
  </si>
  <si>
    <t>AMILCAR ESTUARDO PÉREZ GENIS</t>
  </si>
  <si>
    <t xml:space="preserve">DGPCYN - 031 - 1120 - 2022 </t>
  </si>
  <si>
    <t xml:space="preserve">BERNARDO LÓPEZ RAMÍREZ </t>
  </si>
  <si>
    <t xml:space="preserve">DGPCYN - 031 - 1121 - 2022 </t>
  </si>
  <si>
    <t>ERICO ALFREDO RODRÍGUEZ QUETZAL</t>
  </si>
  <si>
    <t xml:space="preserve">DGPCYN - 031 - 1122 - 2022 </t>
  </si>
  <si>
    <t>ESTEBAN EVERARDO HOIL HEREDIA</t>
  </si>
  <si>
    <t xml:space="preserve">DGPCYN - 031 - 1123 - 2022 </t>
  </si>
  <si>
    <t>GUMERSINDA ESTRADA ESTRADA</t>
  </si>
  <si>
    <t xml:space="preserve">DGPCYN - 031 - 1124 - 2022 </t>
  </si>
  <si>
    <t>LUCRECIA ESTEFANÍA DUBÓN MORALES</t>
  </si>
  <si>
    <t xml:space="preserve">DGPCYN - 031 - 1125 - 2022 </t>
  </si>
  <si>
    <t>NELSON WILFREDO RAMIREZ ALDANA</t>
  </si>
  <si>
    <t xml:space="preserve">DGPCYN - 031 - 1126 - 2022 </t>
  </si>
  <si>
    <t>ROMEO SAUL TRUJILLO ESTRADA</t>
  </si>
  <si>
    <t xml:space="preserve">DGPCYN - 031 - 1127 - 2022 </t>
  </si>
  <si>
    <t xml:space="preserve">WILLY JOSUÉ POP PACAY </t>
  </si>
  <si>
    <t>D</t>
  </si>
  <si>
    <t>DDD</t>
  </si>
  <si>
    <t>RENGLON</t>
  </si>
  <si>
    <t xml:space="preserve">DGPCYN - 031 - 1128 - 2022 </t>
  </si>
  <si>
    <t>ABEL AMILCAR MONTERROSO GARCÍA</t>
  </si>
  <si>
    <t xml:space="preserve">DGPCYN - 031 - 1129 - 2022 </t>
  </si>
  <si>
    <t>ABNER OMAR ALVARADO AMÉZQUITA</t>
  </si>
  <si>
    <t xml:space="preserve">DGPCYN - 031 - 1130 - 2022 </t>
  </si>
  <si>
    <t>ALBERTO GÓMEZ VILLAGRÉS</t>
  </si>
  <si>
    <t xml:space="preserve">DGPCYN - 031 - 1131 - 2022 </t>
  </si>
  <si>
    <t>ALBERTO LÓPEZ LORENZO</t>
  </si>
  <si>
    <t xml:space="preserve">DGPCYN - 031 - 1132 - 2022 </t>
  </si>
  <si>
    <t>ALBERTO VAIL HUINIL</t>
  </si>
  <si>
    <t xml:space="preserve">DGPCYN - 031 - 1134 - 2022 </t>
  </si>
  <si>
    <t>ALVARO MYNOR ENRIQUE DE LEÓN ARANGO</t>
  </si>
  <si>
    <t xml:space="preserve">DGPCYN - 031 - 1135 - 2022 </t>
  </si>
  <si>
    <t>AMILCAR ESTUARDO JUÁREZ MÉNDEZ</t>
  </si>
  <si>
    <t xml:space="preserve">DGPCYN - 031 - 1136 - 2022 </t>
  </si>
  <si>
    <t>AMILCAR SILVESTRE PÉREZ CIGUENZA</t>
  </si>
  <si>
    <t xml:space="preserve">DGPCYN - 031 - 1137 - 2022 </t>
  </si>
  <si>
    <t>ANAHÚ JEREMIAS GÓMEZ LÓPEZ</t>
  </si>
  <si>
    <t xml:space="preserve">DGPCYN - 031 - 1138 - 2022 </t>
  </si>
  <si>
    <t xml:space="preserve">ANGEL EDUARDO AMÉZQUITA RODAS </t>
  </si>
  <si>
    <t xml:space="preserve">DGPCYN - 031 - 1139 - 2022 </t>
  </si>
  <si>
    <t>BAUDILIO MENCHÚ GÓMEZ</t>
  </si>
  <si>
    <t xml:space="preserve">DGPCYN - 031 - 1140 - 2022 </t>
  </si>
  <si>
    <t>BERNAVE NICOLÁS CASTAÑEDA</t>
  </si>
  <si>
    <t>SUBE A 75 EN JULIO</t>
  </si>
  <si>
    <t xml:space="preserve">DGPCYN - 031 - 1141 - 2022 </t>
  </si>
  <si>
    <t>BLANCA MARIZOL CALDERÓN RAMÍREZ DE MALDONADO</t>
  </si>
  <si>
    <t xml:space="preserve">DGPCYN - 031 - 1142 - 2022 </t>
  </si>
  <si>
    <t>BRIQUEL BREMEN CIFUENTES (ÚNICO APELLIDO)</t>
  </si>
  <si>
    <t xml:space="preserve">DGPCYN - 031 - 1143 - 2022 </t>
  </si>
  <si>
    <t>BUENAVENTURA SALES SÁNCHEZ</t>
  </si>
  <si>
    <t xml:space="preserve">DGPCYN - 031 - 1144 - 2022 </t>
  </si>
  <si>
    <t>CELESTINO LÓPEZ LORENZO</t>
  </si>
  <si>
    <t xml:space="preserve">DGPCYN - 031 - 1145 - 2022 </t>
  </si>
  <si>
    <t>CÉSAR HUMBERTO REYNOSO CHIHUIL</t>
  </si>
  <si>
    <t>SUBE A 75 EN SEPTIEMBRE</t>
  </si>
  <si>
    <t xml:space="preserve">DGPCYN - 031 - 1146 - 2022 </t>
  </si>
  <si>
    <t>CESAR ORDOÑEZ PÉREZ</t>
  </si>
  <si>
    <t xml:space="preserve">DGPCYN - 031 - 1147 - 2022 </t>
  </si>
  <si>
    <t>DAVID NEHEMIAS CLAUDIO MONTERROSO</t>
  </si>
  <si>
    <t xml:space="preserve">DGPCYN - 031 - 1148 - 2022 </t>
  </si>
  <si>
    <t>DAVID PÉREZ MARROQUÍN</t>
  </si>
  <si>
    <t xml:space="preserve">DGPCYN - 031 - 1150 - 2022 </t>
  </si>
  <si>
    <t>EDWIN WALDEMAR MONTERROSO TUNCHEZ</t>
  </si>
  <si>
    <t xml:space="preserve">DGPCYN - 031 - 1151 - 2022 </t>
  </si>
  <si>
    <t>EFRAÍN GUZMÁN CARRILLO</t>
  </si>
  <si>
    <t xml:space="preserve">DGPCYN - 031 - 1152 - 2022 </t>
  </si>
  <si>
    <t>ELSÍAS JONATHAN LÓPEZ DÍAZ</t>
  </si>
  <si>
    <t xml:space="preserve">DGPCYN - 031 - 1153 - 2022 </t>
  </si>
  <si>
    <t>ENRIQUE ISRAEL GONZÁLEZ JUÁREZ</t>
  </si>
  <si>
    <t xml:space="preserve">DGPCYN - 031 - 1154 - 2022 </t>
  </si>
  <si>
    <t>ESTEBAN VÁSQUEZ GARCIA</t>
  </si>
  <si>
    <t xml:space="preserve">DGPCYN - 031 - 1155 - 2022 </t>
  </si>
  <si>
    <t>GENARO LOPEZ LUCAS</t>
  </si>
  <si>
    <t xml:space="preserve">DGPCYN - 031 - 1156 - 2022 </t>
  </si>
  <si>
    <t xml:space="preserve">GEREMIAS CLAUDIO PEREZ </t>
  </si>
  <si>
    <t xml:space="preserve">DGPCYN - 031 - 1157 - 2022 </t>
  </si>
  <si>
    <t>GONZÁLO DANILO MARROQUÍN MÉNDEZ</t>
  </si>
  <si>
    <t>SUBE A 50 EN JULIO</t>
  </si>
  <si>
    <t xml:space="preserve">DGPCYN - 031 - 1158 - 2022 </t>
  </si>
  <si>
    <t>GONZALO RAMÓN RAMÍREZ LÓPEZ</t>
  </si>
  <si>
    <t xml:space="preserve">DGPCYN - 031 - 1159 - 2022 </t>
  </si>
  <si>
    <t>GUADALUPE GUTIERREZ MÉNDEZ</t>
  </si>
  <si>
    <t xml:space="preserve">DGPCYN - 031 - 1160 - 2022 </t>
  </si>
  <si>
    <t>GUILLERMO SÁNCHEZ SÁNCHEZ</t>
  </si>
  <si>
    <t xml:space="preserve">DGPCYN - 031 - 1161 - 2022 </t>
  </si>
  <si>
    <t>HEBER ELEAZAR CAMPOS VÁSQUEZ</t>
  </si>
  <si>
    <t xml:space="preserve">DGPCYN - 031 - 1162 - 2022 </t>
  </si>
  <si>
    <t>HÉCTOR LEONEL MIRANDA MAZARIEGOS</t>
  </si>
  <si>
    <t xml:space="preserve">DGPCYN - 031 - 1163 - 2022 </t>
  </si>
  <si>
    <t>HÉCTOR RONNALDO ESCOBAR MARTÍNEZ</t>
  </si>
  <si>
    <t xml:space="preserve">DGPCYN - 031 - 1164 - 2022 </t>
  </si>
  <si>
    <t>HECTOR VALDEMAR DE LEÓN BARRIOS</t>
  </si>
  <si>
    <t xml:space="preserve">DGPCYN - 031 - 1165 - 2022 </t>
  </si>
  <si>
    <t>HENRY DARÍO DE LEÓN CALDERÓN</t>
  </si>
  <si>
    <t xml:space="preserve">DGPCYN - 031 - 1166 - 2022 </t>
  </si>
  <si>
    <t>HEYDI YOJANA PÉREZ DE LEÓN</t>
  </si>
  <si>
    <t xml:space="preserve">DGPCYN - 031 - 1167 - 2022 </t>
  </si>
  <si>
    <t>HUMBERTO VILLAGRÁN MARTÍNEZ</t>
  </si>
  <si>
    <t xml:space="preserve">DGPCYN - 031 - 1168 - 2022 </t>
  </si>
  <si>
    <t>ISRRAEL SOTO PÉREZ</t>
  </si>
  <si>
    <t>SUBE A 75 EN MAYO</t>
  </si>
  <si>
    <t xml:space="preserve">DGPCYN - 031 - 1169 - 2022 </t>
  </si>
  <si>
    <t>JACOBO LÓPEZ GARCÍA</t>
  </si>
  <si>
    <t>SUBE A 75 EN MARZO</t>
  </si>
  <si>
    <t xml:space="preserve">DGPCYN - 031 - 1171 - 2022 </t>
  </si>
  <si>
    <t>JAIME EFRAÍN MONTERROSO GARCÍA</t>
  </si>
  <si>
    <t xml:space="preserve">DGPCYN - 031 - 1172 - 2022 </t>
  </si>
  <si>
    <t>JORGE LUIS JUÁREZ MONZÓN</t>
  </si>
  <si>
    <t xml:space="preserve">DGPCYN - 031 - 1173 - 2022 </t>
  </si>
  <si>
    <t>JOSÉ EMIGDIO PINEDA DE LEÓN</t>
  </si>
  <si>
    <t xml:space="preserve">DGPCYN - 031 - 1174 - 2022 </t>
  </si>
  <si>
    <t>JOSÉ ESTUARDO VELÁSQUEZ PUÁC</t>
  </si>
  <si>
    <t xml:space="preserve">DGPCYN - 031 - 1175 - 2022 </t>
  </si>
  <si>
    <t>JOSÉ MIGUEL TIPÁZ MARROQUÍN</t>
  </si>
  <si>
    <t xml:space="preserve">DGPCYN - 031 - 1176 - 2022 </t>
  </si>
  <si>
    <t>JOSE RAMÍRO HERNANDEZ DE LEÓN</t>
  </si>
  <si>
    <t xml:space="preserve">DGPCYN - 031 - 1177 - 2022 </t>
  </si>
  <si>
    <t>JOSÉ TOMAS CHAPERNO TINES</t>
  </si>
  <si>
    <t xml:space="preserve">DGPCYN - 031 - 1178 - 2022 </t>
  </si>
  <si>
    <t>JUAN FEDERICO CHAPERNO TINEZ</t>
  </si>
  <si>
    <t xml:space="preserve">DGPCYN - 031 - 1179 - 2022 </t>
  </si>
  <si>
    <t>JUAN SAÚL JUÁREZ ORELLANA</t>
  </si>
  <si>
    <t xml:space="preserve">DGPCYN - 031 - 1180 - 2022 </t>
  </si>
  <si>
    <t>JULIO PATROCINIO GARCÍA (ÚNICO APELLIDO)</t>
  </si>
  <si>
    <t xml:space="preserve">DGPCYN - 031 - 1181 - 2022 </t>
  </si>
  <si>
    <t>LAURA DALILA ESCOBAR GARCÍA DE CASTILLO</t>
  </si>
  <si>
    <t xml:space="preserve">DGPCYN - 031 - 1182 - 2022 </t>
  </si>
  <si>
    <t>LEOCADIO ROMERO IXCOT</t>
  </si>
  <si>
    <t xml:space="preserve">DGPCYN - 031 - 1183 - 2022 </t>
  </si>
  <si>
    <t>LEONZO CHAVEZ SALES</t>
  </si>
  <si>
    <t xml:space="preserve">DGPCYN - 031 - 1184 - 2022 </t>
  </si>
  <si>
    <t>LUIS ALFONZO RIVERA GARCÍA</t>
  </si>
  <si>
    <t xml:space="preserve">DGPCYN - 031 - 1185 - 2022 </t>
  </si>
  <si>
    <t>LUIS ANTONIO VELIZ RIVERA</t>
  </si>
  <si>
    <t xml:space="preserve">DGPCYN - 031 - 1186 - 2022 </t>
  </si>
  <si>
    <t>MARIO ROLANDO BARRIOS SIGUENZA</t>
  </si>
  <si>
    <t xml:space="preserve">DGPCYN - 031 - 1187 - 2022 </t>
  </si>
  <si>
    <t>MARVIN ALFREDO CASTILLO VILLAGRÁN</t>
  </si>
  <si>
    <t xml:space="preserve">DGPCYN - 031 - 1188 - 2022 </t>
  </si>
  <si>
    <t>MILTON OMAR RAMÍREZ LORENZO</t>
  </si>
  <si>
    <t xml:space="preserve">DGPCYN - 031 - 1189 - 2022 </t>
  </si>
  <si>
    <t>NELTON ESTUARDO MONTERROSO TUNCHEZ</t>
  </si>
  <si>
    <t xml:space="preserve">DGPCYN - 031 - 1190 - 2022 </t>
  </si>
  <si>
    <t>OSCAR ROMEO CABRERA JUÁREZ</t>
  </si>
  <si>
    <t xml:space="preserve">DGPCYN - 031 - 1191 - 2022 </t>
  </si>
  <si>
    <t>PABLO GÓMEZ SALES</t>
  </si>
  <si>
    <t xml:space="preserve">DGPCYN - 031 - 1192 - 2022 </t>
  </si>
  <si>
    <t>PEDRO DAVID GONZÁLEZ RIVERA</t>
  </si>
  <si>
    <t xml:space="preserve">DGPCYN - 031 - 1193 - 2022 </t>
  </si>
  <si>
    <t>RAMÓN LÓPEZ LORENZO</t>
  </si>
  <si>
    <t xml:space="preserve">DGPCYN - 031 - 1194 - 2022 </t>
  </si>
  <si>
    <t>RAMÓN MÉNDEZ BARRIOS</t>
  </si>
  <si>
    <t xml:space="preserve">DGPCYN - 031 - 1195 - 2022 </t>
  </si>
  <si>
    <t>ROBERTO ALEJANDRO CHANCHAVAC ORTEGA</t>
  </si>
  <si>
    <t xml:space="preserve">DGPCYN - 031 - 1196 - 2022 </t>
  </si>
  <si>
    <t>ROBIN KINSIÑO DE LEÓN DE LEÓN</t>
  </si>
  <si>
    <t xml:space="preserve">DGPCYN - 031 - 1197 - 2022 </t>
  </si>
  <si>
    <t>RUDY SÁNCHEZ Y SÁNCHEZ</t>
  </si>
  <si>
    <t xml:space="preserve">DGPCYN - 031 - 1198 - 2022 </t>
  </si>
  <si>
    <t>SANDRA NOHEMÍ TORRES ESTRADA</t>
  </si>
  <si>
    <t xml:space="preserve">DGPCYN - 031 - 1199 - 2022 </t>
  </si>
  <si>
    <t>SANTIAGO DELGADO VICENTE</t>
  </si>
  <si>
    <t xml:space="preserve">DGPCYN - 031 - 1200 - 2022 </t>
  </si>
  <si>
    <t>SANTIAGO LÓPEZ Y LÓPEZ</t>
  </si>
  <si>
    <t xml:space="preserve">DGPCYN - 031 - 1201 - 2022 </t>
  </si>
  <si>
    <t>STEFFANY CONCEPCIÓN SEGURA DE LEÓN</t>
  </si>
  <si>
    <t xml:space="preserve">DGPCYN - 031 - 1202 - 2022 </t>
  </si>
  <si>
    <t>WILLIAM PAZ DOMINGO</t>
  </si>
  <si>
    <t xml:space="preserve">DGPCYN - 031 - 1203 - 2022 </t>
  </si>
  <si>
    <t>9901502423</t>
  </si>
  <si>
    <t>CARMELINO IBARRA ORTEGA</t>
  </si>
  <si>
    <t xml:space="preserve">DGPCYN - 031 - 1204 - 2022 </t>
  </si>
  <si>
    <t xml:space="preserve">LUIS ALFREDO CALEL LÓPEZ </t>
  </si>
  <si>
    <t xml:space="preserve">DGPCYN - 031 - 1205 - 2022 </t>
  </si>
  <si>
    <t>JOSÉ ANGEL RAMÍREZ VALLE</t>
  </si>
  <si>
    <t xml:space="preserve">DGPCYN - 031 - 1206 - 2022 </t>
  </si>
  <si>
    <t>9901502284</t>
  </si>
  <si>
    <t>LUZ ELENA LÓPEZ RECINOS</t>
  </si>
  <si>
    <t xml:space="preserve">DGPCYN - 031 - 1207 - 2022 </t>
  </si>
  <si>
    <t>MIGUEL ANGEL TIPAZ ORTEGA</t>
  </si>
  <si>
    <t xml:space="preserve">DGPCYN - 031 - 1208 - 2022 </t>
  </si>
  <si>
    <t>LLEMALDI AGUSTIN AMEZQUITA ESPAÑA</t>
  </si>
  <si>
    <t xml:space="preserve">DGPCYN - 031 - 617 - 2022 </t>
  </si>
  <si>
    <t>BAYRON EGIDIO GÓMEZ GODÍNEZ</t>
  </si>
  <si>
    <t xml:space="preserve">DGPCYN - 031 - 618 - 2022 </t>
  </si>
  <si>
    <t>ERWIN DONIS SOC ALONZO</t>
  </si>
  <si>
    <t xml:space="preserve">DGPCYN - 031 - 627 - 2022 </t>
  </si>
  <si>
    <t>WALTER SALVADOR ZEA DE LA CRUZ</t>
  </si>
  <si>
    <t>DARLIN JANETH ARGUETA DUQUE</t>
  </si>
  <si>
    <t>JOAQUÍN ANTONIO MACAL VÁSQUEZ</t>
  </si>
  <si>
    <t xml:space="preserve">DGPCYN - 031 - 1209 - 2022 </t>
  </si>
  <si>
    <t>ADELFINO LÓPEZ UMUL</t>
  </si>
  <si>
    <t xml:space="preserve">DGPCYN - 031 - 1210 - 2022 </t>
  </si>
  <si>
    <t>AMILTON AMADO CIFUENTES DE LEÓN</t>
  </si>
  <si>
    <t xml:space="preserve">DGPCYN - 031 - 1211 - 2022 </t>
  </si>
  <si>
    <t>ARMANDO REYES ORTÍZ</t>
  </si>
  <si>
    <t xml:space="preserve">DGPCYN - 031 - 1212 - 2022 </t>
  </si>
  <si>
    <t>AUREDIN RAMIRO ROSA PINEDA</t>
  </si>
  <si>
    <t xml:space="preserve">DGPCYN - 031 - 1213 - 2022 </t>
  </si>
  <si>
    <t>AURELIO JUAREZ COJON</t>
  </si>
  <si>
    <t>SUBE A 75 EN ENERO</t>
  </si>
  <si>
    <t xml:space="preserve">DGPCYN - 031 - 1214 - 2022 </t>
  </si>
  <si>
    <t>CESAR MANUEL SUNTECÚN RAMOS</t>
  </si>
  <si>
    <t xml:space="preserve">DGPCYN - 031 - 1215 - 2022 </t>
  </si>
  <si>
    <t>CESAR OCTAVIO RAYMUNDO (ÚNICO APELLIDO)</t>
  </si>
  <si>
    <t xml:space="preserve">DGPCYN - 031 - 1216 - 2022 </t>
  </si>
  <si>
    <t>CLELIA IRAYSA DE JESÚS CONTRERAS LÓPEZ DE MANES</t>
  </si>
  <si>
    <t xml:space="preserve">DGPCYN - 031 - 1217 - 2022 </t>
  </si>
  <si>
    <t>DOMINGO DE JESÚS MORALES PINTO</t>
  </si>
  <si>
    <t xml:space="preserve">DGPCYN - 031 - 1218 - 2022 </t>
  </si>
  <si>
    <t>EDGAR GIOVANY SANDOVAL Y SANDOVAL</t>
  </si>
  <si>
    <t xml:space="preserve">DGPCYN - 031 - 1219 - 2022 </t>
  </si>
  <si>
    <t>EDVIN ORLANDO SALAZAR DE LOS SANTOS</t>
  </si>
  <si>
    <t xml:space="preserve">DGPCYN - 031 - 1220 - 2022 </t>
  </si>
  <si>
    <t>ERBIN LEONEL PEÑA REVOLORIO</t>
  </si>
  <si>
    <t xml:space="preserve">DGPCYN - 031 - 1221 - 2022 </t>
  </si>
  <si>
    <t>FRANCISCO CAAL CHUB</t>
  </si>
  <si>
    <t xml:space="preserve">DGPCYN - 031 - 1222 - 2022 </t>
  </si>
  <si>
    <t>GILBERTO CHAVEZ ORREGO</t>
  </si>
  <si>
    <t xml:space="preserve">DGPCYN - 031 - 1223 - 2022 </t>
  </si>
  <si>
    <t>GILBERTO ESTEBAN OBANDO TIUL</t>
  </si>
  <si>
    <t xml:space="preserve">DGPCYN - 031 - 1224 - 2022 </t>
  </si>
  <si>
    <t>GUILLERMO SAMUEL RAYMUNDO CUNIL</t>
  </si>
  <si>
    <t xml:space="preserve">DGPCYN - 031 - 1225 - 2022 </t>
  </si>
  <si>
    <t>HENIO HERNAN SALINAS CRUZ</t>
  </si>
  <si>
    <t xml:space="preserve">DGPCYN - 031 - 1226 - 2022 </t>
  </si>
  <si>
    <t>HERONÍAS ABDIEL MEJÍA VIDAL</t>
  </si>
  <si>
    <t xml:space="preserve">DGPCYN - 031 - 1228 - 2022 </t>
  </si>
  <si>
    <t>JESÚS ACEITUNO OSORIO</t>
  </si>
  <si>
    <t xml:space="preserve">DGPCYN - 031 - 1229 - 2022 </t>
  </si>
  <si>
    <t>JHELSON MIZRRAÍN GUERRA MORALES</t>
  </si>
  <si>
    <t xml:space="preserve">DGPCYN - 031 - 1230 - 2022 </t>
  </si>
  <si>
    <t>JOSE LUIS  MEJIA SOZA</t>
  </si>
  <si>
    <t xml:space="preserve">DGPCYN - 031 - 1231 - 2022 </t>
  </si>
  <si>
    <t>JOSÉ LUIS CORTEZ SANTIAGO</t>
  </si>
  <si>
    <t xml:space="preserve">DGPCYN - 031 - 1232 - 2022 </t>
  </si>
  <si>
    <t>JUAN CARLOS CABRERA TURCIOS</t>
  </si>
  <si>
    <t xml:space="preserve">DGPCYN - 031 - 1233 - 2022 </t>
  </si>
  <si>
    <t>JUAN JOSÉ PÉREZ LEMUS</t>
  </si>
  <si>
    <t xml:space="preserve">DGPCYN - 031 - 1234 - 2022 </t>
  </si>
  <si>
    <t>JUAN MANUEL RUANO MEDRANO</t>
  </si>
  <si>
    <t xml:space="preserve">DGPCYN - 031 - 1235 - 2022 </t>
  </si>
  <si>
    <t>LUIS ALBERTO CEBALLOS MENÉNDEZ</t>
  </si>
  <si>
    <t xml:space="preserve">DGPCYN - 031 - 1236 - 2022 </t>
  </si>
  <si>
    <t>LUIS ALONZO BARDALES MOYA</t>
  </si>
  <si>
    <t xml:space="preserve">DGPCYN - 031 - 1237 - 2022 </t>
  </si>
  <si>
    <t>MAIRO MOICES CHÁN CHATÁ</t>
  </si>
  <si>
    <t xml:space="preserve">DGPCYN - 031 - 1238 - 2022 </t>
  </si>
  <si>
    <t>MARBIN YOBANI ROSA PINEDA</t>
  </si>
  <si>
    <t xml:space="preserve">DGPCYN - 031 - 1239 - 2022 </t>
  </si>
  <si>
    <t>MARVIN BARRERA PIRIR</t>
  </si>
  <si>
    <t xml:space="preserve">DGPCYN - 031 - 1240 - 2022 </t>
  </si>
  <si>
    <t>MARVIN MISAEL MARQUEZ JUÁREZ</t>
  </si>
  <si>
    <t xml:space="preserve">DGPCYN - 031 - 1241 - 2022 </t>
  </si>
  <si>
    <t>MAYNOR DANIEL FLORES AVILA</t>
  </si>
  <si>
    <t xml:space="preserve">DGPCYN - 031 - 1242 - 2022 </t>
  </si>
  <si>
    <t>MOISES DANIEL PÉREZ DÍAZ</t>
  </si>
  <si>
    <t xml:space="preserve">DGPCYN - 031 - 1243 - 2022 </t>
  </si>
  <si>
    <t>MOISES TEC MAQUÍN</t>
  </si>
  <si>
    <t xml:space="preserve">DGPCYN - 031 - 1244 - 2022 </t>
  </si>
  <si>
    <t>ODILIO DE JESÚS RAMÍREZ MONROY</t>
  </si>
  <si>
    <t xml:space="preserve">DGPCYN - 031 - 1246 - 2022 </t>
  </si>
  <si>
    <t>ORLANDO HERRARTE RODRÍGUEZ</t>
  </si>
  <si>
    <t xml:space="preserve">DGPCYN - 031 - 1247 - 2022 </t>
  </si>
  <si>
    <t>OSCAR ACEVEDO ALDANA</t>
  </si>
  <si>
    <t xml:space="preserve">DGPCYN - 031 - 1248 - 2022 </t>
  </si>
  <si>
    <t>OSCAR GUTIÉRREZ PÉREZ</t>
  </si>
  <si>
    <t xml:space="preserve">DGPCYN - 031 - 1249 - 2022 </t>
  </si>
  <si>
    <t>PEDRO ANTONIO TESUCÚN LUNA</t>
  </si>
  <si>
    <t xml:space="preserve">DGPCYN - 031 - 1250 - 2022 </t>
  </si>
  <si>
    <t>QUENIS FRANCISCO SALAS CUJ</t>
  </si>
  <si>
    <t xml:space="preserve">DGPCYN - 031 - 1251 - 2022 </t>
  </si>
  <si>
    <t>RICARDO DE JESÚS HERRERA MARROQUÍN</t>
  </si>
  <si>
    <t xml:space="preserve">DGPCYN - 031 - 1252 - 2022 </t>
  </si>
  <si>
    <t>RUBÉN ANTONIO SOLÓRZANO LUNA</t>
  </si>
  <si>
    <t xml:space="preserve">DGPCYN - 031 - 1253 - 2022 </t>
  </si>
  <si>
    <t>SELVIN ORLANDO CANTE HERRERA</t>
  </si>
  <si>
    <t xml:space="preserve">DGPCYN - 031 - 1254 - 2022 </t>
  </si>
  <si>
    <t>UBALDO CANAHUÍ SANDOVAL</t>
  </si>
  <si>
    <t xml:space="preserve">DGPCYN - 031 - 1255 - 2022 </t>
  </si>
  <si>
    <t>VICTOR HUGO LÓPEZ SEGURA</t>
  </si>
  <si>
    <t xml:space="preserve">DGPCYN - 031 - 1256 - 2022 </t>
  </si>
  <si>
    <t>VICTOR MANUEL CARAVEO MENDOZA</t>
  </si>
  <si>
    <t xml:space="preserve">DGPCYN - 031 - 1257 - 2022 </t>
  </si>
  <si>
    <t>WEYNER AMILCAR QUIXCHÁN COHUOJ</t>
  </si>
  <si>
    <t>WILLIAM HUMBERTO PALACIOS GUTIÉRREZ</t>
  </si>
  <si>
    <t>GILMER DARÍO CONTRERAS ESCOBAR</t>
  </si>
  <si>
    <t>JOSÉ ARNULFO PINEDA XIQUÉN</t>
  </si>
  <si>
    <t xml:space="preserve">DGPCYN - 031 - 1260 - 2022 </t>
  </si>
  <si>
    <t>ALFREDO CHOC TIUL</t>
  </si>
  <si>
    <t xml:space="preserve">DGPCYN - 031 - 1261 - 2022 </t>
  </si>
  <si>
    <t>ARNOLDO BAUDILIO COLLI TESUCÚN</t>
  </si>
  <si>
    <t xml:space="preserve">DGPCYN - 031 - 1262 - 2022 </t>
  </si>
  <si>
    <t>ARNOLDO ENRIQUE JUAREZ PINELO</t>
  </si>
  <si>
    <t xml:space="preserve">DGPCYN - 031 - 1263 - 2022 </t>
  </si>
  <si>
    <t>AUDENCIO MATEO ICÓN</t>
  </si>
  <si>
    <t xml:space="preserve">DGPCYN - 031 - 1264 - 2022 </t>
  </si>
  <si>
    <t>BAUDILIO CHOC TESUCÚN</t>
  </si>
  <si>
    <t xml:space="preserve">DGPCYN - 031 - 1265 - 2022 </t>
  </si>
  <si>
    <t>BENIGNO ANTONIO LINARES MORALES</t>
  </si>
  <si>
    <t xml:space="preserve">DGPCYN - 031 - 1266 - 2022 </t>
  </si>
  <si>
    <t>BRAULIO REVOLORIO MUÑOZ</t>
  </si>
  <si>
    <t xml:space="preserve">DGPCYN - 031 - 1267 - 2022 </t>
  </si>
  <si>
    <t>BYRON OTTONIEL HERNÁNDEZ RIOS</t>
  </si>
  <si>
    <t xml:space="preserve">DGPCYN - 031 - 1268 - 2022 </t>
  </si>
  <si>
    <t>CARLOS DE JESUS TORRES FERNANDEZ</t>
  </si>
  <si>
    <t xml:space="preserve">DGPCYN - 031 - 1269 - 2022 </t>
  </si>
  <si>
    <t>CARLOS ENRIQUE LÓPEZ CASTILLO</t>
  </si>
  <si>
    <t xml:space="preserve">DGPCYN - 031 - 1270 - 2022 </t>
  </si>
  <si>
    <t>CÉSAR AUGUSTO DÍAZ LÓPEZ</t>
  </si>
  <si>
    <t xml:space="preserve">DGPCYN - 031 - 1271 - 2022 </t>
  </si>
  <si>
    <t>CÉSAR AUGUSTO ESCALANTE FRANCO</t>
  </si>
  <si>
    <t xml:space="preserve">DGPCYN - 031 - 1272 - 2022 </t>
  </si>
  <si>
    <t>CÉSAR AUGUSTO GIRÓN MORALES</t>
  </si>
  <si>
    <t xml:space="preserve">DGPCYN - 031 - 1273 - 2022 </t>
  </si>
  <si>
    <t>CÉSAR OVIDIO ALONZO RAMOS</t>
  </si>
  <si>
    <t xml:space="preserve">DGPCYN - 031 - 1274 - 2022 </t>
  </si>
  <si>
    <t>CRUZ OBED CUNIL OBANDO</t>
  </si>
  <si>
    <t>SUBE A 75 EN OCTUBRE</t>
  </si>
  <si>
    <t xml:space="preserve">DGPCYN - 031 - 1275 - 2022 </t>
  </si>
  <si>
    <t>DANIEL MESAC BOL TIUL</t>
  </si>
  <si>
    <t xml:space="preserve">DGPCYN - 031 - 1276 - 2022 </t>
  </si>
  <si>
    <t>DAVID ENRIQUE NÁJERA (ÚNICO APELLIDO)</t>
  </si>
  <si>
    <t xml:space="preserve">DGPCYN - 031 - 1277 - 2022 </t>
  </si>
  <si>
    <t>EDGAR REYNALDO CASTAÑEDA VALENZUELA</t>
  </si>
  <si>
    <t xml:space="preserve">DGPCYN - 031 - 1278 - 2022 </t>
  </si>
  <si>
    <t>EDY ALBERTO SAC CORTEZ</t>
  </si>
  <si>
    <t xml:space="preserve">DGPCYN - 031 - 1279 - 2022 </t>
  </si>
  <si>
    <t>ELDER ALCÍDES MÉNDEZ NUFIO</t>
  </si>
  <si>
    <t xml:space="preserve">DGPCYN - 031 - 1280 - 2022 </t>
  </si>
  <si>
    <t>EMERSON EDUARDO AJÚ GONZÁLEZ</t>
  </si>
  <si>
    <t xml:space="preserve">DGPCYN - 031 - 1281 - 2022 </t>
  </si>
  <si>
    <t>EMILIO CETINA QUILKÁN</t>
  </si>
  <si>
    <t xml:space="preserve">DGPCYN - 031 - 1282 - 2022 </t>
  </si>
  <si>
    <t>FAUSTINO CORADO ZUÑIGA</t>
  </si>
  <si>
    <t xml:space="preserve">DGPCYN - 031 - 1283 - 2022 </t>
  </si>
  <si>
    <t>FERNANDO CORNELIO TURCIOS</t>
  </si>
  <si>
    <t xml:space="preserve">DGPCYN - 031 - 1284 - 2022 </t>
  </si>
  <si>
    <t>FIDEL RAMÍREZ ARELLANOS</t>
  </si>
  <si>
    <t xml:space="preserve">DGPCYN - 031 - 1285 - 2022 </t>
  </si>
  <si>
    <t>FIDENCIO CHÓC (ÚNICO APELLIDO)</t>
  </si>
  <si>
    <t xml:space="preserve">DGPCYN - 031 - 1286 - 2022 </t>
  </si>
  <si>
    <t>GILBERTO BUTZ BOLÓN</t>
  </si>
  <si>
    <t xml:space="preserve">DGPCYN - 031 - 1287 - 2022 </t>
  </si>
  <si>
    <t>GILBERTO PACAYA (ÚNICO APELLIDO)</t>
  </si>
  <si>
    <t xml:space="preserve">DGPCYN - 031 - 1288 - 2022 </t>
  </si>
  <si>
    <t>HIPOLITO RAMOS MARTINEZ</t>
  </si>
  <si>
    <t xml:space="preserve">DGPCYN - 031 - 1289 - 2022 </t>
  </si>
  <si>
    <t>HENRY DOMINGO RAMÍREZ RODRÍGUEZ</t>
  </si>
  <si>
    <t xml:space="preserve">DGPCYN - 031 - 1290 - 2022 </t>
  </si>
  <si>
    <t>HUGO VELARMINO MORO (ÚNICO APELLIDO)</t>
  </si>
  <si>
    <t xml:space="preserve">DGPCYN - 031 - 1291 - 2022 </t>
  </si>
  <si>
    <t>ISMAEL ROLANDO CHOC CUCUL</t>
  </si>
  <si>
    <t xml:space="preserve">DGPCYN - 031 - 1292 - 2022 </t>
  </si>
  <si>
    <t>JESUS ENRIQUE REQUENA (ÚNICO APELLIDO)</t>
  </si>
  <si>
    <t xml:space="preserve">DGPCYN - 031 - 1293 - 2022 </t>
  </si>
  <si>
    <t>JOEL RAMOS CULAJAY</t>
  </si>
  <si>
    <t xml:space="preserve">DGPCYN - 031 - 1294 - 2022 </t>
  </si>
  <si>
    <t>JOHEL ESAÚ QUIXCHÁN SINTURIÓN</t>
  </si>
  <si>
    <t xml:space="preserve">DGPCYN - 031 - 1296 - 2022 </t>
  </si>
  <si>
    <t>JOSE AUGUSTO CAAL LARA</t>
  </si>
  <si>
    <t xml:space="preserve">DGPCYN - 031 - 1297 - 2022 </t>
  </si>
  <si>
    <t>JOSÉ DIONICIO LECHUGA ZAC</t>
  </si>
  <si>
    <t xml:space="preserve">DGPCYN - 031 - 1298 - 2022 </t>
  </si>
  <si>
    <t>JOSÉ JOLOMNA CABNAL</t>
  </si>
  <si>
    <t xml:space="preserve">DGPCYN - 031 - 1299 - 2022 </t>
  </si>
  <si>
    <t>JOSÉ MARÍA VÁSQUEZ TRINIDAD</t>
  </si>
  <si>
    <t xml:space="preserve">DGPCYN - 031 - 1301 - 2022 </t>
  </si>
  <si>
    <t>JUAN CARLOS PUGA BURGOS</t>
  </si>
  <si>
    <t xml:space="preserve">DGPCYN - 031 - 1302 - 2022 </t>
  </si>
  <si>
    <t>JULIAN AJU YOTZ</t>
  </si>
  <si>
    <t xml:space="preserve">DGPCYN - 031 - 1303 - 2022 </t>
  </si>
  <si>
    <t>JULIAN FRANCISCO LÓPEZ CALLEJAS</t>
  </si>
  <si>
    <t xml:space="preserve">DGPCYN - 031 - 1304 - 2022 </t>
  </si>
  <si>
    <t>JULIO DAVID MEJÍA GARCÍA</t>
  </si>
  <si>
    <t xml:space="preserve">DGPCYN - 031 - 1305 - 2022 </t>
  </si>
  <si>
    <t>LEONEL QUETZAL TZUL</t>
  </si>
  <si>
    <t xml:space="preserve">DGPCYN - 031 - 1306 - 2022 </t>
  </si>
  <si>
    <t>MAGDALENO FERMÍN TZIN ALVARADO</t>
  </si>
  <si>
    <t xml:space="preserve">DGPCYN - 031 - 1307 - 2022 </t>
  </si>
  <si>
    <t>MANUEL DE JESUS YOJ (ÚNICO APELLIDO)</t>
  </si>
  <si>
    <t xml:space="preserve">DGPCYN - 031 - 1308 - 2022 </t>
  </si>
  <si>
    <t>MARCO ANTONIO EFRAIN PUGA MANZANERO</t>
  </si>
  <si>
    <t xml:space="preserve">DGPCYN - 031 - 1309 - 2022 </t>
  </si>
  <si>
    <t>MARIO CHOC (ÚNICO APELLIDO)</t>
  </si>
  <si>
    <t xml:space="preserve">DGPCYN - 031 - 1311 - 2022 </t>
  </si>
  <si>
    <t>MARVIN GEOVANY QUINTEROS MARROQUIN</t>
  </si>
  <si>
    <t xml:space="preserve">DGPCYN - 031 - 1312 - 2022 </t>
  </si>
  <si>
    <t>MARVIN LEONEL VILLEDA (ÚNICO APELLIDO)</t>
  </si>
  <si>
    <t xml:space="preserve">DGPCYN - 031 - 1313 - 2022 </t>
  </si>
  <si>
    <t>MARVIN YOVANY GIRÓN ENRIQUE</t>
  </si>
  <si>
    <t xml:space="preserve">DGPCYN - 031 - 1314 - 2022 </t>
  </si>
  <si>
    <t>MERY GERMÁN ALVARADO MUZUL</t>
  </si>
  <si>
    <t xml:space="preserve">DGPCYN - 031 - 1315 - 2022 </t>
  </si>
  <si>
    <t>MIGUEL CHOC PAN</t>
  </si>
  <si>
    <t xml:space="preserve">DGPCYN - 031 - 1316 - 2022 </t>
  </si>
  <si>
    <t>NÉLSON FELIPE VANEGAS COCÓN</t>
  </si>
  <si>
    <t xml:space="preserve">DGPCYN - 031 - 1317 - 2022 </t>
  </si>
  <si>
    <t xml:space="preserve">NELWIN RAÚL RAYMUNDO HEREDIA </t>
  </si>
  <si>
    <t xml:space="preserve">DGPCYN - 031 - 1318 - 2022 </t>
  </si>
  <si>
    <t>NOÉ ALBERTO CORTÉZ PÉREZ</t>
  </si>
  <si>
    <t xml:space="preserve">DGPCYN - 031 - 1319 - 2022 </t>
  </si>
  <si>
    <t>NOÉ EFRAIN RIVAS DURÁN</t>
  </si>
  <si>
    <t xml:space="preserve">DGPCYN - 031 - 1320 - 2022 </t>
  </si>
  <si>
    <t>PAULINO XITUMUL IXPATAC</t>
  </si>
  <si>
    <t xml:space="preserve">DGPCYN - 031 - 1321 - 2022 </t>
  </si>
  <si>
    <t>PEDRO CUCUL COC</t>
  </si>
  <si>
    <t xml:space="preserve">DGPCYN - 031 - 1322 - 2022 </t>
  </si>
  <si>
    <t>PIOQUINTO DE LA CRUZ CUJUY</t>
  </si>
  <si>
    <t xml:space="preserve">DGPCYN - 031 - 1323 - 2022 </t>
  </si>
  <si>
    <t xml:space="preserve">RIGOBERTO ASIG COC </t>
  </si>
  <si>
    <t xml:space="preserve">DGPCYN - 031 - 1324 - 2022 </t>
  </si>
  <si>
    <t>RIGOBERTO HUMBERTO CORTÉZ PÉREZ</t>
  </si>
  <si>
    <t xml:space="preserve">DGPCYN - 031 - 1325 - 2022 </t>
  </si>
  <si>
    <t>ROGER GIOVANNI MATUS GÓMEZ</t>
  </si>
  <si>
    <t xml:space="preserve">DGPCYN - 031 - 1326 - 2022 </t>
  </si>
  <si>
    <t>RUFO LEONEL ALVARADO OBANDO</t>
  </si>
  <si>
    <t xml:space="preserve">DGPCYN - 031 - 1327 - 2022 </t>
  </si>
  <si>
    <t>SANTOS DOMINGO DONIS LORENZO</t>
  </si>
  <si>
    <t xml:space="preserve">DGPCYN - 031 - 1328 - 2022 </t>
  </si>
  <si>
    <t>SANTOS RAMÓN LORENZO MUÑOZ</t>
  </si>
  <si>
    <t xml:space="preserve">DGPCYN - 031 - 1329 - 2022 </t>
  </si>
  <si>
    <t>SATURNINO CARRETO ALMARÁZ</t>
  </si>
  <si>
    <t xml:space="preserve">DGPCYN - 031 - 1330 - 2022 </t>
  </si>
  <si>
    <t>TERESO DE JESÚS GONZÁLEZ LÓPEZ</t>
  </si>
  <si>
    <t xml:space="preserve">DGPCYN - 031 - 1331 - 2022 </t>
  </si>
  <si>
    <t>TOMAS FÉLIPE MORALES</t>
  </si>
  <si>
    <t xml:space="preserve">DGPCYN - 031 - 1332 - 2022 </t>
  </si>
  <si>
    <t>ULISES MORO ROSALES</t>
  </si>
  <si>
    <t xml:space="preserve">DGPCYN - 031 - 1333 - 2022 </t>
  </si>
  <si>
    <t>VERÓNICO SINTÚ HERNÁNDEZ</t>
  </si>
  <si>
    <t xml:space="preserve">DGPCYN - 031 - 1334 - 2022 </t>
  </si>
  <si>
    <t>WILIAN OMÉR LATÍN BARILLAS</t>
  </si>
  <si>
    <t xml:space="preserve">DGPCYN - 031 - 1335 - 2022 </t>
  </si>
  <si>
    <t>ABEL RODOLFO TISTA BALCARCEL</t>
  </si>
  <si>
    <t xml:space="preserve">DGPCYN - 031 - 1336 - 2022 </t>
  </si>
  <si>
    <t>ADALBERTO RECINOS DARDÓN</t>
  </si>
  <si>
    <t xml:space="preserve">DGPCYN - 031 - 1337 - 2022 </t>
  </si>
  <si>
    <t>ALDO NOEL CHI CAMAL</t>
  </si>
  <si>
    <t xml:space="preserve">DGPCYN - 031 - 1338 - 2022 </t>
  </si>
  <si>
    <t>CANDELARIO PAAÚ LOPÉZ</t>
  </si>
  <si>
    <t xml:space="preserve">DGPCYN - 031 - 1339 - 2022 </t>
  </si>
  <si>
    <t>CARLOS CAAL MAX</t>
  </si>
  <si>
    <t xml:space="preserve">DGPCYN - 031 - 1340 - 2022 </t>
  </si>
  <si>
    <t>CESAR AUGUSTO GIRÓN (ÚNICO APELLIDO)</t>
  </si>
  <si>
    <t xml:space="preserve">DGPCYN - 031 - 1341 - 2022 </t>
  </si>
  <si>
    <t>EDUARDO LÓPEZ PÉREZ</t>
  </si>
  <si>
    <t xml:space="preserve">DGPCYN - 031 - 1342 - 2022 </t>
  </si>
  <si>
    <t>FRANKLIN ALEXIS HERNÁNDEZ AJU</t>
  </si>
  <si>
    <t xml:space="preserve">DGPCYN - 031 - 1343 - 2022 </t>
  </si>
  <si>
    <t>FRANCISCO ORTIZ (ÚNICO APELLIDO)</t>
  </si>
  <si>
    <t xml:space="preserve">DGPCYN - 031 - 1344 - 2022 </t>
  </si>
  <si>
    <t>GUILLERMO CAAL CAC</t>
  </si>
  <si>
    <t xml:space="preserve">DGPCYN - 031 - 1345 - 2022 </t>
  </si>
  <si>
    <t>JOEL BÁ BUTZ</t>
  </si>
  <si>
    <t xml:space="preserve">DGPCYN - 031 - 1346 - 2022 </t>
  </si>
  <si>
    <t>JOSÉ MANUEL ALFARO QUEVEDO</t>
  </si>
  <si>
    <t xml:space="preserve">DGPCYN - 031 - 1347 - 2022 </t>
  </si>
  <si>
    <t>JOSUÉ MISAEL CHÍ MUÑOZ</t>
  </si>
  <si>
    <t xml:space="preserve">DGPCYN - 031 - 1348 - 2022 </t>
  </si>
  <si>
    <t>LISANDRO HERNANDEZ (ÚNICO APELLIDO)</t>
  </si>
  <si>
    <t xml:space="preserve">DGPCYN - 031 - 1349 - 2022 </t>
  </si>
  <si>
    <t>LUCAS BÁ CHUB</t>
  </si>
  <si>
    <t xml:space="preserve">DGPCYN - 031 - 1350 - 2022 </t>
  </si>
  <si>
    <t>MANUEL DE JESUS TUT CETINA</t>
  </si>
  <si>
    <t xml:space="preserve">DGPCYN - 031 - 1351 - 2022 </t>
  </si>
  <si>
    <t>MARVIN SOTO PÉREZ</t>
  </si>
  <si>
    <t xml:space="preserve">DGPCYN - 031 - 1352 - 2022 </t>
  </si>
  <si>
    <t>MIGUEL ANGEL LÉMUS FLORES</t>
  </si>
  <si>
    <t xml:space="preserve">DGPCYN - 031 - 1353 - 2022 </t>
  </si>
  <si>
    <t>MYNOR ESAÚ OLIVEROS PERALTA</t>
  </si>
  <si>
    <t xml:space="preserve">DGPCYN - 031 - 1354 - 2022 </t>
  </si>
  <si>
    <t>MYNOR ROBERTO VENTURA FRANCO</t>
  </si>
  <si>
    <t xml:space="preserve">DGPCYN - 031 - 1355 - 2022 </t>
  </si>
  <si>
    <t>OCTAVIANO AMBROSIO PECH LOBOS</t>
  </si>
  <si>
    <t xml:space="preserve">DGPCYN - 031 - 1356 - 2022 </t>
  </si>
  <si>
    <t>OSWALDO ARÉVALO GARCÍA</t>
  </si>
  <si>
    <t xml:space="preserve">DGPCYN - 031 - 1357 - 2022 </t>
  </si>
  <si>
    <t>SERGIO DAVID SALAS CHATÁ</t>
  </si>
  <si>
    <t xml:space="preserve">DGPCYN - 031 - 207 - 2022 </t>
  </si>
  <si>
    <t>WESLEY GUÉNADI HERNÁNDEZ AJÚ</t>
  </si>
  <si>
    <t xml:space="preserve">DGPCYN - 031 - 208 - 2022 </t>
  </si>
  <si>
    <t xml:space="preserve">	9901546006</t>
  </si>
  <si>
    <t>EDGAR DEMETRIO IXCOPAL CORTEZ</t>
  </si>
  <si>
    <t xml:space="preserve">DGPCYN - 031 - 209 - 2022 </t>
  </si>
  <si>
    <t>AMILCAR OSWALDO AJÚ GONZÁLEZ</t>
  </si>
  <si>
    <t>DARWIN GEOVANI FRANCO CHONAY</t>
  </si>
  <si>
    <t>JESUS GUALIM (ÚNICO APELLIDO)</t>
  </si>
  <si>
    <t xml:space="preserve">DGPCYN - 031 - 1359 - 2022 </t>
  </si>
  <si>
    <t>BLANCA MISHEL ANTILLON PÉREZ</t>
  </si>
  <si>
    <t xml:space="preserve">DGPCYN - 031 - 1360 - 2022 </t>
  </si>
  <si>
    <t>CARLOS HUMBERTO MONTERROSO DE LEÓN</t>
  </si>
  <si>
    <t xml:space="preserve">DGPCYN - 031 - 1361 - 2022 </t>
  </si>
  <si>
    <t>DAVID CAAL RAX</t>
  </si>
  <si>
    <t xml:space="preserve">DGPCYN - 031 - 1362 - 2022 </t>
  </si>
  <si>
    <t>HÉCTOR ROLANDO AGUSTÍN MARROQUÍN</t>
  </si>
  <si>
    <t xml:space="preserve">DGPCYN - 031 - 1365 - 2022 </t>
  </si>
  <si>
    <t>MARIA RENEÉ JEREZ GARCÍA</t>
  </si>
  <si>
    <t xml:space="preserve">DGPCYN - 031 - 1366 - 2022 </t>
  </si>
  <si>
    <t>MARTA CONSTANCIA LÓPEZ</t>
  </si>
  <si>
    <t xml:space="preserve">DGPCYN - 031 - 1367 - 2022 </t>
  </si>
  <si>
    <t>SANTIAGO CHUB ICAL</t>
  </si>
  <si>
    <t xml:space="preserve">DGPCYN - 031 - 1369 - 2022 </t>
  </si>
  <si>
    <t>FRANCISCO LÓPEZ GUARDADO</t>
  </si>
  <si>
    <t xml:space="preserve">DGPCYN - 031 - 1370 - 2022 </t>
  </si>
  <si>
    <t>GREGORIO FRANCISCO GUILLERMO SANTA MARÍA</t>
  </si>
  <si>
    <t xml:space="preserve">DGPCYN - 031 - 1371 - 2022 </t>
  </si>
  <si>
    <t>JOSÉ MUCÚ POP</t>
  </si>
  <si>
    <t xml:space="preserve">DGPCYN - 031 - 1372 - 2022 </t>
  </si>
  <si>
    <t>MATEO CAC CHUB</t>
  </si>
  <si>
    <t xml:space="preserve">DGPCYN - 031 - 1373 - 2022 </t>
  </si>
  <si>
    <t>WALTER MISRAIN ORTÍZ GUEVARA</t>
  </si>
  <si>
    <t xml:space="preserve">DGPCYN - 031 - 1374 - 2022 </t>
  </si>
  <si>
    <t>GILBERTO WALDEMAR OCHAETA CHÁN</t>
  </si>
  <si>
    <t xml:space="preserve">DGPCYN - 031 - 1375 - 2022 </t>
  </si>
  <si>
    <t>CARLOS HUMBERTO CHÁVEZ (ÚNICO APELLIDO)</t>
  </si>
  <si>
    <t xml:space="preserve">DGPCYN - 031 - 1376 - 2022 </t>
  </si>
  <si>
    <t>FIDELINO DÍAZ (ÚNICO APELLIDO)</t>
  </si>
  <si>
    <t xml:space="preserve">DGPCYN - 031 - 1377 - 2022 </t>
  </si>
  <si>
    <t>HUGO LEONEL ORREGO MENESES</t>
  </si>
  <si>
    <t>SUBE A 50 EN NOVIEMBRE</t>
  </si>
  <si>
    <t xml:space="preserve">DGPCYN - 031 - 1378 - 2022 </t>
  </si>
  <si>
    <t>JOSÉ ABEL CASTELLANOS ESTRADA</t>
  </si>
  <si>
    <t xml:space="preserve">DGPCYN - 031 - 1379 - 2022 </t>
  </si>
  <si>
    <t>JOSÉ MARÍA MARTÍNEZ NÁJERA</t>
  </si>
  <si>
    <t xml:space="preserve">DGPCYN - 031 - 1380 - 2022 </t>
  </si>
  <si>
    <t>JUAN MORALES</t>
  </si>
  <si>
    <t xml:space="preserve">DGPCYN - 031 - 1381 - 2022 </t>
  </si>
  <si>
    <t>JULIO ABRAHÁM LÓPEZ AVILA</t>
  </si>
  <si>
    <t xml:space="preserve">DGPCYN - 031 - 1382 - 2022 </t>
  </si>
  <si>
    <t>LUIS ALONZO RAMOS</t>
  </si>
  <si>
    <t xml:space="preserve">DGPCYN - 031 - 1383 - 2022 </t>
  </si>
  <si>
    <t>LUÍS CUZ CAAL</t>
  </si>
  <si>
    <t xml:space="preserve">DGPCYN - 031 - 1384 - 2022 </t>
  </si>
  <si>
    <t>MIGUEL ANGEL TESUCÚN VITZIL</t>
  </si>
  <si>
    <t xml:space="preserve">DGPCYN - 031 - 1385 - 2022 </t>
  </si>
  <si>
    <t>PABLO TÉ CUCUL</t>
  </si>
  <si>
    <t xml:space="preserve">DGPCYN - 031 - 1386 - 2022 </t>
  </si>
  <si>
    <t>PEDRO LOPEZ GODOY</t>
  </si>
  <si>
    <t xml:space="preserve">DGPCYN - 031 - 1387 - 2022 </t>
  </si>
  <si>
    <t>PILAR SERAFÍN GONZÁLEZ MENDOZA</t>
  </si>
  <si>
    <t xml:space="preserve">DGPCYN - 031 - 1388 - 2022 </t>
  </si>
  <si>
    <t>SANTIAGO RAFAEL ACOSTA PANTÍ</t>
  </si>
  <si>
    <t xml:space="preserve">DGPCYN - 031 - 1389 - 2022 </t>
  </si>
  <si>
    <t>VICTOR MANUEL GUZMÁN DUBÓN</t>
  </si>
  <si>
    <t xml:space="preserve">DGPCYN - 031 - 1390 - 2022 </t>
  </si>
  <si>
    <t>JORGE ALFREDO GÓMEZ PINELO</t>
  </si>
  <si>
    <t xml:space="preserve">DGPCYN - 031 - 1391 - 2022 </t>
  </si>
  <si>
    <t>JOSÉ RAMÓN MORENO VÁSQUEZ</t>
  </si>
  <si>
    <t xml:space="preserve">DGPCYN - 031 - 1392 - 2022 </t>
  </si>
  <si>
    <t>MAURO DE JESÚS GARCÍA PORTILLO</t>
  </si>
  <si>
    <t xml:space="preserve">DGPCYN - 031 - 1393 - 2022 </t>
  </si>
  <si>
    <t>RAUL GARCÍA MAQUÍN</t>
  </si>
  <si>
    <t xml:space="preserve">DGPCYN - 031 - 1394 - 2022 </t>
  </si>
  <si>
    <t>RONY DANILO ALVAREZ LÓPEZ</t>
  </si>
  <si>
    <t xml:space="preserve">DGPCYN - 031 - 1395 - 2022 </t>
  </si>
  <si>
    <t>SANTOS JULIAN SAGASTUME CANO</t>
  </si>
  <si>
    <t xml:space="preserve">DGPCYN - 031 - 1396 - 2022 </t>
  </si>
  <si>
    <t>ERWIN AROLDO SAC CORTÉS</t>
  </si>
  <si>
    <t xml:space="preserve">DGPCYN - 031 - 1397 - 2022 </t>
  </si>
  <si>
    <t>HELEN SUSANA ENRIQUEZ LÓPEZ</t>
  </si>
  <si>
    <t xml:space="preserve">DGPCYN - 031 - 1398 - 2022 </t>
  </si>
  <si>
    <t>ABNER ADONIAS SÁNCHEZ LÓPEZ</t>
  </si>
  <si>
    <t xml:space="preserve">DGPCYN - 031 - 1399 - 2022 </t>
  </si>
  <si>
    <t>BERTHA ESTHER ALDANA ESPINO DE GONZALEZ</t>
  </si>
  <si>
    <t xml:space="preserve">DGPCYN - 031 - 743 - 2022 </t>
  </si>
  <si>
    <t>RUFINO CHÁVEZ HERNÁNDEZ</t>
  </si>
  <si>
    <t xml:space="preserve">DGPCYN - 031 - 744 - 2022 </t>
  </si>
  <si>
    <t>DERVIN OSWALDO CHÁN CHATÁ</t>
  </si>
  <si>
    <t xml:space="preserve">DGPCYN - 031 - 745 - 2022 </t>
  </si>
  <si>
    <t>LUIS ARIEL MÁRQUEZ MAZÁ</t>
  </si>
  <si>
    <t xml:space="preserve">DGPCYN - 031 - 746 - 2022 </t>
  </si>
  <si>
    <t>ALEX ALONSO QUIXCHÁN CHÁN</t>
  </si>
  <si>
    <t xml:space="preserve">DGPCYN - 031 - 747 - 2022 </t>
  </si>
  <si>
    <t>MARIO ALFONSO PINEDA SIN</t>
  </si>
  <si>
    <t xml:space="preserve">DGPCYN - 031 - 748 - 2022 </t>
  </si>
  <si>
    <t>HERSON RONALDO LÓPEZ CÓRDOVA</t>
  </si>
  <si>
    <t xml:space="preserve">DGPCYN - 031 - 749 - 2022 </t>
  </si>
  <si>
    <t>EVER SAGASTUME LEON</t>
  </si>
  <si>
    <t xml:space="preserve">DGPCYN - 031 - 750 - 2022 </t>
  </si>
  <si>
    <t>DANIEL ALEXANDER GONZÁLEZ PÉREZ</t>
  </si>
  <si>
    <t xml:space="preserve">DGPCYN - 031 - 751 - 2022 </t>
  </si>
  <si>
    <t>JOSÉ ALBERTO CORDERO BOL</t>
  </si>
  <si>
    <t xml:space="preserve">DGPCYN - 031 - 752 - 2022 </t>
  </si>
  <si>
    <t>HAINER OSIELY GALLARDO REYES</t>
  </si>
  <si>
    <t xml:space="preserve">DGPCYN - 031 - 753 - 2022 </t>
  </si>
  <si>
    <t>FLORIAN GARCÍA ORTÍZ</t>
  </si>
  <si>
    <t xml:space="preserve">DGPCYN - 031 - 754 - 2022 </t>
  </si>
  <si>
    <t>HENRY ANDERSON MELÉNDRES GARCÍA</t>
  </si>
  <si>
    <t xml:space="preserve">DGPCYN - 031 - 755 - 2022 </t>
  </si>
  <si>
    <t>WALTER ESTUARDO MATEO GARCÍA</t>
  </si>
  <si>
    <t xml:space="preserve">DGPCYN - 031 - 756 - 2022 </t>
  </si>
  <si>
    <t>JOSÉ CHOC RAX</t>
  </si>
  <si>
    <t xml:space="preserve">DGPCYN - 031 - 757 - 2022 </t>
  </si>
  <si>
    <t>DIEGO ARMANDO HERNÁNDEZ MIRANDA</t>
  </si>
  <si>
    <t xml:space="preserve">DGPCYN - 031 - 758 - 2022 </t>
  </si>
  <si>
    <t>MELVIN ALFONSO LÓPEZ CASÚN</t>
  </si>
  <si>
    <t xml:space="preserve">DGPCYN - 031 - 759 - 2022 </t>
  </si>
  <si>
    <t>MILSÓN ADIEL SALAZAR DE LOS SANTOS</t>
  </si>
  <si>
    <t xml:space="preserve">DGPCYN - 031 - 760 - 2022 </t>
  </si>
  <si>
    <t>WILMER GILFREDO LÓPEZ ALDANA</t>
  </si>
  <si>
    <t xml:space="preserve">DGPCYN - 031 - 761 - 2022 </t>
  </si>
  <si>
    <t>ISRAEL DELGADO ROSALES</t>
  </si>
  <si>
    <t xml:space="preserve">DGPCYN - 031 - 762 - 2022 </t>
  </si>
  <si>
    <t>EDGAR JEOVANNY MENDOZA REYES</t>
  </si>
  <si>
    <t xml:space="preserve">DGPCYN - 031 - 763 - 2022 </t>
  </si>
  <si>
    <t>CRISTIÁN SALOMÓN POMA ZECEÑA</t>
  </si>
  <si>
    <t xml:space="preserve">DGPCYN - 031 - 764 - 2022 </t>
  </si>
  <si>
    <t>GENNER ABDIEL BÁ FRANCO</t>
  </si>
  <si>
    <t xml:space="preserve">DGPCYN - 031 - 765 - 2022 </t>
  </si>
  <si>
    <t>ANIBAL ALEXANDER PINELO TUN</t>
  </si>
  <si>
    <t xml:space="preserve">DGPCYN - 031 - 766 - 2022 </t>
  </si>
  <si>
    <t>ELAM UBITER HERNÁNDEZ CIFUENTES</t>
  </si>
  <si>
    <t xml:space="preserve">DGPCYN - 031 - 768 - 2022 </t>
  </si>
  <si>
    <t>WILSON OTONIEL ALVARADO ANDRÉS</t>
  </si>
  <si>
    <t xml:space="preserve">DGPCYN - 031 - 769 - 2022 </t>
  </si>
  <si>
    <t>VICTOR MANUEL SAQUIL (ÚNICO APELLIDO)</t>
  </si>
  <si>
    <t xml:space="preserve">DGPCYN - 031 - 770 - 2022 </t>
  </si>
  <si>
    <t>RONAL GUSTAVO PADILLA GARCÍA</t>
  </si>
  <si>
    <t xml:space="preserve">DGPCYN - 031 - 771 - 2022 </t>
  </si>
  <si>
    <t>ISAIAS PÉREZ PORTILLO</t>
  </si>
  <si>
    <t xml:space="preserve">DGPCYN - 031 - 772 - 2022 </t>
  </si>
  <si>
    <t>WILIAN RENÉ PACHECO MORALES</t>
  </si>
  <si>
    <t xml:space="preserve">DGPCYN - 031 - 774 - 2022 </t>
  </si>
  <si>
    <t>JUAN CARLOS MORALES HERNÁNDEZ</t>
  </si>
  <si>
    <t xml:space="preserve">DGPCYN - 031 - 776 - 2022 </t>
  </si>
  <si>
    <t>OSCAR ARNOLDO AX MAQUÍN</t>
  </si>
  <si>
    <t xml:space="preserve">DGPCYN - 031 - 777 - 2022 </t>
  </si>
  <si>
    <t>MARTÍN EDUARDO CHUB CHOC</t>
  </si>
  <si>
    <t xml:space="preserve">DGPCYN - 031 - 778 - 2022 </t>
  </si>
  <si>
    <t>DENNIS ALEXANDER COC RAX</t>
  </si>
  <si>
    <t xml:space="preserve">DGPCYN - 031 - 779 - 2022 </t>
  </si>
  <si>
    <t>VICTOR MANUEL TECU RODRÍGUEZ</t>
  </si>
  <si>
    <t xml:space="preserve">DGPCYN - 031 - 780 - 2022 </t>
  </si>
  <si>
    <t>MIGUEL ANGEL ICAL COC</t>
  </si>
  <si>
    <t xml:space="preserve">DGPCYN - 031 - 781 - 2022 </t>
  </si>
  <si>
    <t>ENDY ARIEL CUCA MORALES</t>
  </si>
  <si>
    <t xml:space="preserve">DGPCYN - 031 - 782 - 2022 </t>
  </si>
  <si>
    <t xml:space="preserve">ADELMO ALDANA ESPINO </t>
  </si>
  <si>
    <t xml:space="preserve">DGPCYN - 031 - 783 - 2022 </t>
  </si>
  <si>
    <t>OSVIN DAVID TOBAR ESCOBAR</t>
  </si>
  <si>
    <t xml:space="preserve">DGPCYN - 031 - 784 - 2022 </t>
  </si>
  <si>
    <t>ESVIN ARNOLDO COOCH (ÚNICO APELLIDO)</t>
  </si>
  <si>
    <t xml:space="preserve">DGPCYN - 031 - 786 - 2022 </t>
  </si>
  <si>
    <t>DANIEL HERNÁNDEZ RAMÍREZ</t>
  </si>
  <si>
    <t xml:space="preserve">DGPCYN - 031 - 787 - 2022 </t>
  </si>
  <si>
    <t>JEYVIN ADALÍ NÁJERA RODRÍGUEZ</t>
  </si>
  <si>
    <t xml:space="preserve">DGPCYN - 031 - 788 - 2022 </t>
  </si>
  <si>
    <t>CÁRMEN MAYÉN GARCÍA</t>
  </si>
  <si>
    <t xml:space="preserve">DGPCYN - 031 - 789 - 2022 </t>
  </si>
  <si>
    <t>EDYN JEHOVANI CÓRDOVA BEDOYA</t>
  </si>
  <si>
    <t xml:space="preserve">DGPCYN - 031 - 790 - 2022 </t>
  </si>
  <si>
    <t>SANTOS AVALOS (ÚNICO APELLIDO)</t>
  </si>
  <si>
    <t xml:space="preserve">DGPCYN - 031 - 791 - 2022 </t>
  </si>
  <si>
    <t>YONY ISMAEL HERNÁNDEZ COL</t>
  </si>
  <si>
    <t xml:space="preserve">DGPCYN - 031 - 792 - 2022 </t>
  </si>
  <si>
    <t>ELMER DANILO PÉREZ REYES</t>
  </si>
  <si>
    <t xml:space="preserve">DGPCYN - 031 - 793 - 2022 </t>
  </si>
  <si>
    <t>MANUEL ALEXANDER HERNANDEZ ANTÓN</t>
  </si>
  <si>
    <t xml:space="preserve">DGPCYN - 031 - 794 - 2022 </t>
  </si>
  <si>
    <t>JOSÉ ALFREDO CUC CAAL</t>
  </si>
  <si>
    <t xml:space="preserve">DGPCYN - 031 - 795 - 2022 </t>
  </si>
  <si>
    <t>CARLOS RADUEL POLANCO ALVARADO</t>
  </si>
  <si>
    <t xml:space="preserve">DGPCYN - 031 - 796 - 2022 </t>
  </si>
  <si>
    <t>PEDRO MANUEL PORTILLO MORALES</t>
  </si>
  <si>
    <t xml:space="preserve">DGPCYN - 031 - 797 - 2022 </t>
  </si>
  <si>
    <t>MARVIN EMANUEL MORALES SAMOS</t>
  </si>
  <si>
    <t xml:space="preserve">DGPCYN - 031 - 798 - 2022 </t>
  </si>
  <si>
    <t>YUDY LEONEL LÓPEZ MORALES</t>
  </si>
  <si>
    <t xml:space="preserve">DGPCYN - 031 - 799 - 2022 </t>
  </si>
  <si>
    <t>GERMAN CHOC (ÚNICO APELLIDO)</t>
  </si>
  <si>
    <t xml:space="preserve">DGPCYN - 031 - 800 - 2022 </t>
  </si>
  <si>
    <t>MARVIN GEOVANNY CETINA DURÁN</t>
  </si>
  <si>
    <t xml:space="preserve">DGPCYN - 031 - 801 - 2022 </t>
  </si>
  <si>
    <t>SAMUEL TUN CAAL</t>
  </si>
  <si>
    <t xml:space="preserve">DGPCYN - 031 - 802 - 2022 </t>
  </si>
  <si>
    <t>EDY ARNULFO PECHE PINELO</t>
  </si>
  <si>
    <t xml:space="preserve">DGPCYN - 031 - 803 - 2022 </t>
  </si>
  <si>
    <t>CELEDONIO EFRAÍN RODRÍGUEZ QUETZAL</t>
  </si>
  <si>
    <t xml:space="preserve">DGPCYN - 031 - 804 - 2022 </t>
  </si>
  <si>
    <t>WALFRE HOMERO CHÍ DUBÓN</t>
  </si>
  <si>
    <t xml:space="preserve">DGPCYN - 031 - 805 - 2022 </t>
  </si>
  <si>
    <t>NOHE ANIBAL CHACÓN ROMERO</t>
  </si>
  <si>
    <t xml:space="preserve">DGPCYN - 031 - 806 - 2022 </t>
  </si>
  <si>
    <t xml:space="preserve">SELVIN OLIVERIO BÁ FRANCO </t>
  </si>
  <si>
    <t xml:space="preserve">DGPCYN - 031 - 807 - 2022 </t>
  </si>
  <si>
    <t>MARVIN RAMIRO TOBAR MORATAYA</t>
  </si>
  <si>
    <t xml:space="preserve">DGPCYN - 031 - 808 - 2022 </t>
  </si>
  <si>
    <t>MELVIN MAURICIO ALVARADO OBANDO</t>
  </si>
  <si>
    <t>WILMER MOISÉS TEC ORREGO</t>
  </si>
  <si>
    <t>GUILLERMO MELÉNDEZ CABRERA</t>
  </si>
  <si>
    <t> 9901575942</t>
  </si>
  <si>
    <t>ERICK JAVIER SUÁREZ ENRIQUEZ</t>
  </si>
  <si>
    <t>JOSSELINE ANDREA MADRID MELÉNDEZ</t>
  </si>
  <si>
    <t>CRISTIAN ESTUARDO MEDRANO LÓPEZ</t>
  </si>
  <si>
    <t>WILMER NOÉ VÁSQUEZ MAYÉN</t>
  </si>
  <si>
    <t>5635 - SITIO ARQUEOLÓGICO GUMARKAJ - FUENTE 31 - GEOGRÁFICO 1401</t>
  </si>
  <si>
    <t xml:space="preserve">DGPCYN - 031 - 1400 - 2022 </t>
  </si>
  <si>
    <t>CARLOS SANIC LASTOR</t>
  </si>
  <si>
    <t xml:space="preserve">DGPCYN - 031 - 1401 - 2022 </t>
  </si>
  <si>
    <t>CÉSAR GUILLERMO FLORES RAMOS</t>
  </si>
  <si>
    <t xml:space="preserve">DGPCYN - 031 - 1402 - 2022 </t>
  </si>
  <si>
    <t>CHANICO ROJAS TIPAZ</t>
  </si>
  <si>
    <t xml:space="preserve">DGPCYN - 031 - 1403 - 2022 </t>
  </si>
  <si>
    <t>ELIAS SIRÍN TELÓN</t>
  </si>
  <si>
    <t xml:space="preserve">DGPCYN - 031 - 1404 - 2022 </t>
  </si>
  <si>
    <t>JULIO LEONEL REYNOSO CANIZ</t>
  </si>
  <si>
    <t xml:space="preserve">DGPCYN - 031 - 1405 - 2022 </t>
  </si>
  <si>
    <t>NICOLÁS SALVADOR LOARCA LAYNES</t>
  </si>
  <si>
    <t xml:space="preserve">DGPCYN - 031 - 1406 - 2022 </t>
  </si>
  <si>
    <t>SALVADOR ALVAREZ XIQUIN</t>
  </si>
  <si>
    <t xml:space="preserve">DGPCYN - 031 - 1407 - 2022 </t>
  </si>
  <si>
    <t>VÍCENTE YAC AMPEREZ</t>
  </si>
  <si>
    <t>MARÍA FELIPE MORALES DE MÉNDEZ</t>
  </si>
  <si>
    <t xml:space="preserve">DGPCYN - 031 - 1409 - 2022 </t>
  </si>
  <si>
    <t>FELICIANO TIAN TOC</t>
  </si>
  <si>
    <t xml:space="preserve">DGPCYN - 031 - 1410 - 2022 </t>
  </si>
  <si>
    <t>FERMÁN REYES YEGUECH</t>
  </si>
  <si>
    <t xml:space="preserve">DGPCYN - 031 - 1411 - 2022 </t>
  </si>
  <si>
    <t>ISABEL COSTOP JUCHÁN</t>
  </si>
  <si>
    <t xml:space="preserve">DGPCYN - 031 - 1413 - 2022 </t>
  </si>
  <si>
    <t>JOSÉ TZAJ CUMES</t>
  </si>
  <si>
    <t xml:space="preserve">DGPCYN - 031 - 1414 - 2022 </t>
  </si>
  <si>
    <t>LEANDRO JIATZ COLÓ</t>
  </si>
  <si>
    <t xml:space="preserve">DGPCYN - 031 - 1415 - 2022 </t>
  </si>
  <si>
    <t>LUCIANO TZIÁN TZAJ</t>
  </si>
  <si>
    <t xml:space="preserve">DGPCYN - 031 - 1416 - 2022 </t>
  </si>
  <si>
    <t>MANUEL DE JESÚS MENDEZ RAMOS</t>
  </si>
  <si>
    <t xml:space="preserve">DGPCYN - 031 - 1417 - 2022 </t>
  </si>
  <si>
    <t>MARCELO LARES MAJZUL</t>
  </si>
  <si>
    <t xml:space="preserve">DGPCYN - 031 - 1418 - 2022 </t>
  </si>
  <si>
    <t>OBISPO CÚMES AJMÁC</t>
  </si>
  <si>
    <t xml:space="preserve">DGPCYN - 031 - 1419 - 2022 </t>
  </si>
  <si>
    <t>PABLO CÚMES AJMÁC</t>
  </si>
  <si>
    <t xml:space="preserve">DGPCYN - 031 - 1420 - 2022 </t>
  </si>
  <si>
    <t>ROBERTO NOE LUX PÉREZ</t>
  </si>
  <si>
    <t xml:space="preserve">DGPCYN - 031 - 1421 - 2022 </t>
  </si>
  <si>
    <t>TOMÁS AJTZALÁN LÓPEZ</t>
  </si>
  <si>
    <t xml:space="preserve">DGPCYN - 031 - 1422 - 2022 </t>
  </si>
  <si>
    <t>VICENTE PAJARITO VELASQUEZ</t>
  </si>
  <si>
    <t xml:space="preserve">DGPCYN - 031 - 1423 - 2022 </t>
  </si>
  <si>
    <t>JUSTINIANO SIRÍN RAXJAL</t>
  </si>
  <si>
    <t xml:space="preserve">DGPCYN - 031 - 1424 - 2022 </t>
  </si>
  <si>
    <t>NOÉ NEFTALI LÓPEZ SIRIN</t>
  </si>
  <si>
    <t xml:space="preserve">DGPCYN - 031 - 1425 - 2022 </t>
  </si>
  <si>
    <t>WILSON ESTUARDO RAXJAL LÓPEZ</t>
  </si>
  <si>
    <t xml:space="preserve">DGPCYN - 031 - 1426 - 2022 </t>
  </si>
  <si>
    <t>ADÁN PADILLA MORALES</t>
  </si>
  <si>
    <t xml:space="preserve">DGPCYN - 031 - 1427 - 2022 </t>
  </si>
  <si>
    <t>ADRIÁN CHUNCHUN AJUCHÁN</t>
  </si>
  <si>
    <t xml:space="preserve">DGPCYN - 031 - 1428 - 2022 </t>
  </si>
  <si>
    <t>EDWIN ADAN SOCOY SIS</t>
  </si>
  <si>
    <t xml:space="preserve">DGPCYN - 031 - 1429 - 2022 </t>
  </si>
  <si>
    <t>EDY ORLANDO XICÓN TEJAXÚN</t>
  </si>
  <si>
    <t xml:space="preserve">DGPCYN - 031 - 1430 - 2022 </t>
  </si>
  <si>
    <t>FERNANDO TEZAGÜIC CANOX</t>
  </si>
  <si>
    <t xml:space="preserve">DGPCYN - 031 - 1431 - 2022 </t>
  </si>
  <si>
    <t>FILIBERTO ARANA CASTAÑEDA</t>
  </si>
  <si>
    <t xml:space="preserve">DGPCYN - 031 - 1432 - 2022 </t>
  </si>
  <si>
    <t>JAIRO ADEMIR TEJADA ALVARADO</t>
  </si>
  <si>
    <t xml:space="preserve">DGPCYN - 031 - 1433 - 2022 </t>
  </si>
  <si>
    <t>JAYRO ISRAÉL CRÚZ RAMÍREZ</t>
  </si>
  <si>
    <t xml:space="preserve">DGPCYN - 031 - 1434 - 2022 </t>
  </si>
  <si>
    <t>LUIS CARDONA MARTINEZ</t>
  </si>
  <si>
    <t xml:space="preserve">DGPCYN - 031 - 1435 - 2022 </t>
  </si>
  <si>
    <t>OSCAR RENÉ ALVAREZ CRÚZ</t>
  </si>
  <si>
    <t xml:space="preserve">DGPCYN - 031 - 1436 - 2022 </t>
  </si>
  <si>
    <t>RICARDO ANTONIO SERRANO ESTRADA</t>
  </si>
  <si>
    <t xml:space="preserve">DGPCYN - 031 - 1437 - 2022 </t>
  </si>
  <si>
    <t>RIGOBERTO SIAN CANEL</t>
  </si>
  <si>
    <t xml:space="preserve">DGPCYN - 031 - 1438 - 2022 </t>
  </si>
  <si>
    <t>SERGIO AUGUSTO PADILLA MORALES</t>
  </si>
  <si>
    <t xml:space="preserve">DGPCYN - 031 - 1439 - 2022 </t>
  </si>
  <si>
    <t xml:space="preserve">WALTER CRISTOBAL SIS MORALES </t>
  </si>
  <si>
    <t xml:space="preserve">DGPCYN - 031 - 1440 - 2022 </t>
  </si>
  <si>
    <t>BYRON ARTURO ESTRADA (ÚNICO APELLIDO)</t>
  </si>
  <si>
    <t xml:space="preserve">DGPCYN - 031 - 1441 - 2022 </t>
  </si>
  <si>
    <t>DANIEL YOC JACOBO</t>
  </si>
  <si>
    <t xml:space="preserve">DGPCYN - 031 - 1442 - 2022 </t>
  </si>
  <si>
    <t>DENNISE GIRÓN QUEVEDO</t>
  </si>
  <si>
    <t xml:space="preserve">DGPCYN - 031 - 1444 - 2022 </t>
  </si>
  <si>
    <t>EFRAIN ALVUREZ ESTRADA</t>
  </si>
  <si>
    <t xml:space="preserve">DGPCYN - 031 - 1445 - 2022 </t>
  </si>
  <si>
    <t>ENRIQUE ESTRADA GARCÍA</t>
  </si>
  <si>
    <t xml:space="preserve">DGPCYN - 031 - 1446 - 2022 </t>
  </si>
  <si>
    <t>GERMAN AGUILAR PICHILLÁ</t>
  </si>
  <si>
    <t xml:space="preserve">DGPCYN - 031 - 1447 - 2022 </t>
  </si>
  <si>
    <t>JESUS ESTRADA OSORIO</t>
  </si>
  <si>
    <t xml:space="preserve">DGPCYN - 031 - 1448 - 2022 </t>
  </si>
  <si>
    <t>JOSÉ FELIPE GARCÍA (ÚNICO APELLIDO)</t>
  </si>
  <si>
    <t xml:space="preserve">DGPCYN - 031 - 1449 - 2022 </t>
  </si>
  <si>
    <t>JOSÉ HUMBERTO ORIZABAL QUEVEDO</t>
  </si>
  <si>
    <t xml:space="preserve">DGPCYN - 031 - 1451 - 2022 </t>
  </si>
  <si>
    <t>JULIO ROGELIO OSUNA ROMÁN</t>
  </si>
  <si>
    <t xml:space="preserve">DGPCYN - 031 - 1452 - 2022 </t>
  </si>
  <si>
    <t>LÁZARO LÓPEZ Y LÓPEZ</t>
  </si>
  <si>
    <t xml:space="preserve">DGPCYN - 031 - 1454 - 2022 </t>
  </si>
  <si>
    <t>MARIO PICHILLA (ÚNICO APELLIDO)</t>
  </si>
  <si>
    <t xml:space="preserve">DGPCYN - 031 - 1455 - 2022 </t>
  </si>
  <si>
    <t>MÉRITO ARTEMIO ESTRADA ROCA</t>
  </si>
  <si>
    <t xml:space="preserve">DGPCYN - 031 - 1456 - 2022 </t>
  </si>
  <si>
    <t>PEDRO ZET SUTUJ</t>
  </si>
  <si>
    <t xml:space="preserve">DGPCYN - 031 - 1457 - 2022 </t>
  </si>
  <si>
    <t>RAUL QUEVEDO CELIZ</t>
  </si>
  <si>
    <t xml:space="preserve">DGPCYN - 031 - 1458 - 2022 </t>
  </si>
  <si>
    <t>RIGOBERTO ESTRADA GARCÍA</t>
  </si>
  <si>
    <t xml:space="preserve">DGPCYN - 031 - 1459 - 2022 </t>
  </si>
  <si>
    <t>TADEO AGUILAR GUICOY</t>
  </si>
  <si>
    <t xml:space="preserve">DGPCYN - 031 - 1460 - 2022 </t>
  </si>
  <si>
    <t>EDGAR ODILIO CANÁ CÚN</t>
  </si>
  <si>
    <t xml:space="preserve">DGPCYN - 031 - 1462 - 2022 </t>
  </si>
  <si>
    <t>BERNARDO ROBERTO LÓPEZ LÓPEZ</t>
  </si>
  <si>
    <t xml:space="preserve">DGPCYN - 031 - 1463 - 2022 </t>
  </si>
  <si>
    <t>CARLOS HELEODORO LÓPEZ FÉLIX</t>
  </si>
  <si>
    <t xml:space="preserve">DGPCYN - 031 - 1464 - 2022 </t>
  </si>
  <si>
    <t>DINORA GUILLERMINA RODRÍGUEZ LÓPEZ</t>
  </si>
  <si>
    <t xml:space="preserve">DGPCYN - 031 - 1465 - 2022 </t>
  </si>
  <si>
    <t>IRIS ONEYDA HERRERA CIFUENTES</t>
  </si>
  <si>
    <t xml:space="preserve">DGPCYN - 031 - 1466 - 2022 </t>
  </si>
  <si>
    <t>ISMAEL PÉREZ VÁSQUEZ</t>
  </si>
  <si>
    <t xml:space="preserve">DGPCYN - 031 - 1467 - 2022 </t>
  </si>
  <si>
    <t>JOSÉ ALFONSO VILLATORO VELÁSQUEZ</t>
  </si>
  <si>
    <t xml:space="preserve">DGPCYN - 031 - 1468 - 2022 </t>
  </si>
  <si>
    <t>JOSÉ MAGDALENO LÓPEZ GÓMEZ</t>
  </si>
  <si>
    <t xml:space="preserve">DGPCYN - 031 - 1469 - 2022 </t>
  </si>
  <si>
    <t>JUAN CARLOS LÓPEZ RIVAS</t>
  </si>
  <si>
    <t xml:space="preserve">DGPCYN - 031 - 1470 - 2022 </t>
  </si>
  <si>
    <t>LUIS ALFONSO VILLATORO VELÁSQUEZ</t>
  </si>
  <si>
    <t xml:space="preserve">DGPCYN - 031 - 1471 - 2022 </t>
  </si>
  <si>
    <t>LUIS MANUEL PÉREZ VÁSQUEZ</t>
  </si>
  <si>
    <t xml:space="preserve">DGPCYN - 031 - 1472 - 2022 </t>
  </si>
  <si>
    <t>MIGUEL ANGEL ALONZO MARTÍN</t>
  </si>
  <si>
    <t xml:space="preserve">DGPCYN - 031 - 1473 - 2022 </t>
  </si>
  <si>
    <t>NERY CARLOS GÓMEZ (ÚNICO APELLIDO)</t>
  </si>
  <si>
    <t xml:space="preserve">DGPCYN - 031 - 1474 - 2022 </t>
  </si>
  <si>
    <t>DANGLIN SLEYDER TOVAR MARTÍNEZ</t>
  </si>
  <si>
    <t xml:space="preserve">DGPCYN - 031 - 1475 - 2022 </t>
  </si>
  <si>
    <t>JOSÉ ALBERTO RIVAS GALINDO</t>
  </si>
  <si>
    <t xml:space="preserve">DGPCYN - 031 - 1476 - 2022 </t>
  </si>
  <si>
    <t>JONATAN ALEXANDER LÓPEZ LÓPEZ</t>
  </si>
  <si>
    <t xml:space="preserve">DGPCYN - 031 - 1477 - 2022 </t>
  </si>
  <si>
    <t>ARNULFO ISRAEL HERNÁNDEZ LÓPEZ</t>
  </si>
  <si>
    <t xml:space="preserve">DGPCYN - 031 - 214 - 2022 </t>
  </si>
  <si>
    <t>EVELYN XERESADA GONZÁLEZ GÓMEZ</t>
  </si>
  <si>
    <t xml:space="preserve">DGPCYN - 031 - 215 - 2022 </t>
  </si>
  <si>
    <t>GERARDO FLORENTINO GÓMEZ RAMOS</t>
  </si>
  <si>
    <t xml:space="preserve">DGPCYN - 031 - 1478 - 2022 </t>
  </si>
  <si>
    <t xml:space="preserve">ABNER OVED DE LEÓN MARROQUÍN </t>
  </si>
  <si>
    <t xml:space="preserve">DGPCYN - 031 - 1479 - 2022 </t>
  </si>
  <si>
    <t>ANGEL MIGUEL ORTIZ ORELLANA</t>
  </si>
  <si>
    <t xml:space="preserve">DGPCYN - 031 - 1480 - 2022 </t>
  </si>
  <si>
    <t>CARLOS ENRIQUE ASIG LÓPEZ</t>
  </si>
  <si>
    <t xml:space="preserve">DGPCYN - 031 - 1481 - 2022 </t>
  </si>
  <si>
    <t>CÉSAR ANIBAL CASTILLO DÍAZ</t>
  </si>
  <si>
    <t xml:space="preserve">DGPCYN - 031 - 1482 - 2022 </t>
  </si>
  <si>
    <t>CUPERTINO HERRERA HERNÁNDEZ</t>
  </si>
  <si>
    <t xml:space="preserve">DGPCYN - 031 - 1483 - 2022 </t>
  </si>
  <si>
    <t>CUPERTINO HERRERA RODRÍGUEZ</t>
  </si>
  <si>
    <t xml:space="preserve">DGPCYN - 031 - 1484 - 2022 </t>
  </si>
  <si>
    <t>EDGAR ARNOLDO CHÓ CASTRO</t>
  </si>
  <si>
    <t xml:space="preserve">DGPCYN - 031 - 1485 - 2022 </t>
  </si>
  <si>
    <t>EDGAR OSWALDO ORTÍZ VARGAS</t>
  </si>
  <si>
    <t xml:space="preserve">DGPCYN - 031 - 1486 - 2022 </t>
  </si>
  <si>
    <t>EDUARDO ORTÍZ ORELLANA</t>
  </si>
  <si>
    <t xml:space="preserve">DGPCYN - 031 - 1487 - 2022 </t>
  </si>
  <si>
    <t>EDWIN GEOVANNI ORTEGA LACK</t>
  </si>
  <si>
    <t xml:space="preserve">DGPCYN - 031 - 1488 - 2022 </t>
  </si>
  <si>
    <t>ELEODORO DE JESÚS SOLÍS DEL CID</t>
  </si>
  <si>
    <t xml:space="preserve">DGPCYN - 031 - 1489 - 2022 </t>
  </si>
  <si>
    <t xml:space="preserve">ELISA REGINA MASAYA MANCILLA </t>
  </si>
  <si>
    <t xml:space="preserve">DGPCYN - 031 - 1490 - 2022 </t>
  </si>
  <si>
    <t>ELVIN  GARCIA  FLORES</t>
  </si>
  <si>
    <t xml:space="preserve">DGPCYN - 031 - 1491 - 2022 </t>
  </si>
  <si>
    <t>ENRIQUE ARTIGA SIRIN</t>
  </si>
  <si>
    <t xml:space="preserve">DGPCYN - 031 - 1492 - 2022 </t>
  </si>
  <si>
    <t>ERIK ROBERTO MORALES BARRERA</t>
  </si>
  <si>
    <t xml:space="preserve">DGPCYN - 031 - 1493 - 2022 </t>
  </si>
  <si>
    <t>GERMAN SAMUEL  CABRERA JUMIQUE</t>
  </si>
  <si>
    <t xml:space="preserve">DGPCYN - 031 - 1494 - 2022 </t>
  </si>
  <si>
    <t>HEGIDIO ANTONIO CHÓ RODRÍGUEZ</t>
  </si>
  <si>
    <t xml:space="preserve">DGPCYN - 031 - 1495 - 2022 </t>
  </si>
  <si>
    <t>JACOBO ZACARÍAS (ÚNICO APELLIDO)</t>
  </si>
  <si>
    <t xml:space="preserve">DGPCYN - 031 - 1496 - 2022 </t>
  </si>
  <si>
    <t>JOSÉ ANGEL PÉREZ CASTRO</t>
  </si>
  <si>
    <t xml:space="preserve">DGPCYN - 031 - 1497 - 2022 </t>
  </si>
  <si>
    <t xml:space="preserve">JUAN JOSÉ SOSA MORALES </t>
  </si>
  <si>
    <t xml:space="preserve">DGPCYN - 031 - 1498 - 2022 </t>
  </si>
  <si>
    <t>JUAN RAMON MIJANGOS (ÚNICO APELLIDO)</t>
  </si>
  <si>
    <t xml:space="preserve">DGPCYN - 031 - 1499 - 2022 </t>
  </si>
  <si>
    <t>JULIO HUMBERTO HERRERA HERNÁNDEZ</t>
  </si>
  <si>
    <t xml:space="preserve">DGPCYN - 031 - 1500 - 2022 </t>
  </si>
  <si>
    <t>JUVENTINO SÚCHITE LUCAS</t>
  </si>
  <si>
    <t xml:space="preserve">DGPCYN - 031 - 1501 - 2022 </t>
  </si>
  <si>
    <t>LUIS ALBERTO REVOLORIO ACEITUNO</t>
  </si>
  <si>
    <t xml:space="preserve">DGPCYN - 031 - 1502 - 2022 </t>
  </si>
  <si>
    <t>MANUEL DE JESÚS BARAHONA (ÚNICO APELLIDO)</t>
  </si>
  <si>
    <t xml:space="preserve">DGPCYN - 031 - 1503 - 2022 </t>
  </si>
  <si>
    <t>MANUEL GONZÁLEZ GARCIA</t>
  </si>
  <si>
    <t xml:space="preserve">DGPCYN - 031 - 1504 - 2022 </t>
  </si>
  <si>
    <t>MIGUEL ANGEL ORTIZ ORELLANA</t>
  </si>
  <si>
    <t xml:space="preserve">DGPCYN - 031 - 1505 - 2022 </t>
  </si>
  <si>
    <t>NEHEMIAS DE JESÚS DAMIAN PÉREZ</t>
  </si>
  <si>
    <t xml:space="preserve">DGPCYN - 031 - 1506 - 2022 </t>
  </si>
  <si>
    <t>OBDULIO VALLE (ÚNICO APELLIDO)</t>
  </si>
  <si>
    <t xml:space="preserve">DGPCYN - 031 - 1507 - 2022 </t>
  </si>
  <si>
    <t>PEDRO ANTONIO TOBAR SALGUERO</t>
  </si>
  <si>
    <t xml:space="preserve">DGPCYN - 031 - 1508 - 2022 </t>
  </si>
  <si>
    <t>REGINALDO CASTRO PÉREZ</t>
  </si>
  <si>
    <t xml:space="preserve">DGPCYN - 031 - 1509 - 2022 </t>
  </si>
  <si>
    <t>RENÉ MEJÍA MELCHOR</t>
  </si>
  <si>
    <t xml:space="preserve">DGPCYN - 031 - 1510 - 2022 </t>
  </si>
  <si>
    <t>RIGOBERTO PINEDA BAYLÓN</t>
  </si>
  <si>
    <t xml:space="preserve">DGPCYN - 031 - 1511 - 2022 </t>
  </si>
  <si>
    <t>ROBERTO DÍAZ MÉNDEZ</t>
  </si>
  <si>
    <t xml:space="preserve">DGPCYN - 031 - 1512 - 2022 </t>
  </si>
  <si>
    <t>RUBÉN ALVAREZ CHACÓN</t>
  </si>
  <si>
    <t xml:space="preserve">DGPCYN - 031 - 1513 - 2022 </t>
  </si>
  <si>
    <t>VICENTE DAMIAN MANUEL</t>
  </si>
  <si>
    <t xml:space="preserve">DGPCYN - 031 - 1514 - 2022 </t>
  </si>
  <si>
    <t>WILIAN NOÉ HERNÁNDEZ (ÚNICO APELLIDO)</t>
  </si>
  <si>
    <t xml:space="preserve">DGPCYN - 031 - 1515 - 2022 </t>
  </si>
  <si>
    <t>YEIMY AMALFI ROJAS CORTÉZ</t>
  </si>
  <si>
    <t>PEÓNVIGILANTE II</t>
  </si>
  <si>
    <t>PEÓNVIVANDERA</t>
  </si>
  <si>
    <t>PEÓNVIGILANTE I</t>
  </si>
  <si>
    <t>DD</t>
  </si>
  <si>
    <t>TOTAL 33</t>
  </si>
  <si>
    <t>ACTIVIDAD 4 / SERVICIOS DE ADMINISTRACIÓN DE MUSEOS</t>
  </si>
  <si>
    <t>5492 - MUSEO DEL LIBRO ANTIGUO - FUENTE 29 - GEOGRÁFICO 0301</t>
  </si>
  <si>
    <t xml:space="preserve">DGPCYN - 031 - 2253 - 2021 </t>
  </si>
  <si>
    <t>MIGUEL TUBÍN COLAJ</t>
  </si>
  <si>
    <t xml:space="preserve">DGPCYN - 031 - 2257 - 2021 </t>
  </si>
  <si>
    <t>ANTONIO FLORES LOPEZ</t>
  </si>
  <si>
    <t xml:space="preserve">DGPCYN - 031 - 2258 - 2021 </t>
  </si>
  <si>
    <t>SIMEÓN FLORES LÓPEZ</t>
  </si>
  <si>
    <t>DINA ELIZABETH VALENZUELA PÉREZ</t>
  </si>
  <si>
    <t>JUANA RODAS CABRERA DE ABAC</t>
  </si>
  <si>
    <t xml:space="preserve">DGPCYN - 031 - 2259 - 2021 </t>
  </si>
  <si>
    <t>APOLONIO GÓMEZ SICAJAÚ</t>
  </si>
  <si>
    <t xml:space="preserve">DGPCYN - 031 - 2260 - 2021 </t>
  </si>
  <si>
    <t>CARLOS ESTUARDO CÁRDENAS SARAVIA</t>
  </si>
  <si>
    <t>INGRID KARINA SALPOR COLINDRES</t>
  </si>
  <si>
    <t>ANTHONY ELIÚ DE LEÓN PÉREZ</t>
  </si>
  <si>
    <t xml:space="preserve">DGPCYN - 031 - 1516 - 2022 </t>
  </si>
  <si>
    <t>ALEJANDRO AUGUSTO COY GABRIEL</t>
  </si>
  <si>
    <t xml:space="preserve">DGPCYN - 031 - 1517 - 2022 </t>
  </si>
  <si>
    <t>CARLOS ARTURO CASTILLO RIVERA</t>
  </si>
  <si>
    <t xml:space="preserve">DGPCYN - 031 - 1518 - 2022 </t>
  </si>
  <si>
    <t>HIPOLITO ALVEÑO NAVAS</t>
  </si>
  <si>
    <t xml:space="preserve">DGPCYN - 031 - 1519 - 2022 </t>
  </si>
  <si>
    <t>MARIA IVETH ESCOBAR CARDONA DE LEMUS</t>
  </si>
  <si>
    <t xml:space="preserve">DGPCYN - 031 - 1520 - 2022 </t>
  </si>
  <si>
    <t>RICARDO GARCÍA  (ÚNICO APELLIDO)</t>
  </si>
  <si>
    <t xml:space="preserve">DGPCYN - 031 - 1521 - 2022 </t>
  </si>
  <si>
    <t>DAVID GONZÁLEZ VICENTE</t>
  </si>
  <si>
    <t xml:space="preserve">DGPCYN - 031 - 1522 - 2022 </t>
  </si>
  <si>
    <t>LESLIE ROXANA AGUILAR LAVARREDA DE CASTRO</t>
  </si>
  <si>
    <t xml:space="preserve">DGPCYN - 031 - 1523 - 2022 </t>
  </si>
  <si>
    <t>LUCIANO TOC CUC</t>
  </si>
  <si>
    <t xml:space="preserve">DGPCYN - 031 - 1525 - 2022 </t>
  </si>
  <si>
    <t>PERLA KAROLINA ESMERALDA RUBY LÓPEZ LÓPEZ DE REYES</t>
  </si>
  <si>
    <t xml:space="preserve">DGPCYN - 031 - 1527 - 2022 </t>
  </si>
  <si>
    <t>SAÚL BERNARDO ARGUETA CHINCHILLA</t>
  </si>
  <si>
    <t xml:space="preserve">DGPCYN - 031 - 1528 - 2022 </t>
  </si>
  <si>
    <t>LEIDY YASMIN MACOLAS ORANTES</t>
  </si>
  <si>
    <t xml:space="preserve">DGPCYN - 031 - 1529 - 2022 </t>
  </si>
  <si>
    <t>JESÚS ALBERTO PIRIR RAXÓN</t>
  </si>
  <si>
    <t xml:space="preserve">DGPCYN - 031 - 1530 - 2022 </t>
  </si>
  <si>
    <t>BASILIO DE JESÚS MAYÉN MURALLES</t>
  </si>
  <si>
    <t xml:space="preserve">DGPCYN - 031 - 1531 - 2022 </t>
  </si>
  <si>
    <t>ELIGIO RODOLFO HERNÁNDEZ RUANO</t>
  </si>
  <si>
    <t xml:space="preserve">PEÓN VIGILANTE I </t>
  </si>
  <si>
    <t xml:space="preserve">DGPCYN - 031 - 1532 - 2022 </t>
  </si>
  <si>
    <t>FRANCISCO SABÁN (ÚNICO APELLIDO)</t>
  </si>
  <si>
    <t xml:space="preserve">DGPCYN - 031 - 1533 - 2022 </t>
  </si>
  <si>
    <t>HECTOR ROMEO RAMIREZ LÓPEZ</t>
  </si>
  <si>
    <t xml:space="preserve">DGPCYN - 031 - 1534 - 2022 </t>
  </si>
  <si>
    <t>MARÍA DEL ROSARIO AZAÑÓN CHIGÜICHON DE MARTÍNEZ</t>
  </si>
  <si>
    <t xml:space="preserve">DGPCYN - 031 - 1535 - 2022 </t>
  </si>
  <si>
    <t>BLANCA ELIZABETH TOLEDO GARCÍA</t>
  </si>
  <si>
    <t xml:space="preserve">DGPCYN - 031 - 1536 - 2022 </t>
  </si>
  <si>
    <t>DOMINGO PACAY SIERRA</t>
  </si>
  <si>
    <t xml:space="preserve">DGPCYN - 031 - 1537 - 2022 </t>
  </si>
  <si>
    <t>EDGAR GEOVANNY RAXÓN SABÁN</t>
  </si>
  <si>
    <t xml:space="preserve">DGPCYN - 031 - 1538 - 2022 </t>
  </si>
  <si>
    <t>LUIS DANIEL ICUTÉ FUENTES</t>
  </si>
  <si>
    <t xml:space="preserve">DGPCYN - 031 - 1540 - 2022 </t>
  </si>
  <si>
    <t>PEDRO LÓPEZ Y LÓPEZ</t>
  </si>
  <si>
    <t xml:space="preserve">DGPCYN - 031 - 1541 - 2022 </t>
  </si>
  <si>
    <t>TANIA MELISA MATTA GARZA</t>
  </si>
  <si>
    <t xml:space="preserve">DGPCYN - 031 - 1542 - 2022 </t>
  </si>
  <si>
    <t>SELVIN MARINO GONZÁLEZ GÓMEZ</t>
  </si>
  <si>
    <t xml:space="preserve">DGPCYN - 031 - 1543 - 2022 </t>
  </si>
  <si>
    <t>AUGUSTO SUY MORALES</t>
  </si>
  <si>
    <t xml:space="preserve">DGPCYN - 031 - 1544 - 2022 </t>
  </si>
  <si>
    <t>JENNY ZURAMA GARCÍA JIMÉNEZ</t>
  </si>
  <si>
    <t xml:space="preserve">DGPCYN - 031 - 1545 - 2022 </t>
  </si>
  <si>
    <t>MELSIN OVED AGUILAR MAZÁ</t>
  </si>
  <si>
    <t xml:space="preserve">DGPCYN - 031 - 1546 - 2022 </t>
  </si>
  <si>
    <t>SÁLMAN  ZARAX OBANDO</t>
  </si>
  <si>
    <t xml:space="preserve">DGPCYN - 031 - 1547 - 2022 </t>
  </si>
  <si>
    <t>WALTER EVERARDO HOIL HEREDIA</t>
  </si>
  <si>
    <t xml:space="preserve">DGPCYN - 031 - 1548 - 2022 </t>
  </si>
  <si>
    <t>JULIO CÉSAR CORONADO JIMÉNEZ</t>
  </si>
  <si>
    <t xml:space="preserve">DGPCYN - 031 - 1549 - 2022 </t>
  </si>
  <si>
    <t>LUIS FERNANDO PINELO CORDOVA</t>
  </si>
  <si>
    <t xml:space="preserve">DGPCYN - 031 - 1550 - 2022 </t>
  </si>
  <si>
    <t>ROBINSON MELÉNDEZ CABRERA</t>
  </si>
  <si>
    <t xml:space="preserve">DGPCYN - 031 - 1551 - 2022 </t>
  </si>
  <si>
    <t>YOHANA ANGELITA BETANCOURT PÉREZ DE MISS</t>
  </si>
  <si>
    <t xml:space="preserve">DGPCYN - 031 - 648 - 2022 </t>
  </si>
  <si>
    <t>KIARA ROXANA TOBAR OBANDO</t>
  </si>
  <si>
    <t xml:space="preserve">DGPCYN - 031 - 1552 - 2022 </t>
  </si>
  <si>
    <t>CLARA AMALIA PEC CON</t>
  </si>
  <si>
    <t>NANCY QUAN CORADO</t>
  </si>
  <si>
    <t>LIBERTAD VENTURA SÁENZ DE CHALÍ</t>
  </si>
  <si>
    <t xml:space="preserve">DGPCYN - 031 - 2309 - 2021 </t>
  </si>
  <si>
    <t>OSCAR EDUARDO MARTÍNEZ CASTELLANOS</t>
  </si>
  <si>
    <t xml:space="preserve">DGPCYN - 031 - 2311 - 2021 </t>
  </si>
  <si>
    <t>CRISTIAN ORLANDO VÁSQUEZ SALAZAR</t>
  </si>
  <si>
    <t xml:space="preserve">DGPCYN - 031 - 2312 - 2021 </t>
  </si>
  <si>
    <t>ALVARO LUIS ANDRADE GUZMÁN</t>
  </si>
  <si>
    <t>CRISTIAN ADONÍAS POYÓN GARCÍA</t>
  </si>
  <si>
    <t>MIGUEL ESTEBAN MARQUEZ SILVA</t>
  </si>
  <si>
    <t>NIDIA YADIRA HERNÁNDEZ CHAVARRÍA</t>
  </si>
  <si>
    <t>FRANCISCO LUIS GODOY JUÁREZ</t>
  </si>
  <si>
    <t>ASTRID CAROLINA FARELO CHOCOY</t>
  </si>
  <si>
    <t>BRYAN JOSÉ GAYTÁN SILVA</t>
  </si>
  <si>
    <t>MAYRA CRISTINA CHOPEN TOL</t>
  </si>
  <si>
    <t>MARY CAROLINA CHON SANJAY</t>
  </si>
  <si>
    <t>RUDY ALEJANDRO HERNÁNDEZ SÁNCHEZ</t>
  </si>
  <si>
    <t>JOSÉ ALBERTO RAFAEL CHACÓN BARRIOS</t>
  </si>
  <si>
    <t>DIEGO ALEJANDRO TÓ QUIÑONEZ TOJÍN</t>
  </si>
  <si>
    <t xml:space="preserve">DGPCYN - 031 - 1553 - 2022 </t>
  </si>
  <si>
    <t>ALBERTO HERNÁNDEZ MÉNDEZ</t>
  </si>
  <si>
    <t>SUBE A 50 EN MAYO</t>
  </si>
  <si>
    <t xml:space="preserve">DGPCYN - 031 - 1554 - 2022 </t>
  </si>
  <si>
    <t>SATURNINO COLINDRES CARRILLO</t>
  </si>
  <si>
    <t xml:space="preserve">DGPCYN - 031 - 1555 - 2022 </t>
  </si>
  <si>
    <t>ELMER ADOLFO MARQUEZ GARCÍA</t>
  </si>
  <si>
    <t xml:space="preserve">DGPCYN - 031 - 1556 - 2022 </t>
  </si>
  <si>
    <t>HECTOR ROLANDO GOMEZ SIMILIAN</t>
  </si>
  <si>
    <t xml:space="preserve">DGPCYN - 031 - 1557 - 2022 </t>
  </si>
  <si>
    <t>LUIS ALBERTO DE JESÚS LÓPEZ CRUZ</t>
  </si>
  <si>
    <t xml:space="preserve">DGPCYN - 031 - 1558 - 2022 </t>
  </si>
  <si>
    <t>LUIS FELIPE CUYÁN YUPE</t>
  </si>
  <si>
    <t xml:space="preserve">DGPCYN - 031 - 1559 - 2022 </t>
  </si>
  <si>
    <t>MELESIO GUZMAN ALFARO</t>
  </si>
  <si>
    <t xml:space="preserve">DGPCYN - 031 - 1560 - 2022 </t>
  </si>
  <si>
    <t>ANDDY OMAR AGUIRRE (ÚNICO APELLIDO)</t>
  </si>
  <si>
    <t xml:space="preserve">DGPCYN - 031 - 1561 - 2022 </t>
  </si>
  <si>
    <t xml:space="preserve">CARLOS MANUEL ARAGÓN SALAMÁ </t>
  </si>
  <si>
    <t xml:space="preserve">DGPCYN - 031 - 1562 - 2022 </t>
  </si>
  <si>
    <t>DENNIS ALFREDO GÓMEZ PACHECO</t>
  </si>
  <si>
    <t xml:space="preserve">DGPCYN - 031 - 1563 - 2022 </t>
  </si>
  <si>
    <t>EDGAR ARMANDO DE JESÚS PEDROZA MORALES</t>
  </si>
  <si>
    <t xml:space="preserve">DGPCYN - 031 - 1564 - 2022 </t>
  </si>
  <si>
    <t>ENEIDA MARELI RODRIGUEZ MORALES</t>
  </si>
  <si>
    <t xml:space="preserve">DGPCYN - 031 - 1565 - 2022 </t>
  </si>
  <si>
    <t>EDRAS ESTUARDO GALICIA OSUNA</t>
  </si>
  <si>
    <t xml:space="preserve">DGPCYN - 031 - 1566 - 2022 </t>
  </si>
  <si>
    <t>GUADALUPE YESSENIA TRINIDAD LÓPEZ</t>
  </si>
  <si>
    <t xml:space="preserve">DGPCYN - 031 - 1567 - 2022 </t>
  </si>
  <si>
    <t>HILDA SOLEDAD BATEN VASQUEZ</t>
  </si>
  <si>
    <t xml:space="preserve">DGPCYN - 031 - 1568 - 2022 </t>
  </si>
  <si>
    <t xml:space="preserve">JAIME VITALITO CHOC SALAM </t>
  </si>
  <si>
    <t xml:space="preserve">DGPCYN - 031 - 1569 - 2022 </t>
  </si>
  <si>
    <t>JÓCTAN RAFAEL LOPEZ VALENZUELA</t>
  </si>
  <si>
    <t xml:space="preserve">DGPCYN - 031 - 1570 - 2022 </t>
  </si>
  <si>
    <t>JORGE BRAYAN ESPINO SÁNCHEZ</t>
  </si>
  <si>
    <t xml:space="preserve">DGPCYN - 031 - 1572 - 2022 </t>
  </si>
  <si>
    <t>JOSE FRANCISCO GARCIA CHUN</t>
  </si>
  <si>
    <t xml:space="preserve">DGPCYN - 031 - 1573 - 2022 </t>
  </si>
  <si>
    <t>JOSÉ LUIS PÉREZ MIRANDA</t>
  </si>
  <si>
    <t xml:space="preserve">DGPCYN - 031 - 1574 - 2022 </t>
  </si>
  <si>
    <t>JOSUÉ DANIEL SINEY RAMÍREZ</t>
  </si>
  <si>
    <t xml:space="preserve">DGPCYN - 031 - 1575 - 2022 </t>
  </si>
  <si>
    <t>KARLA MERARY SIERRA JUI</t>
  </si>
  <si>
    <t xml:space="preserve">DGPCYN - 031 - 1576 - 2022 </t>
  </si>
  <si>
    <t>KEVIN ARNOLDO JUÁREZ TORRES</t>
  </si>
  <si>
    <t xml:space="preserve">DGPCYN - 031 - 1577 - 2022 </t>
  </si>
  <si>
    <t>LIFNI JOSUÉ LÓPEZ (ÚNICO APELLIDO)</t>
  </si>
  <si>
    <t xml:space="preserve">DGPCYN - 031 - 1578 - 2022 </t>
  </si>
  <si>
    <t>LISETT ALEJANDRA MARTÍNEZ RAMÍREZ</t>
  </si>
  <si>
    <t xml:space="preserve">DGPCYN - 031 - 1579 - 2022 </t>
  </si>
  <si>
    <t>NERY AROLDO VALENZUELA GONZÁLEZ</t>
  </si>
  <si>
    <t xml:space="preserve">DGPCYN - 031 - 1580 - 2022 </t>
  </si>
  <si>
    <t>OSCAR AUGUSTO MEDRANO LEIVA</t>
  </si>
  <si>
    <t xml:space="preserve">DGPCYN - 031 - 1581 - 2022 </t>
  </si>
  <si>
    <t>OSCAR DOMINGO LÓPEZ SEGURA</t>
  </si>
  <si>
    <t xml:space="preserve">DGPCYN - 031 - 1582 - 2022 </t>
  </si>
  <si>
    <t>SALOMÓN ATAHUALPA GARCÍA AGUIRRE</t>
  </si>
  <si>
    <t xml:space="preserve">DGPCYN - 031 - 1583 - 2022 </t>
  </si>
  <si>
    <t>WILDERSON ANTONIO LOPEZ</t>
  </si>
  <si>
    <t xml:space="preserve">DGPCYN - 031 - 1584 - 2022 </t>
  </si>
  <si>
    <t>WILLIAM ESTUARDO PALMA HERRERA</t>
  </si>
  <si>
    <t xml:space="preserve">DGPCYN - 031 - 1585 - 2022 </t>
  </si>
  <si>
    <t>WILSON DENNIS BAUTISTA POPOL</t>
  </si>
  <si>
    <t xml:space="preserve">DGPCYN - 031 - 1586 - 2022 </t>
  </si>
  <si>
    <t xml:space="preserve">YEINY HOJANA ROSALES GARZA </t>
  </si>
  <si>
    <t xml:space="preserve">DGPCYN - 031 - 1587 - 2022 </t>
  </si>
  <si>
    <t>YESSICA LORENA DEL VALLE SANCHINELLI</t>
  </si>
  <si>
    <t xml:space="preserve">DGPCYN - 031 - 1588 - 2022 </t>
  </si>
  <si>
    <t>VICTOR HUGO DIONICIO RODRIGUEZ</t>
  </si>
  <si>
    <t xml:space="preserve">DGPCYN - 031 - 1589 - 2022 </t>
  </si>
  <si>
    <t>MARCOS DANIEL ALEJANDRO REINA MUÑOZ</t>
  </si>
  <si>
    <t xml:space="preserve">DGPCYN - 031 - 1590 - 2022 </t>
  </si>
  <si>
    <t>JOSÉ CARLOS CRUZ CHAMALÉ</t>
  </si>
  <si>
    <t xml:space="preserve">DGPCYN - 031 - 1019 - 2022 </t>
  </si>
  <si>
    <t>ANTONIO VÁSQUEZ CHÁVEZ</t>
  </si>
  <si>
    <t xml:space="preserve">DGPCYN - 031 - 1020 - 2022 </t>
  </si>
  <si>
    <t>BAYRON RUIZ BARRERA</t>
  </si>
  <si>
    <t xml:space="preserve">DGPCYN - 031 - 1021 - 2022 </t>
  </si>
  <si>
    <t>JOÉL RUBÉN CHIGUICHÓN GÓMEZ</t>
  </si>
  <si>
    <t xml:space="preserve">DGPCYN - 031 - 1022 - 2022 </t>
  </si>
  <si>
    <t>BERNABÉ XUYÁ MONROY</t>
  </si>
  <si>
    <t xml:space="preserve">DGPCYN - 031 - 1023 - 2022 </t>
  </si>
  <si>
    <t>ENCARNACIÓN PÉREZ LÓPEZ</t>
  </si>
  <si>
    <t xml:space="preserve">DGPCYN - 031 - 1024 - 2022 </t>
  </si>
  <si>
    <t>EUGENIO ALVARADO CUXÚN</t>
  </si>
  <si>
    <t xml:space="preserve">DGPCYN - 031 - 1025 - 2022 </t>
  </si>
  <si>
    <t>LUIS FERNANDO LÓPEZ PÉREZ</t>
  </si>
  <si>
    <t xml:space="preserve">DGPCYN - 031 - 1026 - 2022 </t>
  </si>
  <si>
    <t>LESTER ESTUARDO ROLDÁN CHÁVEZ</t>
  </si>
  <si>
    <t xml:space="preserve">DGPCYN - 031 - 1027 - 2022 </t>
  </si>
  <si>
    <t>MANUEL HERLINDO COY XOL</t>
  </si>
  <si>
    <t xml:space="preserve">DGPCYN - 031 - 1028 - 2022 </t>
  </si>
  <si>
    <t>LUIS ALBERTO ORDOÑEZ RENOJ</t>
  </si>
  <si>
    <t xml:space="preserve">DGPCYN - 031 - 1029 - 2022 </t>
  </si>
  <si>
    <t>MARIO RENÉ CABRERA (ÚNICO APELLIDO)</t>
  </si>
  <si>
    <t xml:space="preserve">DGPCYN - 031 - 1030 - 2022 </t>
  </si>
  <si>
    <t>OSCAR RENÉ MARTINEZ CARDONA</t>
  </si>
  <si>
    <t xml:space="preserve">DGPCYN - 031 - 1031 - 2022 </t>
  </si>
  <si>
    <t>ROBERTO ACUTA CUCUL</t>
  </si>
  <si>
    <t xml:space="preserve">DGPCYN - 031 - 1032 - 2022 </t>
  </si>
  <si>
    <t>SERGIO DIONICIO LÓPEZ MÉNDEZ</t>
  </si>
  <si>
    <t xml:space="preserve">DGPCYN - 031 - 1033 - 2022 </t>
  </si>
  <si>
    <t>MARIO ROLANDO VALENZUELA DE LA ROSA</t>
  </si>
  <si>
    <t xml:space="preserve">DGPCYN - 031 - 1034 - 2022 </t>
  </si>
  <si>
    <t xml:space="preserve">JORGE ANIBAL SANTOS HERNÁNDEZ </t>
  </si>
  <si>
    <t xml:space="preserve">DGPCYN - 031 - 1035 - 2022 </t>
  </si>
  <si>
    <t>MARCELO CHICOJ ZETE</t>
  </si>
  <si>
    <t xml:space="preserve">DGPCYN - 031 - 1036 - 2022 </t>
  </si>
  <si>
    <t>DIEGO JACOBO POLANCO</t>
  </si>
  <si>
    <t xml:space="preserve">DGPCYN - 031 - 1037 - 2022 </t>
  </si>
  <si>
    <t xml:space="preserve">JOSÉ LUCAS MÉNDEZ GÓMEZ </t>
  </si>
  <si>
    <t xml:space="preserve">DGPCYN - 031 - 1038 - 2022 </t>
  </si>
  <si>
    <t>MARLON MANOLO BAUTISTA SURUY</t>
  </si>
  <si>
    <t xml:space="preserve">DGPCYN - 031 - 1039 - 2022 </t>
  </si>
  <si>
    <t>ISABEL AQUINO OSCAL</t>
  </si>
  <si>
    <t xml:space="preserve">DGPCYN - 031 - 1040 - 2022 </t>
  </si>
  <si>
    <t>JOSUÉ ESTUARDO VÁSQUEZ (ÚNICO APELLIDO)</t>
  </si>
  <si>
    <t xml:space="preserve">DGPCYN - 031 - 1041 - 2022 </t>
  </si>
  <si>
    <t>JUANA MARITZA LINDO PÉREZ</t>
  </si>
  <si>
    <t xml:space="preserve">DGPCYN - 031 - 1042 - 2022 </t>
  </si>
  <si>
    <t>AMALIA CAROLINA SOLORZANO ALDANA</t>
  </si>
  <si>
    <t xml:space="preserve">DGPCYN - 031 - 1043 - 2022 </t>
  </si>
  <si>
    <t>NEMECIO AJCUC TOCAY</t>
  </si>
  <si>
    <t xml:space="preserve">DGPCYN - 031 - 1044 - 2022 </t>
  </si>
  <si>
    <t>DORA ETELVINA REYES ROSALES DE MARTINEZ</t>
  </si>
  <si>
    <t xml:space="preserve">DGPCYN - 031 - 1045 - 2022 </t>
  </si>
  <si>
    <t>JEFREY ENMANUEL LÓPEZ ALVIZURES</t>
  </si>
  <si>
    <t xml:space="preserve">DGPCYN - 031 - 1046 - 2022 </t>
  </si>
  <si>
    <t>YANELÍN SÁNCHEZ URZÚA</t>
  </si>
  <si>
    <t xml:space="preserve">DGPCYN - 031 - 1047 - 2022 </t>
  </si>
  <si>
    <t>MARÍA RENEÉ FERNANDA GONZÁLEZ FRANCO</t>
  </si>
  <si>
    <t xml:space="preserve">DGPCYN - 031 - 1048 - 2022 </t>
  </si>
  <si>
    <t>ASTRID CAROLINA MUÑOZ VALENZUELA</t>
  </si>
  <si>
    <t xml:space="preserve">DGPCYN - 031 - 1049 - 2022 </t>
  </si>
  <si>
    <t>JUAN ORLANDO MELENDEZ GUERRERO</t>
  </si>
  <si>
    <t xml:space="preserve">DGPCYN - 031 - 1050 - 2022 </t>
  </si>
  <si>
    <t>HESTER DAMIÁN CAAL (ÚNICO APELLIDO)</t>
  </si>
  <si>
    <t xml:space="preserve">DGPCYN - 031 - 1051 - 2022 </t>
  </si>
  <si>
    <t>LORENA RENEE PICÓN BERGES</t>
  </si>
  <si>
    <t xml:space="preserve">DGPCYN - 031 - 1052 - 2022 </t>
  </si>
  <si>
    <t>JOSÉ LUIS CHACÓN MENDOZA</t>
  </si>
  <si>
    <t xml:space="preserve">DGPCYN - 031 - 1053 - 2022 </t>
  </si>
  <si>
    <t>JUAN CARLOS PAREDES (ÚNICO APELLIDO)</t>
  </si>
  <si>
    <t xml:space="preserve">DGPCYN - 031 - 1054 - 2022 </t>
  </si>
  <si>
    <t>ESTELA MARICRUZ OSORIO SALAZAR</t>
  </si>
  <si>
    <t xml:space="preserve">DGPCYN - 031 - 1055 - 2022 </t>
  </si>
  <si>
    <t xml:space="preserve">BRENDA LETICIA CAN TELEGUARIO </t>
  </si>
  <si>
    <t>ERICK ARNOLDO PÉREZ BUSTAMANTE</t>
  </si>
  <si>
    <t>LILIAN MARISOL SUNÚN ZET</t>
  </si>
  <si>
    <t>GONZÁLO OTHONIEL MOLINA GONZÁLEZ</t>
  </si>
  <si>
    <t>ISRAEL CHIQUITÓ JOJ</t>
  </si>
  <si>
    <t>MIGUEL ANTONIO LÓPEZ MÉNDEZ</t>
  </si>
  <si>
    <t>ACTIVIDAD 6 / SERVICIOS DE ADMINISTRACIÓN DEL PATRIMONIO BIBLIOGRÁFICO Y DOCUMENTAL</t>
  </si>
  <si>
    <t>5297 - BIBLIOTECA NACIONAL DE GUATEMALA - FUENTE 11 - GEOGRÁFICO 0101</t>
  </si>
  <si>
    <t xml:space="preserve">DGPCYN - 031 - 1591 - 2022 </t>
  </si>
  <si>
    <t>DAVID ARTURO MADRID GUERRA</t>
  </si>
  <si>
    <t xml:space="preserve">DGPCYN - 031 - 1592 - 2022 </t>
  </si>
  <si>
    <t>JOSSELINE CARINA TOC GARCÍA</t>
  </si>
  <si>
    <t xml:space="preserve">DGPCYN - 031 - 1593 - 2022 </t>
  </si>
  <si>
    <t>MARIANA DE JESÚS AJÚ HERNÁNDEZ</t>
  </si>
  <si>
    <t xml:space="preserve">DGPCYN - 031 - 1594 - 2022 </t>
  </si>
  <si>
    <t>MÁXIMO SOLIS RODAS</t>
  </si>
  <si>
    <t xml:space="preserve">DGPCYN - 031 - 1595 - 2022 </t>
  </si>
  <si>
    <t>SERGIO GUILLERMO ROBLES BARILLAS</t>
  </si>
  <si>
    <t xml:space="preserve">DGPCYN - 031 - 1596 - 2022 </t>
  </si>
  <si>
    <t>CARLOS MANUEL GARCÍA CRÚZ</t>
  </si>
  <si>
    <t xml:space="preserve">DGPCYN - 031 - 1597 - 2022 </t>
  </si>
  <si>
    <t>LUIS FERNADO AQUINO AREVALO</t>
  </si>
  <si>
    <t xml:space="preserve">DGPCYN - 031 - 1598 - 2022 </t>
  </si>
  <si>
    <t>ABEL VIRGILIO CHÁVEZ JIMÉNEZ</t>
  </si>
  <si>
    <t xml:space="preserve">DGPCYN - 031 - 1599 - 2022 </t>
  </si>
  <si>
    <t>CARLOS ANTONIO CRUZ GÓMEZ</t>
  </si>
  <si>
    <t xml:space="preserve">DGPCYN - 031 - 1600 - 2022 </t>
  </si>
  <si>
    <t>EVA MARÍA PEÑA VELA DE LIMA</t>
  </si>
  <si>
    <t xml:space="preserve">DGPCYN - 031 - 1601 - 2022 </t>
  </si>
  <si>
    <t>ERIK GEOVANI HERNÁNDEZ MÉNDEZ</t>
  </si>
  <si>
    <t xml:space="preserve">DGPCYN - 031 - 1602 - 2022 </t>
  </si>
  <si>
    <t>LUCÍA ANTONIETA RODRÍGUEZ MELARA</t>
  </si>
  <si>
    <t xml:space="preserve">DGPCYN - 031 - 1603 - 2022 </t>
  </si>
  <si>
    <t>MARTA JULIA PÉREZ LUNA</t>
  </si>
  <si>
    <t>quitar montepio</t>
  </si>
  <si>
    <t xml:space="preserve">DGPCYN - 031 - 1604 - 2022 </t>
  </si>
  <si>
    <t>RICARDO AGUILAR BOL</t>
  </si>
  <si>
    <t xml:space="preserve">DGPCYN - 031 - 1605 - 2022 </t>
  </si>
  <si>
    <t>ROSARIO BELTRÁN GARCIA DE CARRERA</t>
  </si>
  <si>
    <t xml:space="preserve">DGPCYN - 031 - 1606 - 2022 </t>
  </si>
  <si>
    <t>SARA ELIZABETH GÓMEZ ESPAÑA</t>
  </si>
  <si>
    <t xml:space="preserve">DGPCYN - 031 - 1607 - 2022 </t>
  </si>
  <si>
    <t>VERÓNICA BEATRÍZ CABRERA ARÉVALO</t>
  </si>
  <si>
    <t xml:space="preserve">DGPCYN - 031 - 1608 - 2022 </t>
  </si>
  <si>
    <t>JHONATTAN ARIEL LÓPEZ TOBAR</t>
  </si>
  <si>
    <t xml:space="preserve">DGPCYN - 031 - 1609 - 2022 </t>
  </si>
  <si>
    <t>ANTONIO MONTEJO SIMÓN</t>
  </si>
  <si>
    <t xml:space="preserve">DGPCYN - 031 - 1610 - 2022 </t>
  </si>
  <si>
    <t>ASUNCIÓN TIX IBOY</t>
  </si>
  <si>
    <t xml:space="preserve">DGPCYN - 031 - 1611 - 2022 </t>
  </si>
  <si>
    <t>BLANCA PATRICIA CIFUENTES RODRÍGUEZ</t>
  </si>
  <si>
    <t xml:space="preserve">DGPCYN - 031 - 1612 - 2022 </t>
  </si>
  <si>
    <t>BRYAN GAMALIEL FUENTES LÓPEZ</t>
  </si>
  <si>
    <t xml:space="preserve">DGPCYN - 031 - 1613 - 2022 </t>
  </si>
  <si>
    <t>FIDEL RAXCACÓ LÓPEZ</t>
  </si>
  <si>
    <t xml:space="preserve">DGPCYN - 031 - 1614 - 2022 </t>
  </si>
  <si>
    <t>FRANCISCO FELIPE LÁINEZ</t>
  </si>
  <si>
    <t xml:space="preserve">DGPCYN - 031 - 1615 - 2022 </t>
  </si>
  <si>
    <t>ISRAEL JERÓNIMO CALMO</t>
  </si>
  <si>
    <t xml:space="preserve">DGPCYN - 031 - 1616 - 2022 </t>
  </si>
  <si>
    <t>PASCUAL HIGINIO LÓPEZ GERÓNIMO</t>
  </si>
  <si>
    <t xml:space="preserve">DGPCYN - 031 - 1617 - 2022 </t>
  </si>
  <si>
    <t>ERICK AMILCAR GUZMAN HERRERA</t>
  </si>
  <si>
    <t xml:space="preserve">DGPCYN - 031 - 223 - 2022 </t>
  </si>
  <si>
    <t>CAROLINA ELIZABETH FERRER GIRÓN</t>
  </si>
  <si>
    <t xml:space="preserve">DGPCYN - 031 - 225 - 2022 </t>
  </si>
  <si>
    <t xml:space="preserve">ENMA CAROLINA MARROQUIN BOROR </t>
  </si>
  <si>
    <t xml:space="preserve">DGPCYN - 031 - 227 - 2022 </t>
  </si>
  <si>
    <t>DINA MERCEDES CUTZAL OTZOY</t>
  </si>
  <si>
    <t>RUBÍ MARGARITA VÁSQUEZ ORTEGA</t>
  </si>
  <si>
    <t>5580 - PARQUE NACIONAL TIKAL - FUENTE 32 - GEOGRÁFICO 1701</t>
  </si>
  <si>
    <t xml:space="preserve">DGPCYN - 031 - 1618 - 2022 </t>
  </si>
  <si>
    <t>ABNER LÓPEZ MORALES</t>
  </si>
  <si>
    <t xml:space="preserve">DGPCYN - 031 - 1619 - 2022 </t>
  </si>
  <si>
    <t>ABRAHAM PERALTA RAMÍREZ</t>
  </si>
  <si>
    <t xml:space="preserve">DGPCYN - 031 - 1620 - 2022 </t>
  </si>
  <si>
    <t xml:space="preserve">ADOLFO CARRILLO LÓPEZ </t>
  </si>
  <si>
    <t xml:space="preserve">DGPCYN - 031 - 1621 - 2022 </t>
  </si>
  <si>
    <t>ADOLFO CASTILLO PINEDA</t>
  </si>
  <si>
    <t xml:space="preserve">DGPCYN - 031 - 1622 - 2022 </t>
  </si>
  <si>
    <t>ALBERTO HERNANDEZ ESQUIVEL</t>
  </si>
  <si>
    <t xml:space="preserve">DGPCYN - 031 - 1623 - 2022 </t>
  </si>
  <si>
    <t>ALEJANDRO MACARIO LOPEZ</t>
  </si>
  <si>
    <t xml:space="preserve">DGPCYN - 031 - 1624 - 2022 </t>
  </si>
  <si>
    <t xml:space="preserve">ALEXANDER EXAU MORALES ESCOBAR </t>
  </si>
  <si>
    <t xml:space="preserve">DGPCYN - 031 - 1625 - 2022 </t>
  </si>
  <si>
    <t>ALFREDO DE JESÚS MORALES RODRÍGUEZ</t>
  </si>
  <si>
    <t xml:space="preserve">DGPCYN - 031 - 1626 - 2022 </t>
  </si>
  <si>
    <t>ANASTACIO CALEB YAT CABRERA</t>
  </si>
  <si>
    <t xml:space="preserve">DGPCYN - 031 - 1627 - 2022 </t>
  </si>
  <si>
    <t>ANDREA GUADALUPE VÉLIZ CARÍAS</t>
  </si>
  <si>
    <t xml:space="preserve">DGPCYN - 031 - 1628 - 2022 </t>
  </si>
  <si>
    <t>ANGEL CHÚN GUILLÉN</t>
  </si>
  <si>
    <t xml:space="preserve">DGPCYN - 031 - 1630 - 2022 </t>
  </si>
  <si>
    <t>ARMANDO SÁNCHEZ TORRES</t>
  </si>
  <si>
    <t xml:space="preserve">DGPCYN - 031 - 1632 - 2022 </t>
  </si>
  <si>
    <t>BENEDICTO GONZÁLEZ CÓRDOVA</t>
  </si>
  <si>
    <t xml:space="preserve">DGPCYN - 031 - 1633 - 2022 </t>
  </si>
  <si>
    <t>BLANCA DAMARÍS PÉREZ TZUL</t>
  </si>
  <si>
    <t xml:space="preserve">DGPCYN - 031 - 1634 - 2022 </t>
  </si>
  <si>
    <t>BLAS ANTONIO OCHAETA SALAS</t>
  </si>
  <si>
    <t xml:space="preserve">DGPCYN - 031 - 1635 - 2022 </t>
  </si>
  <si>
    <t>CARLOS AMILCAR FAJARDO BARRIENTOS</t>
  </si>
  <si>
    <t xml:space="preserve">DGPCYN - 031 - 1636 - 2022 </t>
  </si>
  <si>
    <t>CARLOS ANTONIO PÉREZ LÓPEZ</t>
  </si>
  <si>
    <t xml:space="preserve">DGPCYN - 031 - 1637 - 2022 </t>
  </si>
  <si>
    <t>CARLOS ENRIQUE CHAVEZ ABRÉGO</t>
  </si>
  <si>
    <t xml:space="preserve">DGPCYN - 031 - 1638 - 2022 </t>
  </si>
  <si>
    <t>CARLOS ENRIQUE MENDEZ GALAN</t>
  </si>
  <si>
    <t xml:space="preserve">DGPCYN - 031 - 1639 - 2022 </t>
  </si>
  <si>
    <t>CARLOS HIRAM ALVARADO CONTRERAS</t>
  </si>
  <si>
    <t xml:space="preserve">DGPCYN - 031 - 1640 - 2022 </t>
  </si>
  <si>
    <t>CARLOS HUMBERTO REYES GARCÍA</t>
  </si>
  <si>
    <t xml:space="preserve">DGPCYN - 031 - 1641 - 2022 </t>
  </si>
  <si>
    <t>CARLOS OCTAVIO TRUJILLO PACHECO</t>
  </si>
  <si>
    <t xml:space="preserve">DGPCYN - 031 - 1642 - 2022 </t>
  </si>
  <si>
    <t>CATALINO LÓPEZ AGUIRRE</t>
  </si>
  <si>
    <t xml:space="preserve">DGPCYN - 031 - 1643 - 2022 </t>
  </si>
  <si>
    <t>CÉSAR RODRÍGUEZ AGUILAR</t>
  </si>
  <si>
    <t xml:space="preserve">DGPCYN - 031 - 1644 - 2022 </t>
  </si>
  <si>
    <t>CRUZ JAU (ÚNICO APELLIDO)</t>
  </si>
  <si>
    <t xml:space="preserve">DGPCYN - 031 - 1645 - 2022 </t>
  </si>
  <si>
    <t>DAVID QUIXCHÁN ENRIQUEZ</t>
  </si>
  <si>
    <t xml:space="preserve">DGPCYN - 031 - 1646 - 2022 </t>
  </si>
  <si>
    <t>DEYBIN HUMBERTO GUZMÁN ORELLANA</t>
  </si>
  <si>
    <t xml:space="preserve">DGPCYN - 031 - 1647 - 2022 </t>
  </si>
  <si>
    <t>DIEGO HERNÁNDEZ (ÚNICO APELLIDO)</t>
  </si>
  <si>
    <t xml:space="preserve">DGPCYN - 031 - 1648 - 2022 </t>
  </si>
  <si>
    <t>DIEGO JOSÉ BARRERA JURADO</t>
  </si>
  <si>
    <t xml:space="preserve">DGPCYN - 031 - 1649 - 2022 </t>
  </si>
  <si>
    <t>DOUGLAS YOVANI MELÉNDEZ CABRERA</t>
  </si>
  <si>
    <t xml:space="preserve">DGPCYN - 031 - 1650 - 2022 </t>
  </si>
  <si>
    <t>EDGAR ROBERTO LÓPEZ GUZMAN</t>
  </si>
  <si>
    <t xml:space="preserve">DGPCYN - 031 - 1651 - 2022 </t>
  </si>
  <si>
    <t>EDGAR ROSENDO REYES RODRÍGUEZ</t>
  </si>
  <si>
    <t xml:space="preserve">DGPCYN - 031 - 1652 - 2022 </t>
  </si>
  <si>
    <t>EDWIN NOLBERTO OCHAETA  (ÚNICO APELLIDO)</t>
  </si>
  <si>
    <t xml:space="preserve">DGPCYN - 031 - 1653 - 2022 </t>
  </si>
  <si>
    <t>EFRAÍN MAYEN ESTRADA</t>
  </si>
  <si>
    <t xml:space="preserve">DGPCYN - 031 - 1654 - 2022 </t>
  </si>
  <si>
    <t>ELÍAS CASTILLO PINEDA</t>
  </si>
  <si>
    <t xml:space="preserve">DGPCYN - 031 - 1655 - 2022 </t>
  </si>
  <si>
    <t>ELIAS XOC ICHICH</t>
  </si>
  <si>
    <t xml:space="preserve">DGPCYN - 031 - 1656 - 2022 </t>
  </si>
  <si>
    <t>ELMER  HERNÁNDEZ HERRERA</t>
  </si>
  <si>
    <t xml:space="preserve">DGPCYN - 031 - 1657 - 2022 </t>
  </si>
  <si>
    <t>ELMER EMILIO BÁ FRANCO</t>
  </si>
  <si>
    <t xml:space="preserve">DGPCYN - 031 - 1658 - 2022 </t>
  </si>
  <si>
    <t>ELMER GABRIEL QUIXAJ MORALES</t>
  </si>
  <si>
    <t xml:space="preserve">DGPCYN - 031 - 1659 - 2022 </t>
  </si>
  <si>
    <t>ELSY MERARI ARANA SOLA</t>
  </si>
  <si>
    <t xml:space="preserve">DGPCYN - 031 - 1660 - 2022 </t>
  </si>
  <si>
    <t>EMÍLIANO BALDOMERO CORTEZ LAJUJ</t>
  </si>
  <si>
    <t xml:space="preserve">DGPCYN - 031 - 1661 - 2022 </t>
  </si>
  <si>
    <t>ENRIQUE ALONZO ELIAS</t>
  </si>
  <si>
    <t xml:space="preserve">DGPCYN - 031 - 1662 - 2022 </t>
  </si>
  <si>
    <t>ERICK ANTONIO ESPAÑA MÉNDEZ</t>
  </si>
  <si>
    <t xml:space="preserve">DGPCYN - 031 - 1663 - 2022 </t>
  </si>
  <si>
    <t>ERICK GUILLERMO RAX CACAO</t>
  </si>
  <si>
    <t xml:space="preserve">DGPCYN - 031 - 1664 - 2022 </t>
  </si>
  <si>
    <t>ERICK ROBERTO SÁNCHEZ ROMERO</t>
  </si>
  <si>
    <t xml:space="preserve">DGPCYN - 031 - 1665 - 2022 </t>
  </si>
  <si>
    <t>ERNESTO CAAL CAC</t>
  </si>
  <si>
    <t xml:space="preserve">DGPCYN - 031 - 1666 - 2022 </t>
  </si>
  <si>
    <t>ESBER GUILLERMO RIVERA LÓPEZ</t>
  </si>
  <si>
    <t xml:space="preserve">DGPCYN - 031 - 1667 - 2022 </t>
  </si>
  <si>
    <t>ESDRAS NEHEMÍAS LUIS GARCÍA</t>
  </si>
  <si>
    <t xml:space="preserve">DGPCYN - 031 - 1668 - 2022 </t>
  </si>
  <si>
    <t>ESTANISLAO ANIBAL SUYÉN GONZÁLEZ</t>
  </si>
  <si>
    <t xml:space="preserve">DGPCYN - 031 - 1669 - 2022 </t>
  </si>
  <si>
    <t>EXEQUIEL PÉREZ CIFUENTES</t>
  </si>
  <si>
    <t xml:space="preserve">DGPCYN - 031 - 1670 - 2022 </t>
  </si>
  <si>
    <t>FELIPE FLORES VILLAVICENCIO</t>
  </si>
  <si>
    <t xml:space="preserve">DGPCYN - 031 - 1671 - 2022 </t>
  </si>
  <si>
    <t>FIDEL GARRIDO ASIG</t>
  </si>
  <si>
    <t xml:space="preserve">DGPCYN - 031 - 1672 - 2022 </t>
  </si>
  <si>
    <t>FRANCISCO CHÓC (ÚNICO APELLIDO)</t>
  </si>
  <si>
    <t xml:space="preserve">DGPCYN - 031 - 1673 - 2022 </t>
  </si>
  <si>
    <t>FRANCISCO CÓRDOVA GARCÍA</t>
  </si>
  <si>
    <t xml:space="preserve">DGPCYN - 031 - 1674 - 2022 </t>
  </si>
  <si>
    <t>FRANCISCO CORTEZ ZAC</t>
  </si>
  <si>
    <t xml:space="preserve">DGPCYN - 031 - 1675 - 2022 </t>
  </si>
  <si>
    <t>FRANCÍSCO FAJARDO BARRIENTOS</t>
  </si>
  <si>
    <t xml:space="preserve">DGPCYN - 031 - 1676 - 2022 </t>
  </si>
  <si>
    <t>FRANCISCO JAVIER CATÚN CONTRERAS</t>
  </si>
  <si>
    <t xml:space="preserve">DGPCYN - 031 - 1677 - 2022 </t>
  </si>
  <si>
    <t>FRANCISCO JAVIER CUPUL NAJERA</t>
  </si>
  <si>
    <t xml:space="preserve">DGPCYN - 031 - 1678 - 2022 </t>
  </si>
  <si>
    <t>FRANCISCO LADINO DÍAZ</t>
  </si>
  <si>
    <t xml:space="preserve">DGPCYN - 031 - 1679 - 2022 </t>
  </si>
  <si>
    <t>FRANCISCO MEJÍA ALBIZÚRES</t>
  </si>
  <si>
    <t xml:space="preserve">DGPCYN - 031 - 1680 - 2022 </t>
  </si>
  <si>
    <t>FRANCISCO MENDOZA PRIMERO</t>
  </si>
  <si>
    <t xml:space="preserve">DGPCYN - 031 - 1681 - 2022 </t>
  </si>
  <si>
    <t>FRANCISCO OLIVA TOBAR</t>
  </si>
  <si>
    <t xml:space="preserve">DGPCYN - 031 - 1682 - 2022 </t>
  </si>
  <si>
    <t>FRANKLIN JOSUÉ JAU CATALÁN</t>
  </si>
  <si>
    <t xml:space="preserve">DGPCYN - 031 - 1683 - 2022 </t>
  </si>
  <si>
    <t xml:space="preserve">GABRIELA EUNICE HERNÁNDEZ CONSTANZA </t>
  </si>
  <si>
    <t xml:space="preserve">DGPCYN - 031 - 1684 - 2022 </t>
  </si>
  <si>
    <t>GERARDO ARROYO SANDOVAL</t>
  </si>
  <si>
    <t xml:space="preserve">DGPCYN - 031 - 1685 - 2022 </t>
  </si>
  <si>
    <t>GERARDO FELIPE ESCOBAR MÉNDEZ</t>
  </si>
  <si>
    <t xml:space="preserve">DGPCYN - 031 - 1686 - 2022 </t>
  </si>
  <si>
    <t>GERSON DANILO FLORES GARCÍA</t>
  </si>
  <si>
    <t xml:space="preserve">DGPCYN - 031 - 1687 - 2022 </t>
  </si>
  <si>
    <t>GERSON MANUEL DÍAZ GÓNGORA</t>
  </si>
  <si>
    <t xml:space="preserve">DGPCYN - 031 - 1688 - 2022 </t>
  </si>
  <si>
    <t>GILBERTO MORALES MORALES</t>
  </si>
  <si>
    <t xml:space="preserve">DGPCYN - 031 - 1689 - 2022 </t>
  </si>
  <si>
    <t>GUILMAR EDUARDO CALATE HERNÁNDEZ</t>
  </si>
  <si>
    <t xml:space="preserve">DGPCYN - 031 - 1690 - 2022 </t>
  </si>
  <si>
    <t>GONZALO SÁNCHEZ LÉMUS</t>
  </si>
  <si>
    <t xml:space="preserve">DGPCYN - 031 - 1691 - 2022 </t>
  </si>
  <si>
    <t>GUILLERMO ALEXANDER LÓPEZ ZETINA</t>
  </si>
  <si>
    <t xml:space="preserve">DGPCYN - 031 - 1692 - 2022 </t>
  </si>
  <si>
    <t>GUSTABO BALONA QUIXCHAN</t>
  </si>
  <si>
    <t xml:space="preserve">DGPCYN - 031 - 1693 - 2022 </t>
  </si>
  <si>
    <t>GUSTAVO ADOLFO QUIXCHÁN COHUOJ</t>
  </si>
  <si>
    <t xml:space="preserve">DGPCYN - 031 - 1694 - 2022 </t>
  </si>
  <si>
    <t>HENRY ADOLFO CASTRO CASTELLANOS</t>
  </si>
  <si>
    <t xml:space="preserve">DGPCYN - 031 - 1696 - 2022 </t>
  </si>
  <si>
    <t>HUGO RENÉ ALVAREZ CHAJÓN</t>
  </si>
  <si>
    <t xml:space="preserve">DGPCYN - 031 - 1697 - 2022 </t>
  </si>
  <si>
    <t>INELDO BAUTISTA BAUTISTA VELÁSQUEZ</t>
  </si>
  <si>
    <t xml:space="preserve">DGPCYN - 031 - 1698 - 2022 </t>
  </si>
  <si>
    <t>ISRAEL CALATE GONZÁLEZ</t>
  </si>
  <si>
    <t xml:space="preserve">DGPCYN - 031 - 1699 - 2022 </t>
  </si>
  <si>
    <t>ISRAEL VÁSQUEZ RAMOS</t>
  </si>
  <si>
    <t xml:space="preserve">DGPCYN - 031 - 1701 - 2022 </t>
  </si>
  <si>
    <t>JAPCEL MARCONY GÓMEZ PÉREZ</t>
  </si>
  <si>
    <t xml:space="preserve">DGPCYN - 031 - 1702 - 2022 </t>
  </si>
  <si>
    <t>JEREMÍAS ANTONIO VALLES PÉREZ</t>
  </si>
  <si>
    <t xml:space="preserve">DGPCYN - 031 - 1703 - 2022 </t>
  </si>
  <si>
    <t>JESÚS NAZARET RAMIREZ ORTIZ</t>
  </si>
  <si>
    <t xml:space="preserve">DGPCYN - 031 - 1704 - 2022 </t>
  </si>
  <si>
    <t>JESÚS RIGOBERTO AX BO</t>
  </si>
  <si>
    <t xml:space="preserve">DGPCYN - 031 - 1705 - 2022 </t>
  </si>
  <si>
    <t>JOEL CHUP (ÚNICO APELLIDO)</t>
  </si>
  <si>
    <t xml:space="preserve">DGPCYN - 031 - 1706 - 2022 </t>
  </si>
  <si>
    <t>JORGE ARNALDO ALVARADO BALONA</t>
  </si>
  <si>
    <t xml:space="preserve">DGPCYN - 031 - 1707 - 2022 </t>
  </si>
  <si>
    <t>JORGE CASTILLO PINEDA</t>
  </si>
  <si>
    <t xml:space="preserve">DGPCYN - 031 - 1708 - 2022 </t>
  </si>
  <si>
    <t>JOSÉ ALBERTO BURGOS MORENO</t>
  </si>
  <si>
    <t xml:space="preserve">DGPCYN - 031 - 1709 - 2022 </t>
  </si>
  <si>
    <t>JOSÉ ALBERTO CARÍAS LÉMUS</t>
  </si>
  <si>
    <t xml:space="preserve">DGPCYN - 031 - 1710 - 2022 </t>
  </si>
  <si>
    <t>JOSÉ ALBERTO JUÁREZ CORADO</t>
  </si>
  <si>
    <t xml:space="preserve">DGPCYN - 031 - 1711 - 2022 </t>
  </si>
  <si>
    <t>JOSÉ ALBERTO PÉREZ PÉREZ</t>
  </si>
  <si>
    <t xml:space="preserve">DGPCYN - 031 - 1712 - 2022 </t>
  </si>
  <si>
    <t>JOSÉ ALFREDO GARCIA RUIZ</t>
  </si>
  <si>
    <t xml:space="preserve">DGPCYN - 031 - 1713 - 2022 </t>
  </si>
  <si>
    <t>JOSÉ ANIBAL RAMÍREZ LIMA</t>
  </si>
  <si>
    <t xml:space="preserve">DGPCYN - 031 - 1714 - 2022 </t>
  </si>
  <si>
    <t>JOSÉ ANTONIO PÉREZ Y PÉREZ</t>
  </si>
  <si>
    <t xml:space="preserve">DGPCYN - 031 - 1715 - 2022 </t>
  </si>
  <si>
    <t>JOSÉ DAVID LIMA GUZMÁN</t>
  </si>
  <si>
    <t xml:space="preserve">DGPCYN - 031 - 1716 - 2022 </t>
  </si>
  <si>
    <t>JOSÉ ELFIDO ALDANA NÚÑEZ</t>
  </si>
  <si>
    <t xml:space="preserve">DGPCYN - 031 - 1718 - 2022 </t>
  </si>
  <si>
    <t>JOSÉ GUILLERMO BARILLAS MONTECINOS</t>
  </si>
  <si>
    <t xml:space="preserve">DGPCYN - 031 - 1719 - 2022 </t>
  </si>
  <si>
    <t>JOSÉ LUIS GREGORIO (ÚNICO APELLIDO)</t>
  </si>
  <si>
    <t xml:space="preserve">DGPCYN - 031 - 1720 - 2022 </t>
  </si>
  <si>
    <t>JOSÉ LUIS REVOLORIO OCHOA</t>
  </si>
  <si>
    <t xml:space="preserve">DGPCYN - 031 - 1721 - 2022 </t>
  </si>
  <si>
    <t>JOSÉ NICOLÁS CANIZALES SALAZAR</t>
  </si>
  <si>
    <t xml:space="preserve">DGPCYN - 031 - 1722 - 2022 </t>
  </si>
  <si>
    <t>JOSÉ RUPERTÓ GALICIA GONZÁLEZ</t>
  </si>
  <si>
    <t xml:space="preserve">DGPCYN - 031 - 1723 - 2022 </t>
  </si>
  <si>
    <t>JOSÉ TOBAR (ÚNICO APELLIDO)</t>
  </si>
  <si>
    <t xml:space="preserve">DGPCYN - 031 - 1725 - 2022 </t>
  </si>
  <si>
    <t>JOSÚE RAMÍREZ MARTÍNEZ</t>
  </si>
  <si>
    <t xml:space="preserve">DGPCYN - 031 - 1726 - 2022 </t>
  </si>
  <si>
    <t>JUAN ANTONIO TESUCÚN CHAYAX</t>
  </si>
  <si>
    <t xml:space="preserve">DGPCYN - 031 - 1727 - 2022 </t>
  </si>
  <si>
    <t>JUAN NORBERTO CAAL OCHAETA</t>
  </si>
  <si>
    <t xml:space="preserve">DGPCYN - 031 - 1728 - 2022 </t>
  </si>
  <si>
    <t>JULIO CÉSAR BOCHOC CEB</t>
  </si>
  <si>
    <t xml:space="preserve">DGPCYN - 031 - 1729 - 2022 </t>
  </si>
  <si>
    <t>JULIO CESAR MISS BAÑOS</t>
  </si>
  <si>
    <t xml:space="preserve">DGPCYN - 031 - 1730 - 2022 </t>
  </si>
  <si>
    <t>JULIO CESAR ROMANO OCHAETA</t>
  </si>
  <si>
    <t xml:space="preserve">DGPCYN - 031 - 1731 - 2022 </t>
  </si>
  <si>
    <t>JULIO NAZARIO PAAU QUIB</t>
  </si>
  <si>
    <t xml:space="preserve">DGPCYN - 031 - 1732 - 2022 </t>
  </si>
  <si>
    <t>KENY DíAZ PEÑA</t>
  </si>
  <si>
    <t xml:space="preserve">DGPCYN - 031 - 1733 - 2022 </t>
  </si>
  <si>
    <t>LEONEL CASTILLO PINEDA</t>
  </si>
  <si>
    <t xml:space="preserve">DGPCYN - 031 - 1735 - 2022 </t>
  </si>
  <si>
    <t>LOIDA ESTER CARÍAS LÉMUS</t>
  </si>
  <si>
    <t xml:space="preserve">DGPCYN - 031 - 1736 - 2022 </t>
  </si>
  <si>
    <t>LUIS ENRIQUE LOBOS BARRIOS</t>
  </si>
  <si>
    <t xml:space="preserve">DGPCYN - 031 - 1737 - 2022 </t>
  </si>
  <si>
    <t>LUIS HUMBERTO LÓPEZ BARRERA</t>
  </si>
  <si>
    <t xml:space="preserve">DGPCYN - 031 - 1738 - 2022 </t>
  </si>
  <si>
    <t>LUIS REYNERIO LÓPEZ MORALES</t>
  </si>
  <si>
    <t xml:space="preserve">DGPCYN - 031 - 1739 - 2022 </t>
  </si>
  <si>
    <t>MANUEL ALFONSO TESUCÚN ALDANA</t>
  </si>
  <si>
    <t xml:space="preserve">DGPCYN - 031 - 1742 - 2022 </t>
  </si>
  <si>
    <t>MANUEL DE JESÚS MIRANDA (ÚNICO APELLIDO)</t>
  </si>
  <si>
    <t xml:space="preserve">DGPCYN - 031 - 1743 - 2022 </t>
  </si>
  <si>
    <t xml:space="preserve">MANUEL DE JESUS QUETZAL CAAL </t>
  </si>
  <si>
    <t xml:space="preserve">DGPCYN - 031 - 1744 - 2022 </t>
  </si>
  <si>
    <t>MANUEL YAT (ÚNICO APELLIDO)</t>
  </si>
  <si>
    <t xml:space="preserve">DGPCYN - 031 - 1745 - 2022 </t>
  </si>
  <si>
    <t>MARCO ANTONIO PAAU QUIB</t>
  </si>
  <si>
    <t xml:space="preserve">DGPCYN - 031 - 1746 - 2022 </t>
  </si>
  <si>
    <t>MARCO TULIO MARROQUIN VALLES</t>
  </si>
  <si>
    <t xml:space="preserve">DGPCYN - 031 - 1747 - 2022 </t>
  </si>
  <si>
    <t>MARCO TULIO POP SÁNCHEZ</t>
  </si>
  <si>
    <t xml:space="preserve">DGPCYN - 031 - 1748 - 2022 </t>
  </si>
  <si>
    <t>MARCOS ALEJANDRO COLLÍ CACAU</t>
  </si>
  <si>
    <t xml:space="preserve">DGPCYN - 031 - 1749 - 2022 </t>
  </si>
  <si>
    <t>MARCOS ANTONIO RAMÍREZ (ÚNICO APELLIDO)</t>
  </si>
  <si>
    <t xml:space="preserve">DGPCYN - 031 - 1750 - 2022 </t>
  </si>
  <si>
    <t>MARÍA LÚZ FLORES VILLAVICENCIO DE LOPEZ</t>
  </si>
  <si>
    <t xml:space="preserve">DGPCYN - 031 - 1751 - 2022 </t>
  </si>
  <si>
    <t>MARIO HUMBERTO NICOLÁS CARDONA</t>
  </si>
  <si>
    <t xml:space="preserve">DGPCYN - 031 - 1752 - 2022 </t>
  </si>
  <si>
    <t>MARVIN AUGUSTO VIVAR ALDANA</t>
  </si>
  <si>
    <t xml:space="preserve">DGPCYN - 031 - 1753 - 2022 </t>
  </si>
  <si>
    <t>MARVIN ROMEO JUÁREZ ARÉVALO</t>
  </si>
  <si>
    <t xml:space="preserve">DGPCYN - 031 - 1754 - 2022 </t>
  </si>
  <si>
    <t>MIGUEL ANGEL CHACÓN CASTILLO</t>
  </si>
  <si>
    <t xml:space="preserve">DGPCYN - 031 - 1755 - 2022 </t>
  </si>
  <si>
    <t>MIGUEL ANGEL POLANCO (ÚNICO APELLIDO)</t>
  </si>
  <si>
    <t xml:space="preserve">DGPCYN - 031 - 1756 - 2022 </t>
  </si>
  <si>
    <t>MIRIAM LORENA MANSILLA CORZO</t>
  </si>
  <si>
    <t xml:space="preserve">DGPCYN - 031 - 1757 - 2022 </t>
  </si>
  <si>
    <t>MYNOR ANTONIO ESCALERA BURGOS</t>
  </si>
  <si>
    <t xml:space="preserve">DGPCYN - 031 - 1758 - 2022 </t>
  </si>
  <si>
    <t>NECTALÍ ISAIAS OLIVEROS CASTELLANOS</t>
  </si>
  <si>
    <t xml:space="preserve">DGPCYN - 031 - 1759 - 2022 </t>
  </si>
  <si>
    <t>NELSON ANTONIO LÓPEZ REYMUNDO</t>
  </si>
  <si>
    <t xml:space="preserve">DGPCYN - 031 - 1760 - 2022 </t>
  </si>
  <si>
    <t>NEPTALÍ RAMOS HERNANDEZ</t>
  </si>
  <si>
    <t xml:space="preserve">DGPCYN - 031 - 1761 - 2022 </t>
  </si>
  <si>
    <t>NESTOR CORDERO PAIZ</t>
  </si>
  <si>
    <t xml:space="preserve">DGPCYN - 031 - 1762 - 2022 </t>
  </si>
  <si>
    <t>NOÉ CARÍAS TRINIDAD</t>
  </si>
  <si>
    <t xml:space="preserve">DGPCYN - 031 - 1763 - 2022 </t>
  </si>
  <si>
    <t>NOÉ YAT SALAN</t>
  </si>
  <si>
    <t xml:space="preserve">DGPCYN - 031 - 1764 - 2022 </t>
  </si>
  <si>
    <t>ODWER ROLANDO HERNÁNDEZ PINELO</t>
  </si>
  <si>
    <t xml:space="preserve">DGPCYN - 031 - 1766 - 2022 </t>
  </si>
  <si>
    <t>ONECIFERO ANTONIO CASTELLANOS GUERRA</t>
  </si>
  <si>
    <t xml:space="preserve">DGPCYN - 031 - 1767 - 2022 </t>
  </si>
  <si>
    <t>ORVAL DARWIN OCH GARCÍA</t>
  </si>
  <si>
    <t xml:space="preserve">DGPCYN - 031 - 1768 - 2022 </t>
  </si>
  <si>
    <t>OSCAR AMILCAR MORALES (ÚNICO APELLIDO)</t>
  </si>
  <si>
    <t xml:space="preserve">DGPCYN - 031 - 1769 - 2022 </t>
  </si>
  <si>
    <t>OSCAR LEONEL GARCÍA ORTIZ</t>
  </si>
  <si>
    <t xml:space="preserve">DGPCYN - 031 - 1770 - 2022 </t>
  </si>
  <si>
    <t>OSCAR LÓPEZ BARRERA</t>
  </si>
  <si>
    <t xml:space="preserve">DGPCYN - 031 - 1771 - 2022 </t>
  </si>
  <si>
    <t>OSCAR ROLANDO MORALES (ÚNICO APELLIDO)</t>
  </si>
  <si>
    <t xml:space="preserve">DGPCYN - 031 - 1772 - 2022 </t>
  </si>
  <si>
    <t>OSWALDO ENRIQUE JOGE SUNTECÚN</t>
  </si>
  <si>
    <t xml:space="preserve">DGPCYN - 031 - 1773 - 2022 </t>
  </si>
  <si>
    <t>OTONIÉL ELEAZAR QUIXCHÁN SINTURIÓN</t>
  </si>
  <si>
    <t xml:space="preserve">DGPCYN - 031 - 1774 - 2022 </t>
  </si>
  <si>
    <t>PASTORA GARCIA AMADOR</t>
  </si>
  <si>
    <t xml:space="preserve">DGPCYN - 031 - 1775 - 2022 </t>
  </si>
  <si>
    <t>PEDRO ALBERTO DELGADO ROSALES</t>
  </si>
  <si>
    <t xml:space="preserve">DGPCYN - 031 - 1776 - 2022 </t>
  </si>
  <si>
    <t>PEDRO ANTONIO RODRIGUEZ AVILA</t>
  </si>
  <si>
    <t xml:space="preserve">DGPCYN - 031 - 1777 - 2022 </t>
  </si>
  <si>
    <t>PLACIDO ALDANA (ÚNICO APELLIDO)</t>
  </si>
  <si>
    <t xml:space="preserve">DGPCYN - 031 - 1778 - 2022 </t>
  </si>
  <si>
    <t>RAÚL ANTONIO GUERRA TORRES</t>
  </si>
  <si>
    <t xml:space="preserve">DGPCYN - 031 - 1779 - 2022 </t>
  </si>
  <si>
    <t>REGINO ARÉVALO CÓRDOVA</t>
  </si>
  <si>
    <t xml:space="preserve">DGPCYN - 031 - 1780 - 2022 </t>
  </si>
  <si>
    <t>RENÉ ALBERTO GÓNGORA SIN</t>
  </si>
  <si>
    <t xml:space="preserve">DGPCYN - 031 - 1781 - 2022 </t>
  </si>
  <si>
    <t>RENÉ ALBERTO MÉNDEZ IPIÑA</t>
  </si>
  <si>
    <t xml:space="preserve">DGPCYN - 031 - 1782 - 2022 </t>
  </si>
  <si>
    <t>REYES AX TUX</t>
  </si>
  <si>
    <t xml:space="preserve">DGPCYN - 031 - 1783 - 2022 </t>
  </si>
  <si>
    <t>REYES MURCIA PEREZ</t>
  </si>
  <si>
    <t xml:space="preserve">DGPCYN - 031 - 1784 - 2022 </t>
  </si>
  <si>
    <t>RICARDO HERNANDEZ DIAZ</t>
  </si>
  <si>
    <t xml:space="preserve">DGPCYN - 031 - 1785 - 2022 </t>
  </si>
  <si>
    <t>ROBERTO QUIIX (ÚNICO APELLIDO)</t>
  </si>
  <si>
    <t xml:space="preserve">DGPCYN - 031 - 1786 - 2022 </t>
  </si>
  <si>
    <t>RODOLFO RAMIREZ VILLANUEVA</t>
  </si>
  <si>
    <t xml:space="preserve">DGPCYN - 031 - 1787 - 2022 </t>
  </si>
  <si>
    <t>ROLANDO GÓMEZ COLINDRES</t>
  </si>
  <si>
    <t xml:space="preserve">DGPCYN - 031 - 1788 - 2022 </t>
  </si>
  <si>
    <t>RONY GUADALUPE AGUILAR OCHAETA</t>
  </si>
  <si>
    <t xml:space="preserve">DGPCYN - 031 - 1789 - 2022 </t>
  </si>
  <si>
    <t>RONY WUILFREDO HERNANDEZ CIFUENTES</t>
  </si>
  <si>
    <t xml:space="preserve">DGPCYN - 031 - 1790 - 2022 </t>
  </si>
  <si>
    <t>ROSA ANTONIA ALVARADO LOBOS</t>
  </si>
  <si>
    <t xml:space="preserve">DGPCYN - 031 - 1791 - 2022 </t>
  </si>
  <si>
    <t>ROSALBA FLORES GUERRA</t>
  </si>
  <si>
    <t xml:space="preserve">DGPCYN - 031 - 1792 - 2022 </t>
  </si>
  <si>
    <t>RUDY MORALES MAYEN</t>
  </si>
  <si>
    <t xml:space="preserve">DGPCYN - 031 - 1793 - 2022 </t>
  </si>
  <si>
    <t>SAMUEL ISAÍAS PÉREZ TZUL</t>
  </si>
  <si>
    <t xml:space="preserve">DGPCYN - 031 - 1794 - 2022 </t>
  </si>
  <si>
    <t>SAMUEL ORTEGA JUAREZ</t>
  </si>
  <si>
    <t xml:space="preserve">DGPCYN - 031 - 1795 - 2022 </t>
  </si>
  <si>
    <t>SAMUEL PEÑA DE LA ROSA</t>
  </si>
  <si>
    <t xml:space="preserve">DGPCYN - 031 - 1796 - 2022 </t>
  </si>
  <si>
    <t>SANTIAGO BATÉN HERNÁNDEZ</t>
  </si>
  <si>
    <t xml:space="preserve">DGPCYN - 031 - 1797 - 2022 </t>
  </si>
  <si>
    <t>SANTIAGO GARCÍA ROMERO</t>
  </si>
  <si>
    <t xml:space="preserve">DGPCYN - 031 - 1798 - 2022 </t>
  </si>
  <si>
    <t>SELVYN GABRIEL TIUL SEB</t>
  </si>
  <si>
    <t xml:space="preserve">DGPCYN - 031 - 1799 - 2022 </t>
  </si>
  <si>
    <t>SERGIO ARNULFO MORALES LUNA</t>
  </si>
  <si>
    <t xml:space="preserve">DGPCYN - 031 - 1800 - 2022 </t>
  </si>
  <si>
    <t>SIMÓN ALBERTO PERALTA PIÑA</t>
  </si>
  <si>
    <t xml:space="preserve">DGPCYN - 031 - 1801 - 2022 </t>
  </si>
  <si>
    <t>SOCORRO WALDEMAR RAMIREZ GUTIERREZ</t>
  </si>
  <si>
    <t xml:space="preserve">DGPCYN - 031 - 1802 - 2022 </t>
  </si>
  <si>
    <t>TOMÁS ANTONIO ESPAÑA NUÑEZ</t>
  </si>
  <si>
    <t xml:space="preserve">DGPCYN - 031 - 1803 - 2022 </t>
  </si>
  <si>
    <t>URBANO CORTÉZ RAMOS</t>
  </si>
  <si>
    <t xml:space="preserve">DGPCYN - 031 - 1804 - 2022 </t>
  </si>
  <si>
    <t>VALENTIN REYES GARCÍA</t>
  </si>
  <si>
    <t xml:space="preserve">DGPCYN - 031 - 1805 - 2022 </t>
  </si>
  <si>
    <t>VICENTE MUCÚ CHOC</t>
  </si>
  <si>
    <t xml:space="preserve">DGPCYN - 031 - 1806 - 2022 </t>
  </si>
  <si>
    <t>VICTOR ABEL URIZAR COSSEMAN</t>
  </si>
  <si>
    <t xml:space="preserve">DGPCYN - 031 - 1807 - 2022 </t>
  </si>
  <si>
    <t>VICTOR FRANCISCO CHATA CORTEZ</t>
  </si>
  <si>
    <t xml:space="preserve">DGPCYN - 031 - 1808 - 2022 </t>
  </si>
  <si>
    <t>VICTOR MARIANO MORALES MONTEJO</t>
  </si>
  <si>
    <t xml:space="preserve">DGPCYN - 031 - 1809 - 2022 </t>
  </si>
  <si>
    <t>VICTOR UBALDO ZAC TESUCÚN</t>
  </si>
  <si>
    <t xml:space="preserve">DGPCYN - 031 - 1810 - 2022 </t>
  </si>
  <si>
    <t>VIRGILIO XITUMUL IXPATA</t>
  </si>
  <si>
    <t xml:space="preserve">DGPCYN - 031 - 1811 - 2022 </t>
  </si>
  <si>
    <t>VIRGINIA DELGADO ROSALES</t>
  </si>
  <si>
    <t xml:space="preserve">DGPCYN - 031 - 1812 - 2022 </t>
  </si>
  <si>
    <t>VIRIATO ANTONIO CORTEZ ZAC</t>
  </si>
  <si>
    <t xml:space="preserve">DGPCYN - 031 - 1813 - 2022 </t>
  </si>
  <si>
    <t>WALDEMAR RODRIGO FLORES GONZÁLEZ</t>
  </si>
  <si>
    <t xml:space="preserve">DGPCYN - 031 - 1814 - 2022 </t>
  </si>
  <si>
    <t>WALTER ANTONIO BARRIENTOS CALDERAS</t>
  </si>
  <si>
    <t xml:space="preserve">DGPCYN - 031 - 1815 - 2022 </t>
  </si>
  <si>
    <t>WALTER MATEO ICÓN</t>
  </si>
  <si>
    <t xml:space="preserve">DGPCYN - 031 - 1816 - 2022 </t>
  </si>
  <si>
    <t>WILIAM ALONZO DEL CID CORRALES</t>
  </si>
  <si>
    <t xml:space="preserve">DGPCYN - 031 - 1817 - 2022 </t>
  </si>
  <si>
    <t>WILMER ROLANDO CAAL FLORES</t>
  </si>
  <si>
    <t xml:space="preserve">DGPCYN - 031 - 1818 - 2022 </t>
  </si>
  <si>
    <t>YUVICZA YOMAIRA MÉNDEZ GALÁN DE CUNIL</t>
  </si>
  <si>
    <t xml:space="preserve">DGPCYN - 031 - 1819 - 2022 </t>
  </si>
  <si>
    <t>JULIO NEEMIAS VÁSQUEZ GUERRA</t>
  </si>
  <si>
    <t>HUGO DAVID VICENTE PAZ</t>
  </si>
  <si>
    <t xml:space="preserve">DGPCYN - 031 - 1820 - 2022 </t>
  </si>
  <si>
    <t>DOUGLAS ESTUARDO CRUZ BONILLA</t>
  </si>
  <si>
    <t xml:space="preserve">DGPCYN - 031 - 620 - 2022 </t>
  </si>
  <si>
    <t>DENNIS RONALDO MELÉNDEZ CABRERA</t>
  </si>
  <si>
    <t xml:space="preserve">DGPCYN - 031 - 621 - 2022 </t>
  </si>
  <si>
    <t>JHONATAN GERARDO SINTÚ MEJÍA</t>
  </si>
  <si>
    <t xml:space="preserve">DGPCYN - 031 - 650 - 2022 </t>
  </si>
  <si>
    <t xml:space="preserve">KATHELYN ROSMERY GARCÍA RAMOS </t>
  </si>
  <si>
    <t>ALEX GUSTAVO FAJARDO HERNÁNDEZ</t>
  </si>
  <si>
    <t>VÍCTOR ESTUARDO SOC (ÚNICO APELLIDO)</t>
  </si>
  <si>
    <t>RUDY ALBERTO ORDOÑEZ GALEANO</t>
  </si>
  <si>
    <t>ACTIVIDAD 8 / SERVICIOS DE CONSERVACIÓN Y RESTAURACIÓN DE BIENES CULTURALES</t>
  </si>
  <si>
    <t>5262 - DEPARTAMENTO DE CONSERVACIÓN Y RESTAURACIÓN DE BIENES CULTURALES - FUENTE 11 - GEOGRÁFICO 0101</t>
  </si>
  <si>
    <t xml:space="preserve">DGPCYN - 031 - 1821 - 2022 </t>
  </si>
  <si>
    <t xml:space="preserve">AUGUSTO COYOY OROZCO </t>
  </si>
  <si>
    <t xml:space="preserve">DGPCYN - 031 - 1822 - 2022 </t>
  </si>
  <si>
    <t>ALFONSO AJANEL CORTÉS</t>
  </si>
  <si>
    <t xml:space="preserve">DGPCYN - 031 - 1823 - 2022 </t>
  </si>
  <si>
    <t>ANDRÉS AVELINO AVILA SIMAJ</t>
  </si>
  <si>
    <t xml:space="preserve">DGPCYN - 031 - 1824 - 2022 </t>
  </si>
  <si>
    <t>ANDRES RAXTÚN PIC</t>
  </si>
  <si>
    <t xml:space="preserve">DGPCYN - 031 - 1825 - 2022 </t>
  </si>
  <si>
    <t>ANDRÉS SOLIS GALLINA</t>
  </si>
  <si>
    <t xml:space="preserve">DGPCYN - 031 - 1826 - 2022 </t>
  </si>
  <si>
    <t>ANGEL SINTO CÚN</t>
  </si>
  <si>
    <t xml:space="preserve">DGPCYN - 031 - 1827 - 2022 </t>
  </si>
  <si>
    <t>ANGEL TUN SABAN</t>
  </si>
  <si>
    <t xml:space="preserve">DGPCYN - 031 - 1828 - 2022 </t>
  </si>
  <si>
    <t>ANSER DENIS CRISTAL MILIÁN</t>
  </si>
  <si>
    <t xml:space="preserve">DGPCYN - 031 - 1829 - 2022 </t>
  </si>
  <si>
    <t>BALDOMERO ARANA RODAS</t>
  </si>
  <si>
    <t xml:space="preserve">DGPCYN - 031 - 1830 - 2022 </t>
  </si>
  <si>
    <t>BARTOLOME CHUNCHUN AJUCHAN</t>
  </si>
  <si>
    <t xml:space="preserve">DGPCYN - 031 - 1831 - 2022 </t>
  </si>
  <si>
    <t>BYRON RENÉ MAYORGA CORTEZ</t>
  </si>
  <si>
    <t xml:space="preserve">DGPCYN - 031 - 1832 - 2022 </t>
  </si>
  <si>
    <t xml:space="preserve">CARLOS BARÁN AJÚ </t>
  </si>
  <si>
    <t xml:space="preserve">DGPCYN - 031 - 1833 - 2022 </t>
  </si>
  <si>
    <t>CARLOS CHALÍ RAXJAL</t>
  </si>
  <si>
    <t xml:space="preserve">DGPCYN - 031 - 1834 - 2022 </t>
  </si>
  <si>
    <t>CARLOS ENRIQUE MARROQUIN ZULETA</t>
  </si>
  <si>
    <t xml:space="preserve">DGPCYN - 031 - 1835 - 2022 </t>
  </si>
  <si>
    <t xml:space="preserve">CARLOS HUMBERTO CHUNCHUN RAMIREZ </t>
  </si>
  <si>
    <t xml:space="preserve">DGPCYN - 031 - 1836 - 2022 </t>
  </si>
  <si>
    <t xml:space="preserve">CEFERINO PAZ CÚMEZ </t>
  </si>
  <si>
    <t xml:space="preserve">DGPCYN - 031 - 1837 - 2022 </t>
  </si>
  <si>
    <t>CEFERINO SEGURA SIRIN</t>
  </si>
  <si>
    <t xml:space="preserve">DGPCYN - 031 - 1838 - 2022 </t>
  </si>
  <si>
    <t>CESAR AUGUSTO MONROY PICHOLÁ</t>
  </si>
  <si>
    <t xml:space="preserve">DGPCYN - 031 - 1839 - 2022 </t>
  </si>
  <si>
    <t>CLEMENTINO TACATÍC RAXÓN</t>
  </si>
  <si>
    <t xml:space="preserve">DGPCYN - 031 - 1841 - 2022 </t>
  </si>
  <si>
    <t>CRISTOBAL CHOGUIX QUINÁ</t>
  </si>
  <si>
    <t xml:space="preserve">DGPCYN - 031 - 1842 - 2022 </t>
  </si>
  <si>
    <t xml:space="preserve">DOMINGO GUZMÁN MAXÍA OTZOY </t>
  </si>
  <si>
    <t xml:space="preserve">DGPCYN - 031 - 1844 - 2022 </t>
  </si>
  <si>
    <t>EDGAR MATEO GODOY</t>
  </si>
  <si>
    <t xml:space="preserve">DGPCYN - 031 - 1845 - 2022 </t>
  </si>
  <si>
    <t>EFRE ANTONIO GARCÍA TUN</t>
  </si>
  <si>
    <t xml:space="preserve">DGPCYN - 031 - 1846 - 2022 </t>
  </si>
  <si>
    <t xml:space="preserve">ELIGIO ANIBAL PABLO MALDONADO </t>
  </si>
  <si>
    <t xml:space="preserve">DGPCYN - 031 - 1847 - 2022 </t>
  </si>
  <si>
    <t>ERICSSON JOSÉ RODRÍGUEZ LÓPEZ</t>
  </si>
  <si>
    <t xml:space="preserve">DGPCYN - 031 - 1848 - 2022 </t>
  </si>
  <si>
    <t>ESTEBAN MUX APÉN</t>
  </si>
  <si>
    <t xml:space="preserve">DGPCYN - 031 - 1849 - 2022 </t>
  </si>
  <si>
    <t>ESTUARDO MAXIMILIANO ESTACUY MENDOZA</t>
  </si>
  <si>
    <t xml:space="preserve">DGPCYN - 031 - 1850 - 2022 </t>
  </si>
  <si>
    <t>EUSEBIO LEÓN ALVAREZ</t>
  </si>
  <si>
    <t xml:space="preserve">DGPCYN - 031 - 1851 - 2022 </t>
  </si>
  <si>
    <t>FEDERICO GARCÍA (ÚNICO APELLIDO)</t>
  </si>
  <si>
    <t xml:space="preserve">DGPCYN - 031 - 1852 - 2022 </t>
  </si>
  <si>
    <t>FELIPE DE JESÚS BAJXAC CHILE</t>
  </si>
  <si>
    <t xml:space="preserve">DGPCYN - 031 - 1853 - 2022 </t>
  </si>
  <si>
    <t>FLORENCIA QUISQUINAY XETEY</t>
  </si>
  <si>
    <t xml:space="preserve">DGPCYN - 031 - 1854 - 2022 </t>
  </si>
  <si>
    <t xml:space="preserve">FRANCISCO ALVARO RAMIREZ SANDOVAL </t>
  </si>
  <si>
    <t xml:space="preserve">DGPCYN - 031 - 1855 - 2022 </t>
  </si>
  <si>
    <t>FRANCISCO JAVIER MARROQUIN (ÚNICO APELLIDO)</t>
  </si>
  <si>
    <t xml:space="preserve">DGPCYN - 031 - 1856 - 2022 </t>
  </si>
  <si>
    <t>FRANCISCO JAVIER MENDOZA LAINES</t>
  </si>
  <si>
    <t xml:space="preserve">DGPCYN - 031 - 1857 - 2022 </t>
  </si>
  <si>
    <t xml:space="preserve">FREDY MAYORGA PÉREZ </t>
  </si>
  <si>
    <t xml:space="preserve">DGPCYN - 031 - 1858 - 2022 </t>
  </si>
  <si>
    <t>GABRIEL ANGEL CUXIL XOCOP</t>
  </si>
  <si>
    <t xml:space="preserve">DGPCYN - 031 - 1859 - 2022 </t>
  </si>
  <si>
    <t>GILBERTO ESAÚ MORALES HICHO</t>
  </si>
  <si>
    <t xml:space="preserve">DGPCYN - 031 - 1860 - 2022 </t>
  </si>
  <si>
    <t xml:space="preserve">HÉCTOR VIAIL ALVAREZ GARAY </t>
  </si>
  <si>
    <t xml:space="preserve">DGPCYN - 031 - 1861 - 2022 </t>
  </si>
  <si>
    <t xml:space="preserve">HUGO DIONEL CHALÍ VALLE </t>
  </si>
  <si>
    <t xml:space="preserve">DGPCYN - 031 - 1862 - 2022 </t>
  </si>
  <si>
    <t>HUGO WILFREDO ESCOBAR MEJÍA</t>
  </si>
  <si>
    <t xml:space="preserve">DGPCYN - 031 - 1863 - 2022 </t>
  </si>
  <si>
    <t>INGRES YANET GARCÍA CARRERA</t>
  </si>
  <si>
    <t xml:space="preserve">DGPCYN - 031 - 1864 - 2022 </t>
  </si>
  <si>
    <t>INGRID ROCIO VEGA LÓPEZ</t>
  </si>
  <si>
    <t xml:space="preserve">DGPCYN - 031 - 1865 - 2022 </t>
  </si>
  <si>
    <t>JACINTO GRIJALVA TOÑO</t>
  </si>
  <si>
    <t xml:space="preserve">DGPCYN - 031 - 1866 - 2022 </t>
  </si>
  <si>
    <t>JESUS VELASQUEZ GUITZ</t>
  </si>
  <si>
    <t xml:space="preserve">DGPCYN - 031 - 1868 - 2022 </t>
  </si>
  <si>
    <t>JOSÉ INÉS BARILLAS TISTA</t>
  </si>
  <si>
    <t xml:space="preserve">DGPCYN - 031 - 1869 - 2022 </t>
  </si>
  <si>
    <t xml:space="preserve">JOSÉ MANUEL ORDÓÑEZ BEN </t>
  </si>
  <si>
    <t xml:space="preserve">DGPCYN - 031 - 1870 - 2022 </t>
  </si>
  <si>
    <t>JOSÉ MARCOS ACUAL CHIQUITÓ</t>
  </si>
  <si>
    <t xml:space="preserve">DGPCYN - 031 - 1871 - 2022 </t>
  </si>
  <si>
    <t>JOSÉ NEMECIO XULÚ OLCOT</t>
  </si>
  <si>
    <t xml:space="preserve">DGPCYN - 031 - 1872 - 2022 </t>
  </si>
  <si>
    <t>JOSÉ RODOLFO ORTÍZ MELARA</t>
  </si>
  <si>
    <t xml:space="preserve">DGPCYN - 031 - 1873 - 2022 </t>
  </si>
  <si>
    <t>JUAN COCÓN YAQUI</t>
  </si>
  <si>
    <t xml:space="preserve">DGPCYN - 031 - 1874 - 2022 </t>
  </si>
  <si>
    <t>JUAN EUGENIO CAP MUCÍA</t>
  </si>
  <si>
    <t xml:space="preserve">DGPCYN - 031 - 1875 - 2022 </t>
  </si>
  <si>
    <t>JUAN TOMAS SOLIS</t>
  </si>
  <si>
    <t xml:space="preserve">DGPCYN - 031 - 1877 - 2022 </t>
  </si>
  <si>
    <t>KARINA MARGOTH MONZÓN CABRERA DE SÁNCHEZ</t>
  </si>
  <si>
    <t xml:space="preserve">DGPCYN - 031 - 1878 - 2022 </t>
  </si>
  <si>
    <t>KEVIN ISAÍ MIJANGOS SANTOS</t>
  </si>
  <si>
    <t xml:space="preserve">DGPCYN - 031 - 1879 - 2022 </t>
  </si>
  <si>
    <t xml:space="preserve">LEONARDO EDWIN BEN GARCÍA </t>
  </si>
  <si>
    <t xml:space="preserve">DGPCYN - 031 - 1880 - 2022 </t>
  </si>
  <si>
    <t xml:space="preserve">LORENZO MORALES CHOCOJ </t>
  </si>
  <si>
    <t xml:space="preserve">DGPCYN - 031 - 1881 - 2022 </t>
  </si>
  <si>
    <t>LOURDES DEL ROSARIO HERRERA MARROQUIN</t>
  </si>
  <si>
    <t xml:space="preserve">DGPCYN - 031 - 1882 - 2022 </t>
  </si>
  <si>
    <t>LUIS FERNANDO PICHIYÁ SIRÍN</t>
  </si>
  <si>
    <t xml:space="preserve">DGPCYN - 031 - 1883 - 2022 </t>
  </si>
  <si>
    <t xml:space="preserve">LUIS FLORENCIO RAXÓN RAXÓN </t>
  </si>
  <si>
    <t xml:space="preserve">DGPCYN - 031 - 1885 - 2022 </t>
  </si>
  <si>
    <t xml:space="preserve">MARCOS GARCIA NOLASCO </t>
  </si>
  <si>
    <t xml:space="preserve">DGPCYN - 031 - 1886 - 2022 </t>
  </si>
  <si>
    <t xml:space="preserve">MARIO AUSBERTO MAXIA OTZOY </t>
  </si>
  <si>
    <t xml:space="preserve">DGPCYN - 031 - 1887 - 2022 </t>
  </si>
  <si>
    <t>MARIO DANIEL MÉNDEZ  (ÚNICO APELLIDO)</t>
  </si>
  <si>
    <t xml:space="preserve">DGPCYN - 031 - 1889 - 2022 </t>
  </si>
  <si>
    <t xml:space="preserve">MARTÍN IBATE BOCEL </t>
  </si>
  <si>
    <t xml:space="preserve">DGPCYN - 031 - 1890 - 2022 </t>
  </si>
  <si>
    <t>MATEO ABRAHAM PELICÓ ZAPETA</t>
  </si>
  <si>
    <t xml:space="preserve">DGPCYN - 031 - 1891 - 2022 </t>
  </si>
  <si>
    <t>NARCISO YOS SIPAC</t>
  </si>
  <si>
    <t xml:space="preserve">DGPCYN - 031 - 1892 - 2022 </t>
  </si>
  <si>
    <t>NIDIA MARICELA LUCERO AGUILAR</t>
  </si>
  <si>
    <t xml:space="preserve">DGPCYN - 031 - 1893 - 2022 </t>
  </si>
  <si>
    <t>OSCAR MANUEL SENTE ZET</t>
  </si>
  <si>
    <t xml:space="preserve">DGPCYN - 031 - 1894 - 2022 </t>
  </si>
  <si>
    <t>OTTO RENE GUZMAN RIOS</t>
  </si>
  <si>
    <t xml:space="preserve">DGPCYN - 031 - 1895 - 2022 </t>
  </si>
  <si>
    <t xml:space="preserve">OVIDIO DE JESÚS PÉREZ GAROZ </t>
  </si>
  <si>
    <t xml:space="preserve">DGPCYN - 031 - 1896 - 2022 </t>
  </si>
  <si>
    <t>PATRICIA DE LOS ANGELES ALEGRIA (ÚNICO APELLIDO)</t>
  </si>
  <si>
    <t xml:space="preserve">DGPCYN - 031 - 1897 - 2022 </t>
  </si>
  <si>
    <t xml:space="preserve">PEDRO GONZALO CURUCHICH CHUTÁ </t>
  </si>
  <si>
    <t xml:space="preserve">DGPCYN - 031 - 1898 - 2022 </t>
  </si>
  <si>
    <t>RAYMUNDO MATEO CHAN</t>
  </si>
  <si>
    <t xml:space="preserve">DGPCYN - 031 - 1899 - 2022 </t>
  </si>
  <si>
    <t xml:space="preserve">RICARDO CHAN LEIVA </t>
  </si>
  <si>
    <t xml:space="preserve">DGPCYN - 031 - 1900 - 2022 </t>
  </si>
  <si>
    <t>RIGOBERTO CHOPOX XEP</t>
  </si>
  <si>
    <t xml:space="preserve">DGPCYN - 031 - 1901 - 2022 </t>
  </si>
  <si>
    <t>RIGOBERTO SALVADOR PINEDA MARTÍNEZ</t>
  </si>
  <si>
    <t xml:space="preserve">DGPCYN - 031 - 1902 - 2022 </t>
  </si>
  <si>
    <t>ROBERTO YAXCAL (ÚNICO APELLIDO)</t>
  </si>
  <si>
    <t xml:space="preserve">DGPCYN - 031 - 1903 - 2022 </t>
  </si>
  <si>
    <t>RODOLFO MAJTZUL YOS</t>
  </si>
  <si>
    <t xml:space="preserve">DGPCYN - 031 - 1905 - 2022 </t>
  </si>
  <si>
    <t xml:space="preserve">RUFINO CHIYAL CHIROY </t>
  </si>
  <si>
    <t xml:space="preserve">DGPCYN - 031 - 1906 - 2022 </t>
  </si>
  <si>
    <t xml:space="preserve">SABINO CALACHIJ GUTIERREZ </t>
  </si>
  <si>
    <t xml:space="preserve">DGPCYN - 031 - 1907 - 2022 </t>
  </si>
  <si>
    <t>SANTOS AJCUC XUYÁ</t>
  </si>
  <si>
    <t xml:space="preserve">DGPCYN - 031 - 1908 - 2022 </t>
  </si>
  <si>
    <t>SIXSTO FILIBERTO CABRERA AGUILAR</t>
  </si>
  <si>
    <t xml:space="preserve">DGPCYN - 031 - 1909 - 2022 </t>
  </si>
  <si>
    <t xml:space="preserve">SOFIO ESTEBAN CUC SAPÓN </t>
  </si>
  <si>
    <t xml:space="preserve">DGPCYN - 031 - 1910 - 2022 </t>
  </si>
  <si>
    <t>TOMAS OSORIO CHIVALAN</t>
  </si>
  <si>
    <t xml:space="preserve">DGPCYN - 031 - 1911 - 2022 </t>
  </si>
  <si>
    <t xml:space="preserve">TRINIDAD COROXÓN CHIYAL </t>
  </si>
  <si>
    <t xml:space="preserve">DGPCYN - 031 - 1912 - 2022 </t>
  </si>
  <si>
    <t>VÍCTOR HUGO TUN CRISTAL</t>
  </si>
  <si>
    <t xml:space="preserve">DGPCYN - 031 - 1914 - 2022 </t>
  </si>
  <si>
    <t xml:space="preserve">WILLIAMS BLADIMIRO ALVARADO MONTERROSO </t>
  </si>
  <si>
    <t xml:space="preserve">DGPCYN - 031 - 1915 - 2022 </t>
  </si>
  <si>
    <t xml:space="preserve">MARDOQUEO PETZ GARCIA </t>
  </si>
  <si>
    <t xml:space="preserve">DGPCYN - 031 - 1916 - 2022 </t>
  </si>
  <si>
    <t>NOHELIA CARDONA MARROQUÍN</t>
  </si>
  <si>
    <t xml:space="preserve">DGPCYN - 031 - 1918 - 2022 </t>
  </si>
  <si>
    <t>LESLI ANDREA SIAN CANIZ</t>
  </si>
  <si>
    <t xml:space="preserve">DGPCYN - 031 - 232 - 2022 </t>
  </si>
  <si>
    <t>GILMAR ESTUARDO SALAZAR CARRILLO</t>
  </si>
  <si>
    <t xml:space="preserve">DGPCYN - 031 - 233 - 2022 </t>
  </si>
  <si>
    <t>SAQ KOT MARVIN GUSTAVO LUX RODRÍGEZ</t>
  </si>
  <si>
    <t xml:space="preserve">DGPCYN - 031 - 623 - 2022 </t>
  </si>
  <si>
    <t>JONATHÁN ULISES CHIYAL YAC</t>
  </si>
  <si>
    <t xml:space="preserve">DGPCYN - 031 - 624 - 2022 </t>
  </si>
  <si>
    <t>EDVIN ALEJANDRO CUC GONZÁLES</t>
  </si>
  <si>
    <t xml:space="preserve">DGPCYN - 031 - 625 - 2022 </t>
  </si>
  <si>
    <t>HELCÍAS MISAEL CUC PÉREZ</t>
  </si>
  <si>
    <t xml:space="preserve">DGPCYN - 031 - 626 - 2022 </t>
  </si>
  <si>
    <t>WUILY ENRIQUE TZORÍN VELÁSQUEZ</t>
  </si>
  <si>
    <t xml:space="preserve">DGPCYN - 031 - 628 - 2022 </t>
  </si>
  <si>
    <t>HÉCTOR MARIO CRÚZ ESTACUY</t>
  </si>
  <si>
    <t>OTTO PEREZ AGUILAR</t>
  </si>
  <si>
    <t>MAX GREGORIO RUÍZ ROSALES</t>
  </si>
  <si>
    <t>EDDY SANTIAGO PEREZ TELLEZ</t>
  </si>
  <si>
    <t xml:space="preserve">DGPCYN - 031 - 1919 - 2022 </t>
  </si>
  <si>
    <t>GILMAR ASDRUVAL MENDEZ PAZ</t>
  </si>
  <si>
    <t xml:space="preserve">DGPCYN - 031 - 1920 - 2022 </t>
  </si>
  <si>
    <t>DANIEL ANTONIO DE LEÓN RUÍZ</t>
  </si>
  <si>
    <t xml:space="preserve">DGPCYN - 031 - 1921 - 2022 </t>
  </si>
  <si>
    <t>EDGAR VLADIMIR DIVAS ZETA</t>
  </si>
  <si>
    <t xml:space="preserve">DGPCYN - 031 - 1922 - 2022 </t>
  </si>
  <si>
    <t>MARTA ALEJANDRA CORDERO PÉREZ</t>
  </si>
  <si>
    <t xml:space="preserve">DGPCYN - 031 - 1923 - 2022 </t>
  </si>
  <si>
    <t>ANGEL DAVID MAZARIEGOS FLORES</t>
  </si>
  <si>
    <t xml:space="preserve">DGPCYN - 031 - 1924 - 2022 </t>
  </si>
  <si>
    <t>ANA DESIREÉ MELGAR GORDILLO</t>
  </si>
  <si>
    <t xml:space="preserve">DGPCYN - 031 - 1925 - 2022 </t>
  </si>
  <si>
    <t>JULIO OSWALDO OSMELL TALE ROSALES</t>
  </si>
  <si>
    <t xml:space="preserve">DGPCYN - 031 - 1926 - 2022 </t>
  </si>
  <si>
    <t>ABELARDO SANDOVAL GARCÍA</t>
  </si>
  <si>
    <t xml:space="preserve">DGPCYN - 031 - 1927 - 2022 </t>
  </si>
  <si>
    <t>ABELINO GARCIA NUFIO</t>
  </si>
  <si>
    <t xml:space="preserve">DGPCYN - 031 - 1928 - 2022 </t>
  </si>
  <si>
    <t>ABRAHÁN JIMENEZ DUBÓN</t>
  </si>
  <si>
    <t xml:space="preserve">DGPCYN - 031 - 1929 - 2022 </t>
  </si>
  <si>
    <t>ALBARO ENRIQUE MARTÍNEZ RAMOS</t>
  </si>
  <si>
    <t xml:space="preserve">DGPCYN - 031 - 1930 - 2022 </t>
  </si>
  <si>
    <t>ALEX ESTUARDO RIVERA TUT</t>
  </si>
  <si>
    <t xml:space="preserve">DGPCYN - 031 - 1931 - 2022 </t>
  </si>
  <si>
    <t>ALFREDO ROLANDO ESTRADA RAMÓN</t>
  </si>
  <si>
    <t xml:space="preserve">DGPCYN - 031 - 1932 - 2022 </t>
  </si>
  <si>
    <t>ANDRES LÓPEZ PÉREZ</t>
  </si>
  <si>
    <t xml:space="preserve">DGPCYN - 031 - 1933 - 2022 </t>
  </si>
  <si>
    <t>ANDRES POP CUCUL</t>
  </si>
  <si>
    <t xml:space="preserve">DGPCYN - 031 - 1934 - 2022 </t>
  </si>
  <si>
    <t>ANGEL ARTURO ALVARADO TZIN</t>
  </si>
  <si>
    <t xml:space="preserve">DGPCYN - 031 - 1935 - 2022 </t>
  </si>
  <si>
    <t>ANGEL JACOBO MANZANERO ALDANA</t>
  </si>
  <si>
    <t xml:space="preserve">DGPCYN - 031 - 1936 - 2022 </t>
  </si>
  <si>
    <t>ANSELMO GALEANO XAC CHOC</t>
  </si>
  <si>
    <t xml:space="preserve">DGPCYN - 031 - 1937 - 2022 </t>
  </si>
  <si>
    <t>ANTONIO RODAS VALENZUELA</t>
  </si>
  <si>
    <t xml:space="preserve">DGPCYN - 031 - 1938 - 2022 </t>
  </si>
  <si>
    <t>ANTONIO YAT YAT</t>
  </si>
  <si>
    <t xml:space="preserve">DGPCYN - 031 - 1939 - 2022 </t>
  </si>
  <si>
    <t>ARMANDO DE JESÚS LEMUS FERNÁNDEZ</t>
  </si>
  <si>
    <t xml:space="preserve">DGPCYN - 031 - 1940 - 2022 </t>
  </si>
  <si>
    <t>ARNULFO AGUSTÍN OCHAETA SALINAS</t>
  </si>
  <si>
    <t xml:space="preserve">DGPCYN - 031 - 1941 - 2022 </t>
  </si>
  <si>
    <t>ARNULFO WILFREDO OCHAETA LÓPEZ</t>
  </si>
  <si>
    <t xml:space="preserve">DGPCYN - 031 - 1942 - 2022 </t>
  </si>
  <si>
    <t>ASISCLO MERCEDES ALVARADO RODRÍGUEZ</t>
  </si>
  <si>
    <t xml:space="preserve">DGPCYN - 031 - 1943 - 2022 </t>
  </si>
  <si>
    <t>AUGUSTIN GERONIMO (ÚNICO APELLIDO)</t>
  </si>
  <si>
    <t xml:space="preserve">DGPCYN - 031 - 1944 - 2022 </t>
  </si>
  <si>
    <t>AUNER FIDEL TEO PINEDA</t>
  </si>
  <si>
    <t xml:space="preserve">DGPCYN - 031 - 1945 - 2022 </t>
  </si>
  <si>
    <t>AUNER ISAU TEO RODRÍGUEZ</t>
  </si>
  <si>
    <t xml:space="preserve">DGPCYN - 031 - 1946 - 2022 </t>
  </si>
  <si>
    <t>AVINAEL GIRÓN SÁNCHEZ</t>
  </si>
  <si>
    <t xml:space="preserve">DGPCYN - 031 - 1947 - 2022 </t>
  </si>
  <si>
    <t>BARTOLO RAMON LÓPEZ CHAN</t>
  </si>
  <si>
    <t xml:space="preserve">DGPCYN - 031 - 1948 - 2022 </t>
  </si>
  <si>
    <t>BENJAMÍN GRANADOS XO</t>
  </si>
  <si>
    <t xml:space="preserve">DGPCYN - 031 - 1949 - 2022 </t>
  </si>
  <si>
    <t>BERNARDO ALEJANDRO QUIXCHÁN COHUOJ</t>
  </si>
  <si>
    <t xml:space="preserve">DGPCYN - 031 - 1950 - 2022 </t>
  </si>
  <si>
    <t>CARLOS CHOC (ÚNICO APELLIDO)</t>
  </si>
  <si>
    <t xml:space="preserve">DGPCYN - 031 - 1951 - 2022 </t>
  </si>
  <si>
    <t>CARLOS ENRIQUES HERNÁNDEZ SUCUB</t>
  </si>
  <si>
    <t xml:space="preserve">DGPCYN - 031 - 1953 - 2022 </t>
  </si>
  <si>
    <t>CARLOS MODESTO OBANDO ALVARADO</t>
  </si>
  <si>
    <t xml:space="preserve">DGPCYN - 031 - 1954 - 2022 </t>
  </si>
  <si>
    <t>CÁRMEN ALBERTO LIMA LORENZO</t>
  </si>
  <si>
    <t xml:space="preserve">DGPCYN - 031 - 1955 - 2022 </t>
  </si>
  <si>
    <t>CECILIO CASTRO PÉREZ</t>
  </si>
  <si>
    <t xml:space="preserve">DGPCYN - 031 - 1956 - 2022 </t>
  </si>
  <si>
    <t>CELSO ALBERTO CAZÚN MEJÍA</t>
  </si>
  <si>
    <t xml:space="preserve">DGPCYN - 031 - 1957 - 2022 </t>
  </si>
  <si>
    <t>CESAR AMILCAR CHAYAX SACAL</t>
  </si>
  <si>
    <t xml:space="preserve">DGPCYN - 031 - 1958 - 2022 </t>
  </si>
  <si>
    <t>CESAR AUGUSTO ACUÑA (ÚNICO APELLIDO)</t>
  </si>
  <si>
    <t xml:space="preserve">DGPCYN - 031 - 1959 - 2022 </t>
  </si>
  <si>
    <t>DANILO CHABLÉ QUIXCHÁN</t>
  </si>
  <si>
    <t xml:space="preserve">DGPCYN - 031 - 1961 - 2022 </t>
  </si>
  <si>
    <t>DAVID ESTUARDO OCHAETA SIN</t>
  </si>
  <si>
    <t xml:space="preserve">DGPCYN - 031 - 1962 - 2022 </t>
  </si>
  <si>
    <t xml:space="preserve">DAYRIN ESTEFANY ORDOÑEZ CASTAÑEDA </t>
  </si>
  <si>
    <t xml:space="preserve">DGPCYN - 031 - 1963 - 2022 </t>
  </si>
  <si>
    <t>DOMINGO DUBON REYES</t>
  </si>
  <si>
    <t xml:space="preserve">DGPCYN - 031 - 1964 - 2022 </t>
  </si>
  <si>
    <t>EDELMIRO REGINALDO COHUOJ GÁLVEZ</t>
  </si>
  <si>
    <t xml:space="preserve">DGPCYN - 031 - 1965 - 2022 </t>
  </si>
  <si>
    <t>EDGAR AUGUSTO RAMOS (ÚNICO APELLIDO)</t>
  </si>
  <si>
    <t xml:space="preserve">DGPCYN - 031 - 1966 - 2022 </t>
  </si>
  <si>
    <t>EDUARDO PABLO CALO</t>
  </si>
  <si>
    <t xml:space="preserve">DGPCYN - 031 - 1967 - 2022 </t>
  </si>
  <si>
    <t xml:space="preserve">ELADIO URÍZAR ARÉVALO </t>
  </si>
  <si>
    <t xml:space="preserve">DGPCYN - 031 - 1968 - 2022 </t>
  </si>
  <si>
    <t>ELFEDO ELIÚ ABZÚN ASENCIO</t>
  </si>
  <si>
    <t xml:space="preserve">DGPCYN - 031 - 1969 - 2022 </t>
  </si>
  <si>
    <t>ELIO ENEHI SORTO DIAZ</t>
  </si>
  <si>
    <t xml:space="preserve">DGPCYN - 031 - 1970 - 2022 </t>
  </si>
  <si>
    <t>EMILIANO RAMIREZ SÚCHITE</t>
  </si>
  <si>
    <t xml:space="preserve">DGPCYN - 031 - 1971 - 2022 </t>
  </si>
  <si>
    <t>ERASMO ALBERTO MARTINEZ GÓMEZ</t>
  </si>
  <si>
    <t xml:space="preserve">DGPCYN - 031 - 1972 - 2022 </t>
  </si>
  <si>
    <t>ERLOS BINICIO SALINAS LÓPEZ</t>
  </si>
  <si>
    <t xml:space="preserve">DGPCYN - 031 - 1973 - 2022 </t>
  </si>
  <si>
    <t>ERNESTO RECINOS PÉREZ</t>
  </si>
  <si>
    <t xml:space="preserve">DGPCYN - 031 - 1974 - 2022 </t>
  </si>
  <si>
    <t>ERWIN BELTRÁN GONZÁLEZ</t>
  </si>
  <si>
    <t xml:space="preserve">DGPCYN - 031 - 1975 - 2022 </t>
  </si>
  <si>
    <t>ESTUARDO ERLÍNDES TESUCÚN TZUL</t>
  </si>
  <si>
    <t xml:space="preserve">DGPCYN - 031 - 1976 - 2022 </t>
  </si>
  <si>
    <t xml:space="preserve">FELIPE PÉREZ PELÁEZ </t>
  </si>
  <si>
    <t xml:space="preserve">DGPCYN - 031 - 1977 - 2022 </t>
  </si>
  <si>
    <t>FERMIN LÓPEZ UMUL</t>
  </si>
  <si>
    <t xml:space="preserve">DGPCYN - 031 - 1978 - 2022 </t>
  </si>
  <si>
    <t>FERNANDO LUTIN HERRARTE</t>
  </si>
  <si>
    <t xml:space="preserve">DGPCYN - 031 - 1979 - 2022 </t>
  </si>
  <si>
    <t>FIDENCIO RAMÍREZ SEGURA</t>
  </si>
  <si>
    <t xml:space="preserve">DGPCYN - 031 - 1980 - 2022 </t>
  </si>
  <si>
    <t>FLABIO BELTRÁN HERNÁNDEZ</t>
  </si>
  <si>
    <t xml:space="preserve">DGPCYN - 031 - 1981 - 2022 </t>
  </si>
  <si>
    <t>FLORENCIO ANASTACIO ALVARO ALVARADO RODRÍGUEZ</t>
  </si>
  <si>
    <t xml:space="preserve">DGPCYN - 031 - 1982 - 2022 </t>
  </si>
  <si>
    <t>FLORENCIO MELGAR GONZÁLEZ</t>
  </si>
  <si>
    <t xml:space="preserve">DGPCYN - 031 - 1983 - 2022 </t>
  </si>
  <si>
    <t>FREDDY IZIDRO JIMENEZ AGUIRRE</t>
  </si>
  <si>
    <t xml:space="preserve">DGPCYN - 031 - 1984 - 2022 </t>
  </si>
  <si>
    <t>FREDY ANTONIO RAMÍREZ BALDIZÓN</t>
  </si>
  <si>
    <t xml:space="preserve">DGPCYN - 031 - 1985 - 2022 </t>
  </si>
  <si>
    <t>FREDY ANTONIO ZACARÍAS PÉREZ</t>
  </si>
  <si>
    <t xml:space="preserve">DGPCYN - 031 - 1986 - 2022 </t>
  </si>
  <si>
    <t>FREDY ISMAEL FUENTES REYES</t>
  </si>
  <si>
    <t xml:space="preserve">DGPCYN - 031 - 1987 - 2022 </t>
  </si>
  <si>
    <t>HAROLDO VENERANDO TESUCÚN VITZIL</t>
  </si>
  <si>
    <t xml:space="preserve">DGPCYN - 031 - 1988 - 2022 </t>
  </si>
  <si>
    <t>HECTOR ANTONIO NÁJERA ALONZO</t>
  </si>
  <si>
    <t xml:space="preserve">DGPCYN - 031 - 1989 - 2022 </t>
  </si>
  <si>
    <t>HECTOR GABRIEL HURTARTE GÓMEZ</t>
  </si>
  <si>
    <t xml:space="preserve">DGPCYN - 031 - 1990 - 2022 </t>
  </si>
  <si>
    <t>HELIO ESTALÍ COHUOJ ZACAL</t>
  </si>
  <si>
    <t xml:space="preserve">DGPCYN - 031 - 1991 - 2022 </t>
  </si>
  <si>
    <t>HERMELINDO JUÁREZ COJÓN</t>
  </si>
  <si>
    <t xml:space="preserve">DGPCYN - 031 - 1992 - 2022 </t>
  </si>
  <si>
    <t>HIGINIO PELAES DE LEÓN</t>
  </si>
  <si>
    <t xml:space="preserve">DGPCYN - 031 - 1993 - 2022 </t>
  </si>
  <si>
    <t>HORACIO PALACIOS DÍAZ</t>
  </si>
  <si>
    <t xml:space="preserve">DGPCYN - 031 - 1994 - 2022 </t>
  </si>
  <si>
    <t>HUBER RUDEL LÓPEZ MARTÍNEZ</t>
  </si>
  <si>
    <t xml:space="preserve">DGPCYN - 031 - 1995 - 2022 </t>
  </si>
  <si>
    <t>HUGO ISMAEL CORZO SAQUIJ</t>
  </si>
  <si>
    <t xml:space="preserve">DGPCYN - 031 - 1996 - 2022 </t>
  </si>
  <si>
    <t>ISAÍAS GARCÍA AGUILAR</t>
  </si>
  <si>
    <t xml:space="preserve">DGPCYN - 031 - 1997 - 2022 </t>
  </si>
  <si>
    <t>ISAIAS GARCIA DIAZ</t>
  </si>
  <si>
    <t xml:space="preserve">DGPCYN - 031 - 1998 - 2022 </t>
  </si>
  <si>
    <t>ISIDRO ESQUIVEL Y ESQUIVEL</t>
  </si>
  <si>
    <t xml:space="preserve">DGPCYN - 031 - 1999 - 2022 </t>
  </si>
  <si>
    <t>ISMAEL SANABRIA (ÚNICO APELLIDO)</t>
  </si>
  <si>
    <t xml:space="preserve">DGPCYN - 031 - 2000 - 2022 </t>
  </si>
  <si>
    <t>ISRAEL ROQUE CASTILLO</t>
  </si>
  <si>
    <t xml:space="preserve">DGPCYN - 031 - 2001 - 2022 </t>
  </si>
  <si>
    <t>JAIME SANTIAGO CARÍAS FLORES</t>
  </si>
  <si>
    <t xml:space="preserve">DGPCYN - 031 - 2002 - 2022 </t>
  </si>
  <si>
    <t>JAIRO ARNOLDO QUIXCHÁN GARRIDO</t>
  </si>
  <si>
    <t xml:space="preserve">DGPCYN - 031 - 2003 - 2022 </t>
  </si>
  <si>
    <t>JOEL PÉREZ PÉREZ</t>
  </si>
  <si>
    <t xml:space="preserve">DGPCYN - 031 - 2004 - 2022 </t>
  </si>
  <si>
    <t>JORGE ALBERTO ALDANA QUIXCHÁN</t>
  </si>
  <si>
    <t xml:space="preserve">DGPCYN - 031 - 2005 - 2022 </t>
  </si>
  <si>
    <t>JORGE ALFREDO CANTÉ MEJIA</t>
  </si>
  <si>
    <t xml:space="preserve">DGPCYN - 031 - 2007 - 2022 </t>
  </si>
  <si>
    <t>JORGE HUMBERTO ORANTES DEL CID</t>
  </si>
  <si>
    <t xml:space="preserve">DGPCYN - 031 - 2008 - 2022 </t>
  </si>
  <si>
    <t>JORGE ORLANDO GARCÍA LORENZO</t>
  </si>
  <si>
    <t xml:space="preserve">DGPCYN - 031 - 2009 - 2022 </t>
  </si>
  <si>
    <t>JORGE ORLANDO REYES RUÍZ</t>
  </si>
  <si>
    <t xml:space="preserve">DGPCYN - 031 - 2010 - 2022 </t>
  </si>
  <si>
    <t>JORGE PINEDA JULIÁN</t>
  </si>
  <si>
    <t>SUBE A 75 EN AGOSTO</t>
  </si>
  <si>
    <t xml:space="preserve">DGPCYN - 031 - 2011 - 2022 </t>
  </si>
  <si>
    <t>JOSÉ ALFREDO GONZÁLEZ VÁSQUEZ</t>
  </si>
  <si>
    <t xml:space="preserve">DGPCYN - 031 - 2012 - 2022 </t>
  </si>
  <si>
    <t>JOSÉ ARMANDO SUNTECÚN ZACAL</t>
  </si>
  <si>
    <t xml:space="preserve">DGPCYN - 031 - 2013 - 2022 </t>
  </si>
  <si>
    <t>JOSÉ CAAL COC</t>
  </si>
  <si>
    <t xml:space="preserve">DGPCYN - 031 - 2014 - 2022 </t>
  </si>
  <si>
    <t>JOSÉ ELEODORO OBANDO ALVARADO</t>
  </si>
  <si>
    <t xml:space="preserve">DGPCYN - 031 - 2015 - 2022 </t>
  </si>
  <si>
    <t>JOSE GUILLERMO BORJAS (ÚNICO APELLIDO)</t>
  </si>
  <si>
    <t xml:space="preserve">DGPCYN - 031 - 2016 - 2022 </t>
  </si>
  <si>
    <t>JOSÉ LUIS DIAZ PAREDES</t>
  </si>
  <si>
    <t xml:space="preserve">DGPCYN - 031 - 2017 - 2022 </t>
  </si>
  <si>
    <t>JOSÉ MATÍAS CHÁN PAZ</t>
  </si>
  <si>
    <t xml:space="preserve">DGPCYN - 031 - 2018 - 2022 </t>
  </si>
  <si>
    <t>JOSÉ NESTOR ROQUE RAMOS</t>
  </si>
  <si>
    <t xml:space="preserve">DGPCYN - 031 - 2019 - 2022 </t>
  </si>
  <si>
    <t>JOSÉ RODRIGO CENTENO MANZANERO</t>
  </si>
  <si>
    <t xml:space="preserve">DGPCYN - 031 - 2020 - 2022 </t>
  </si>
  <si>
    <t>JOSÉ SANTOS SOZA MUÑOZ</t>
  </si>
  <si>
    <t xml:space="preserve">DGPCYN - 031 - 2021 - 2022 </t>
  </si>
  <si>
    <t>JOSÉ VICTOR RAMÍREZ DÍAZ</t>
  </si>
  <si>
    <t xml:space="preserve">DGPCYN - 031 - 2022 - 2022 </t>
  </si>
  <si>
    <t>JUAN ANTONIO DAMIAN MENDEZ</t>
  </si>
  <si>
    <t xml:space="preserve">DGPCYN - 031 - 2024 - 2022 </t>
  </si>
  <si>
    <t>JUAN CÚ</t>
  </si>
  <si>
    <t xml:space="preserve">DGPCYN - 031 - 2025 - 2022 </t>
  </si>
  <si>
    <t>JUAN JUÁREZ ROMERO</t>
  </si>
  <si>
    <t>SUBE A 75  EN OCTUBRE</t>
  </si>
  <si>
    <t xml:space="preserve">DGPCYN - 031 - 2026 - 2022 </t>
  </si>
  <si>
    <t>JULIO ROBERTO GÓMEZ DIAZ</t>
  </si>
  <si>
    <t xml:space="preserve">DGPCYN - 031 - 2027 - 2022 </t>
  </si>
  <si>
    <t>LAZARO CESILIO RODRÍGUEZ TZIN</t>
  </si>
  <si>
    <t xml:space="preserve">DGPCYN - 031 - 2028 - 2022 </t>
  </si>
  <si>
    <t>LUIS ALONZO FLORES MENJIVAR</t>
  </si>
  <si>
    <t xml:space="preserve">DGPCYN - 031 - 2029 - 2022 </t>
  </si>
  <si>
    <t>LUIS ANTEMIO SOZA MUÑOZ</t>
  </si>
  <si>
    <t xml:space="preserve">DGPCYN - 031 - 2030 - 2022 </t>
  </si>
  <si>
    <t>LUIS ENRIQUE SUNTECÚN ZACAL</t>
  </si>
  <si>
    <t xml:space="preserve">DGPCYN - 031 - 2031 - 2022 </t>
  </si>
  <si>
    <t>LUIS FERNANDO LÓPEZ GUZMÁN</t>
  </si>
  <si>
    <t xml:space="preserve">DGPCYN - 031 - 2032 - 2022 </t>
  </si>
  <si>
    <t>LUIS NEXTALI COHUOJ CHAYAX</t>
  </si>
  <si>
    <t xml:space="preserve">DGPCYN - 031 - 2033 - 2022 </t>
  </si>
  <si>
    <t>LUIS ROBERTO CHÍ LAINEZ</t>
  </si>
  <si>
    <t xml:space="preserve">DGPCYN - 031 - 2034 - 2022 </t>
  </si>
  <si>
    <t>LUPERCIO FRANCISCO QUIXCHÁN GÉ</t>
  </si>
  <si>
    <t xml:space="preserve">DGPCYN - 031 - 2035 - 2022 </t>
  </si>
  <si>
    <t>MARCO ANTONIO ESQUIVEL ESPINO</t>
  </si>
  <si>
    <t xml:space="preserve">DGPCYN - 031 - 2036 - 2022 </t>
  </si>
  <si>
    <t>MARCO TULIO MÉNDEZ VELÁSQUEZ</t>
  </si>
  <si>
    <t xml:space="preserve">DGPCYN - 031 - 2037 - 2022 </t>
  </si>
  <si>
    <t>MARIANO ANTONIO CATALÁN (ÚNICO APELLIDO)</t>
  </si>
  <si>
    <t xml:space="preserve">DGPCYN - 031 - 2039 - 2022 </t>
  </si>
  <si>
    <t>MARIO RENÉ CACHE SALAZAR</t>
  </si>
  <si>
    <t xml:space="preserve">DGPCYN - 031 - 2040 - 2022 </t>
  </si>
  <si>
    <t>MARVIN ALVARENGA PORTILLO</t>
  </si>
  <si>
    <t xml:space="preserve">DGPCYN - 031 - 2041 - 2022 </t>
  </si>
  <si>
    <t>MARVIN OTONIEL MEDINA HERNANDEZ</t>
  </si>
  <si>
    <t xml:space="preserve">DGPCYN - 031 - 2042 - 2022 </t>
  </si>
  <si>
    <t>MELVIN ENRIQUE LÓPEZ MORALES</t>
  </si>
  <si>
    <t xml:space="preserve">DGPCYN - 031 - 2043 - 2022 </t>
  </si>
  <si>
    <t>MIGUEL ANGEL DE JESÚS VALENTÍN ALVARADO</t>
  </si>
  <si>
    <t xml:space="preserve">DGPCYN - 031 - 2044 - 2022 </t>
  </si>
  <si>
    <t>MIGUEL ANGEL ORANTES GONZÁLEZ</t>
  </si>
  <si>
    <t xml:space="preserve">DGPCYN - 031 - 2045 - 2022 </t>
  </si>
  <si>
    <t>MIGUEL ARTURO MEX CHAYAX</t>
  </si>
  <si>
    <t xml:space="preserve">DGPCYN - 031 - 2046 - 2022 </t>
  </si>
  <si>
    <t>MIGUEL ESTUARDO GÓMEZ PINELO</t>
  </si>
  <si>
    <t xml:space="preserve">DGPCYN - 031 - 2047 - 2022 </t>
  </si>
  <si>
    <t>MIZAEL SALAZAR MONTESFLORES</t>
  </si>
  <si>
    <t xml:space="preserve">DGPCYN - 031 - 2048 - 2022 </t>
  </si>
  <si>
    <t>NERY LEONEL MARROQUÍN TOBAR</t>
  </si>
  <si>
    <t xml:space="preserve">DGPCYN - 031 - 2049 - 2022 </t>
  </si>
  <si>
    <t>NOÉ ISAIAS ZARAX OBANDO</t>
  </si>
  <si>
    <t xml:space="preserve">DGPCYN - 031 - 2050 - 2022 </t>
  </si>
  <si>
    <t>NOEL REYES QUIXCHÁN GÉ</t>
  </si>
  <si>
    <t xml:space="preserve">DGPCYN - 031 - 2051 - 2022 </t>
  </si>
  <si>
    <t>OLGA LIDIA LOPEZ RAMOS</t>
  </si>
  <si>
    <t xml:space="preserve">DGPCYN - 031 - 2052 - 2022 </t>
  </si>
  <si>
    <t>OSCAR ARNOLDO AGUILAR JUÁREZ</t>
  </si>
  <si>
    <t xml:space="preserve">DGPCYN - 031 - 2053 - 2022 </t>
  </si>
  <si>
    <t>OSCAR ORLANDO QUIXCHÁN CHATÁ</t>
  </si>
  <si>
    <t xml:space="preserve">DGPCYN - 031 - 2054 - 2022 </t>
  </si>
  <si>
    <t>PAULO ANDRES NAJERA AGUSTÍN</t>
  </si>
  <si>
    <t xml:space="preserve">DGPCYN - 031 - 2055 - 2022 </t>
  </si>
  <si>
    <t>PRUDENCIO ESPINO TOBAR</t>
  </si>
  <si>
    <t xml:space="preserve">DGPCYN - 031 - 2056 - 2022 </t>
  </si>
  <si>
    <t>RAMÓN VICTORIANO CANTÉ COHUOJ</t>
  </si>
  <si>
    <t xml:space="preserve">DGPCYN - 031 - 2057 - 2022 </t>
  </si>
  <si>
    <t>RENÉ LUCERO DONIS</t>
  </si>
  <si>
    <t xml:space="preserve">DGPCYN - 031 - 2058 - 2022 </t>
  </si>
  <si>
    <t>REY DAVID GIRÓN GODOY</t>
  </si>
  <si>
    <t xml:space="preserve">DGPCYN - 031 - 2059 - 2022 </t>
  </si>
  <si>
    <t>RICARDO ICAL POP</t>
  </si>
  <si>
    <t xml:space="preserve">DGPCYN - 031 - 2060 - 2022 </t>
  </si>
  <si>
    <t>RIGOBERTO CHOC BÓ</t>
  </si>
  <si>
    <t xml:space="preserve">DGPCYN - 031 - 2061 - 2022 </t>
  </si>
  <si>
    <t>RIGOBERTO PAN YAT</t>
  </si>
  <si>
    <t xml:space="preserve">DGPCYN - 031 - 2062 - 2022 </t>
  </si>
  <si>
    <t>ROBERTO OSORIO JIMÉNEZ</t>
  </si>
  <si>
    <t xml:space="preserve">DGPCYN - 031 - 2063 - 2022 </t>
  </si>
  <si>
    <t>RODIO ELIU SUCHITE SOLIS</t>
  </si>
  <si>
    <t xml:space="preserve">DGPCYN - 031 - 2064 - 2022 </t>
  </si>
  <si>
    <t>RONALDO MARROQUÍN TOBAR</t>
  </si>
  <si>
    <t xml:space="preserve">DGPCYN - 031 - 2065 - 2022 </t>
  </si>
  <si>
    <t>RONY ALBERTO GUERRA JUÁREZ</t>
  </si>
  <si>
    <t xml:space="preserve">DGPCYN - 031 - 2066 - 2022 </t>
  </si>
  <si>
    <t>RUBÉN OXLAJ COC</t>
  </si>
  <si>
    <t xml:space="preserve">DGPCYN - 031 - 2067 - 2022 </t>
  </si>
  <si>
    <t>RUDI VITELIO ARÍAS OSORIO</t>
  </si>
  <si>
    <t xml:space="preserve">DGPCYN - 031 - 2068 - 2022 </t>
  </si>
  <si>
    <t>SAMUEL BÁ CUCUL</t>
  </si>
  <si>
    <t xml:space="preserve">DGPCYN - 031 - 2069 - 2022 </t>
  </si>
  <si>
    <t>SANTIAGO RAMÓN CHOC MAZÁ</t>
  </si>
  <si>
    <t xml:space="preserve">DGPCYN - 031 - 2070 - 2022 </t>
  </si>
  <si>
    <t>SANTOS ISABEL GARCÍA DEL VALLE</t>
  </si>
  <si>
    <t xml:space="preserve">DGPCYN - 031 - 2071 - 2022 </t>
  </si>
  <si>
    <t>SERGIO ALBERTO RUBIO TURCIOS</t>
  </si>
  <si>
    <t xml:space="preserve">DGPCYN - 031 - 2072 - 2022 </t>
  </si>
  <si>
    <t>TEÓFILO HONORIO CUNIL CHÍ</t>
  </si>
  <si>
    <t xml:space="preserve">DGPCYN - 031 - 2073 - 2022 </t>
  </si>
  <si>
    <t>VICTOR HUGO LOPEZ SANDOVAL</t>
  </si>
  <si>
    <t xml:space="preserve">DGPCYN - 031 - 2074 - 2022 </t>
  </si>
  <si>
    <t>VÍCTOR MANUEL RAMOS CUCA</t>
  </si>
  <si>
    <t xml:space="preserve">DGPCYN - 031 - 2075 - 2022 </t>
  </si>
  <si>
    <t>VICTORIANO GARCÍA GONZÁLEZ</t>
  </si>
  <si>
    <t xml:space="preserve">DGPCYN - 031 - 2076 - 2022 </t>
  </si>
  <si>
    <t>VIRGILIO ARGUETA ARTEAGA</t>
  </si>
  <si>
    <t xml:space="preserve">DGPCYN - 031 - 2077 - 2022 </t>
  </si>
  <si>
    <t>VITALINO GARCIA TORRES</t>
  </si>
  <si>
    <t xml:space="preserve">DGPCYN - 031 - 2079 - 2022 </t>
  </si>
  <si>
    <t>WILFREDO ALBEÑO HERNÁNDEZ</t>
  </si>
  <si>
    <t xml:space="preserve">DGPCYN - 031 - 2080 - 2022 </t>
  </si>
  <si>
    <t>YERIX NIX BARRERA SALINAS</t>
  </si>
  <si>
    <t xml:space="preserve">DGPCYN - 031 - 2081 - 2022 </t>
  </si>
  <si>
    <t>YULISA ISABEL LÓPEZ RAMOS</t>
  </si>
  <si>
    <t>RENGLÓN</t>
  </si>
  <si>
    <t>TOTAL 031</t>
  </si>
  <si>
    <t>Mes/ año: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</si>
</sst>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&quot;Q&quot;* #,##0.00_);_(&quot;Q&quot;* \(#,##0.00\);_(&quot;Q&quot;* &quot;-&quot;??_);_(@_)"/>
    <numFmt numFmtId="169" formatCode="_(\Q* #,##0.00_);_(\Q* \(#,##0.00\);_(\Q* \-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indexed="8"/>
      <name val="Calibri  "/>
    </font>
    <font>
      <sz val="8"/>
      <color rgb="FF000000"/>
      <name val="Verdana"/>
      <family val="2"/>
    </font>
    <font>
      <sz val="8"/>
      <name val="Arial"/>
      <family val="2"/>
    </font>
    <font>
      <sz val="9"/>
      <color rgb="FF000000"/>
      <name val="Verdana"/>
      <family val="2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"/>
      <name val="Calibri   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69" fontId="8" fillId="0" borderId="0" applyFill="0" applyBorder="0" applyAlignment="0" applyProtection="0"/>
    <xf numFmtId="0" fontId="46" fillId="0" borderId="0"/>
    <xf numFmtId="0" fontId="48" fillId="0" borderId="0"/>
  </cellStyleXfs>
  <cellXfs count="77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" fontId="0" fillId="0" borderId="0" xfId="1" applyNumberFormat="1" applyFont="1"/>
    <xf numFmtId="0" fontId="0" fillId="0" borderId="0" xfId="0" applyFill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9" fontId="0" fillId="0" borderId="21" xfId="1" applyNumberFormat="1" applyFon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4" fontId="0" fillId="0" borderId="0" xfId="0" applyNumberFormat="1"/>
    <xf numFmtId="0" fontId="6" fillId="0" borderId="0" xfId="0" applyFont="1" applyAlignment="1">
      <alignment vertical="top" wrapText="1"/>
    </xf>
    <xf numFmtId="0" fontId="0" fillId="2" borderId="0" xfId="0" applyFill="1" applyAlignment="1">
      <alignment wrapText="1"/>
    </xf>
    <xf numFmtId="44" fontId="0" fillId="2" borderId="5" xfId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4" fontId="0" fillId="0" borderId="0" xfId="0" applyNumberFormat="1" applyBorder="1"/>
    <xf numFmtId="0" fontId="9" fillId="2" borderId="5" xfId="2" applyFont="1" applyFill="1" applyBorder="1" applyAlignment="1">
      <alignment horizontal="left" wrapText="1"/>
    </xf>
    <xf numFmtId="165" fontId="9" fillId="2" borderId="5" xfId="2" applyNumberFormat="1" applyFont="1" applyFill="1" applyBorder="1"/>
    <xf numFmtId="0" fontId="9" fillId="0" borderId="5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center"/>
    </xf>
    <xf numFmtId="165" fontId="9" fillId="4" borderId="5" xfId="2" applyNumberFormat="1" applyFont="1" applyFill="1" applyBorder="1"/>
    <xf numFmtId="4" fontId="9" fillId="4" borderId="5" xfId="2" applyNumberFormat="1" applyFont="1" applyFill="1" applyBorder="1"/>
    <xf numFmtId="0" fontId="9" fillId="4" borderId="5" xfId="2" applyFont="1" applyFill="1" applyBorder="1" applyAlignment="1">
      <alignment horizontal="left" wrapText="1"/>
    </xf>
    <xf numFmtId="0" fontId="9" fillId="4" borderId="13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165" fontId="9" fillId="4" borderId="13" xfId="2" applyNumberFormat="1" applyFont="1" applyFill="1" applyBorder="1"/>
    <xf numFmtId="4" fontId="9" fillId="4" borderId="13" xfId="2" applyNumberFormat="1" applyFont="1" applyFill="1" applyBorder="1"/>
    <xf numFmtId="0" fontId="9" fillId="2" borderId="13" xfId="2" applyFont="1" applyFill="1" applyBorder="1" applyAlignment="1">
      <alignment horizontal="center" vertical="center"/>
    </xf>
    <xf numFmtId="165" fontId="9" fillId="2" borderId="13" xfId="2" applyNumberFormat="1" applyFont="1" applyFill="1" applyBorder="1"/>
    <xf numFmtId="4" fontId="9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0" fillId="0" borderId="0" xfId="0" applyAlignment="1"/>
    <xf numFmtId="0" fontId="11" fillId="0" borderId="0" xfId="2" applyFont="1" applyAlignment="1">
      <alignment horizontal="left"/>
    </xf>
    <xf numFmtId="0" fontId="12" fillId="0" borderId="0" xfId="2" applyFont="1"/>
    <xf numFmtId="40" fontId="12" fillId="0" borderId="0" xfId="2" applyNumberFormat="1" applyFont="1" applyAlignment="1">
      <alignment horizontal="righ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9" fillId="3" borderId="1" xfId="2" applyFont="1" applyFill="1" applyBorder="1" applyAlignment="1">
      <alignment horizontal="center" wrapText="1"/>
    </xf>
    <xf numFmtId="0" fontId="9" fillId="3" borderId="4" xfId="2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40" fontId="14" fillId="3" borderId="6" xfId="0" applyNumberFormat="1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/>
    </xf>
    <xf numFmtId="40" fontId="0" fillId="3" borderId="0" xfId="0" applyNumberFormat="1" applyFill="1" applyBorder="1"/>
    <xf numFmtId="40" fontId="16" fillId="3" borderId="5" xfId="0" applyNumberFormat="1" applyFont="1" applyFill="1" applyBorder="1" applyAlignment="1">
      <alignment horizontal="center" vertical="center"/>
    </xf>
    <xf numFmtId="40" fontId="17" fillId="3" borderId="5" xfId="0" applyNumberFormat="1" applyFont="1" applyFill="1" applyBorder="1" applyAlignment="1">
      <alignment horizontal="center" vertical="center"/>
    </xf>
    <xf numFmtId="40" fontId="9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6" fillId="3" borderId="6" xfId="0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18" fillId="3" borderId="8" xfId="4" applyFont="1" applyFill="1" applyBorder="1" applyAlignment="1">
      <alignment horizontal="right" vertical="center" wrapText="1"/>
    </xf>
    <xf numFmtId="0" fontId="19" fillId="3" borderId="8" xfId="2" applyFont="1" applyFill="1" applyBorder="1" applyAlignment="1">
      <alignment horizontal="center" vertical="center" wrapText="1"/>
    </xf>
    <xf numFmtId="1" fontId="10" fillId="3" borderId="8" xfId="2" applyNumberFormat="1" applyFont="1" applyFill="1" applyBorder="1" applyAlignment="1">
      <alignment horizontal="center" vertical="center"/>
    </xf>
    <xf numFmtId="40" fontId="10" fillId="3" borderId="8" xfId="2" applyNumberFormat="1" applyFont="1" applyFill="1" applyBorder="1" applyAlignment="1">
      <alignment horizontal="right" vertical="center"/>
    </xf>
    <xf numFmtId="40" fontId="10" fillId="3" borderId="8" xfId="2" applyNumberFormat="1" applyFont="1" applyFill="1" applyBorder="1" applyAlignment="1">
      <alignment vertical="center"/>
    </xf>
    <xf numFmtId="40" fontId="10" fillId="3" borderId="9" xfId="2" applyNumberFormat="1" applyFont="1" applyFill="1" applyBorder="1" applyAlignment="1">
      <alignment vertical="center"/>
    </xf>
    <xf numFmtId="0" fontId="9" fillId="6" borderId="32" xfId="2" applyFont="1" applyFill="1" applyBorder="1" applyAlignment="1">
      <alignment horizontal="center" vertical="center"/>
    </xf>
    <xf numFmtId="0" fontId="18" fillId="6" borderId="11" xfId="4" applyFont="1" applyFill="1" applyBorder="1" applyAlignment="1">
      <alignment horizontal="right" vertical="center" wrapText="1"/>
    </xf>
    <xf numFmtId="0" fontId="15" fillId="6" borderId="33" xfId="2" applyFont="1" applyFill="1" applyBorder="1" applyAlignment="1">
      <alignment horizontal="center" vertical="center" wrapText="1"/>
    </xf>
    <xf numFmtId="1" fontId="9" fillId="6" borderId="12" xfId="2" applyNumberFormat="1" applyFont="1" applyFill="1" applyBorder="1" applyAlignment="1">
      <alignment horizontal="center" vertical="center"/>
    </xf>
    <xf numFmtId="40" fontId="9" fillId="6" borderId="5" xfId="2" applyNumberFormat="1" applyFont="1" applyFill="1" applyBorder="1" applyAlignment="1">
      <alignment horizontal="right" vertical="center"/>
    </xf>
    <xf numFmtId="4" fontId="9" fillId="6" borderId="12" xfId="2" applyNumberFormat="1" applyFont="1" applyFill="1" applyBorder="1" applyAlignment="1">
      <alignment vertical="center"/>
    </xf>
    <xf numFmtId="40" fontId="9" fillId="6" borderId="34" xfId="2" applyNumberFormat="1" applyFont="1" applyFill="1" applyBorder="1" applyAlignment="1">
      <alignment vertical="center"/>
    </xf>
    <xf numFmtId="0" fontId="9" fillId="6" borderId="35" xfId="2" applyFont="1" applyFill="1" applyBorder="1" applyAlignment="1">
      <alignment horizontal="center" vertical="center"/>
    </xf>
    <xf numFmtId="40" fontId="9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8" fillId="7" borderId="5" xfId="4" applyFont="1" applyFill="1" applyBorder="1" applyAlignment="1">
      <alignment horizontal="right" vertical="center" wrapText="1"/>
    </xf>
    <xf numFmtId="0" fontId="20" fillId="7" borderId="37" xfId="2" applyFont="1" applyFill="1" applyBorder="1" applyAlignment="1">
      <alignment horizontal="center" vertical="center" wrapText="1"/>
    </xf>
    <xf numFmtId="1" fontId="12" fillId="7" borderId="13" xfId="2" applyNumberFormat="1" applyFont="1" applyFill="1" applyBorder="1" applyAlignment="1">
      <alignment horizontal="center" vertical="center"/>
    </xf>
    <xf numFmtId="40" fontId="12" fillId="7" borderId="13" xfId="2" applyNumberFormat="1" applyFont="1" applyFill="1" applyBorder="1" applyAlignment="1">
      <alignment horizontal="right" vertical="center"/>
    </xf>
    <xf numFmtId="4" fontId="9" fillId="6" borderId="13" xfId="2" applyNumberFormat="1" applyFont="1" applyFill="1" applyBorder="1" applyAlignment="1">
      <alignment vertical="center"/>
    </xf>
    <xf numFmtId="40" fontId="9" fillId="6" borderId="38" xfId="2" applyNumberFormat="1" applyFon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13" xfId="2" applyFont="1" applyBorder="1" applyAlignment="1">
      <alignment horizontal="left" vertical="center" wrapText="1"/>
    </xf>
    <xf numFmtId="0" fontId="15" fillId="0" borderId="13" xfId="2" applyFont="1" applyBorder="1" applyAlignment="1">
      <alignment horizontal="center" vertical="center" wrapText="1"/>
    </xf>
    <xf numFmtId="1" fontId="9" fillId="0" borderId="13" xfId="2" applyNumberFormat="1" applyFont="1" applyBorder="1" applyAlignment="1">
      <alignment horizontal="center" vertical="center"/>
    </xf>
    <xf numFmtId="40" fontId="9" fillId="0" borderId="13" xfId="2" applyNumberFormat="1" applyFont="1" applyBorder="1" applyAlignment="1">
      <alignment horizontal="right" vertical="center"/>
    </xf>
    <xf numFmtId="4" fontId="9" fillId="0" borderId="13" xfId="2" applyNumberFormat="1" applyFont="1" applyBorder="1" applyAlignment="1">
      <alignment vertical="center"/>
    </xf>
    <xf numFmtId="40" fontId="9" fillId="0" borderId="9" xfId="2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8" borderId="2" xfId="2" applyFont="1" applyFill="1" applyBorder="1" applyAlignment="1">
      <alignment horizontal="left" wrapText="1"/>
    </xf>
    <xf numFmtId="0" fontId="9" fillId="8" borderId="2" xfId="2" applyFont="1" applyFill="1" applyBorder="1"/>
    <xf numFmtId="1" fontId="10" fillId="8" borderId="2" xfId="2" applyNumberFormat="1" applyFont="1" applyFill="1" applyBorder="1" applyAlignment="1">
      <alignment horizontal="center"/>
    </xf>
    <xf numFmtId="40" fontId="10" fillId="8" borderId="2" xfId="2" applyNumberFormat="1" applyFont="1" applyFill="1" applyBorder="1" applyAlignment="1">
      <alignment horizontal="right"/>
    </xf>
    <xf numFmtId="4" fontId="10" fillId="8" borderId="2" xfId="2" applyNumberFormat="1" applyFont="1" applyFill="1" applyBorder="1"/>
    <xf numFmtId="40" fontId="10" fillId="8" borderId="3" xfId="2" applyNumberFormat="1" applyFont="1" applyFill="1" applyBorder="1"/>
    <xf numFmtId="0" fontId="10" fillId="3" borderId="5" xfId="2" applyFont="1" applyFill="1" applyBorder="1" applyAlignment="1">
      <alignment horizontal="left" vertical="center" wrapText="1"/>
    </xf>
    <xf numFmtId="0" fontId="9" fillId="3" borderId="5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9" fillId="3" borderId="5" xfId="2" applyNumberFormat="1" applyFont="1" applyFill="1" applyBorder="1"/>
    <xf numFmtId="40" fontId="9" fillId="3" borderId="6" xfId="2" applyNumberFormat="1" applyFont="1" applyFill="1" applyBorder="1"/>
    <xf numFmtId="0" fontId="9" fillId="3" borderId="39" xfId="2" applyFont="1" applyFill="1" applyBorder="1" applyAlignment="1">
      <alignment vertical="center"/>
    </xf>
    <xf numFmtId="1" fontId="10" fillId="9" borderId="13" xfId="2" applyNumberFormat="1" applyFont="1" applyFill="1" applyBorder="1" applyAlignment="1">
      <alignment horizontal="center" vertical="center"/>
    </xf>
    <xf numFmtId="40" fontId="10" fillId="9" borderId="13" xfId="3" applyNumberFormat="1" applyFont="1" applyFill="1" applyBorder="1" applyAlignment="1">
      <alignment horizontal="right" vertical="center"/>
    </xf>
    <xf numFmtId="43" fontId="10" fillId="9" borderId="13" xfId="3" applyNumberFormat="1" applyFont="1" applyFill="1" applyBorder="1" applyAlignment="1">
      <alignment vertical="center"/>
    </xf>
    <xf numFmtId="40" fontId="10" fillId="9" borderId="38" xfId="3" applyNumberFormat="1" applyFont="1" applyFill="1" applyBorder="1" applyAlignment="1">
      <alignment vertical="center"/>
    </xf>
    <xf numFmtId="0" fontId="10" fillId="9" borderId="1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/>
    </xf>
    <xf numFmtId="0" fontId="10" fillId="8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wrapText="1"/>
    </xf>
    <xf numFmtId="40" fontId="10" fillId="0" borderId="5" xfId="2" applyNumberFormat="1" applyFont="1" applyFill="1" applyBorder="1" applyAlignment="1">
      <alignment horizontal="right" vertical="center"/>
    </xf>
    <xf numFmtId="43" fontId="10" fillId="8" borderId="5" xfId="3" applyNumberFormat="1" applyFont="1" applyFill="1" applyBorder="1" applyAlignment="1">
      <alignment vertical="center"/>
    </xf>
    <xf numFmtId="43" fontId="10" fillId="0" borderId="5" xfId="3" applyNumberFormat="1" applyFont="1" applyFill="1" applyBorder="1" applyAlignment="1">
      <alignment vertical="center"/>
    </xf>
    <xf numFmtId="40" fontId="10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9" fillId="2" borderId="4" xfId="2" applyFont="1" applyFill="1" applyBorder="1" applyAlignment="1">
      <alignment horizontal="center"/>
    </xf>
    <xf numFmtId="40" fontId="9" fillId="2" borderId="5" xfId="2" applyNumberFormat="1" applyFont="1" applyFill="1" applyBorder="1" applyAlignment="1">
      <alignment horizontal="right"/>
    </xf>
    <xf numFmtId="4" fontId="9" fillId="2" borderId="5" xfId="2" applyNumberFormat="1" applyFont="1" applyFill="1" applyBorder="1" applyAlignment="1">
      <alignment horizontal="right"/>
    </xf>
    <xf numFmtId="40" fontId="9" fillId="2" borderId="6" xfId="2" applyNumberFormat="1" applyFont="1" applyFill="1" applyBorder="1"/>
    <xf numFmtId="3" fontId="0" fillId="2" borderId="0" xfId="0" applyNumberFormat="1" applyFill="1"/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left" wrapText="1"/>
    </xf>
    <xf numFmtId="165" fontId="9" fillId="0" borderId="5" xfId="2" applyNumberFormat="1" applyFont="1" applyBorder="1"/>
    <xf numFmtId="40" fontId="9" fillId="0" borderId="5" xfId="2" applyNumberFormat="1" applyFont="1" applyBorder="1" applyAlignment="1">
      <alignment horizontal="right"/>
    </xf>
    <xf numFmtId="4" fontId="9" fillId="0" borderId="5" xfId="2" applyNumberFormat="1" applyFont="1" applyBorder="1"/>
    <xf numFmtId="4" fontId="9" fillId="0" borderId="5" xfId="2" applyNumberFormat="1" applyFont="1" applyBorder="1" applyAlignment="1">
      <alignment horizontal="right"/>
    </xf>
    <xf numFmtId="40" fontId="9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9" fillId="4" borderId="4" xfId="2" applyFont="1" applyFill="1" applyBorder="1" applyAlignment="1">
      <alignment horizontal="center"/>
    </xf>
    <xf numFmtId="0" fontId="8" fillId="4" borderId="5" xfId="2" applyFont="1" applyFill="1" applyBorder="1" applyAlignment="1">
      <alignment horizontal="left" wrapText="1"/>
    </xf>
    <xf numFmtId="40" fontId="9" fillId="4" borderId="5" xfId="2" applyNumberFormat="1" applyFont="1" applyFill="1" applyBorder="1" applyAlignment="1">
      <alignment horizontal="right"/>
    </xf>
    <xf numFmtId="40" fontId="9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9" fillId="4" borderId="39" xfId="2" applyFont="1" applyFill="1" applyBorder="1" applyAlignment="1">
      <alignment horizontal="center"/>
    </xf>
    <xf numFmtId="40" fontId="9" fillId="4" borderId="13" xfId="2" applyNumberFormat="1" applyFont="1" applyFill="1" applyBorder="1" applyAlignment="1">
      <alignment horizontal="right"/>
    </xf>
    <xf numFmtId="4" fontId="9" fillId="4" borderId="13" xfId="2" applyNumberFormat="1" applyFont="1" applyFill="1" applyBorder="1" applyAlignment="1">
      <alignment horizontal="right"/>
    </xf>
    <xf numFmtId="40" fontId="9" fillId="4" borderId="38" xfId="2" applyNumberFormat="1" applyFont="1" applyFill="1" applyBorder="1"/>
    <xf numFmtId="4" fontId="9" fillId="4" borderId="5" xfId="2" applyNumberFormat="1" applyFont="1" applyFill="1" applyBorder="1" applyAlignment="1">
      <alignment horizontal="right"/>
    </xf>
    <xf numFmtId="0" fontId="9" fillId="0" borderId="5" xfId="2" applyFont="1" applyBorder="1"/>
    <xf numFmtId="4" fontId="10" fillId="0" borderId="5" xfId="2" applyNumberFormat="1" applyFont="1" applyBorder="1" applyAlignment="1">
      <alignment horizontal="center"/>
    </xf>
    <xf numFmtId="166" fontId="9" fillId="0" borderId="5" xfId="2" applyNumberFormat="1" applyFont="1" applyBorder="1" applyAlignment="1">
      <alignment horizontal="right"/>
    </xf>
    <xf numFmtId="0" fontId="9" fillId="3" borderId="10" xfId="2" applyFont="1" applyFill="1" applyBorder="1" applyAlignment="1">
      <alignment horizontal="center"/>
    </xf>
    <xf numFmtId="0" fontId="9" fillId="3" borderId="11" xfId="2" applyFont="1" applyFill="1" applyBorder="1"/>
    <xf numFmtId="40" fontId="9" fillId="3" borderId="11" xfId="2" applyNumberFormat="1" applyFont="1" applyFill="1" applyBorder="1" applyAlignment="1">
      <alignment horizontal="right"/>
    </xf>
    <xf numFmtId="4" fontId="9" fillId="3" borderId="11" xfId="2" applyNumberFormat="1" applyFont="1" applyFill="1" applyBorder="1"/>
    <xf numFmtId="4" fontId="10" fillId="3" borderId="11" xfId="2" applyNumberFormat="1" applyFont="1" applyFill="1" applyBorder="1" applyAlignment="1">
      <alignment horizontal="center"/>
    </xf>
    <xf numFmtId="40" fontId="9" fillId="3" borderId="36" xfId="2" applyNumberFormat="1" applyFont="1" applyFill="1" applyBorder="1"/>
    <xf numFmtId="0" fontId="9" fillId="3" borderId="39" xfId="2" applyFont="1" applyFill="1" applyBorder="1" applyAlignment="1">
      <alignment horizontal="center" vertical="center"/>
    </xf>
    <xf numFmtId="1" fontId="10" fillId="9" borderId="5" xfId="2" applyNumberFormat="1" applyFont="1" applyFill="1" applyBorder="1" applyAlignment="1">
      <alignment horizontal="center" vertical="center"/>
    </xf>
    <xf numFmtId="40" fontId="10" fillId="9" borderId="5" xfId="2" applyNumberFormat="1" applyFont="1" applyFill="1" applyBorder="1" applyAlignment="1">
      <alignment horizontal="right" vertical="center"/>
    </xf>
    <xf numFmtId="4" fontId="10" fillId="9" borderId="5" xfId="2" applyNumberFormat="1" applyFont="1" applyFill="1" applyBorder="1" applyAlignment="1">
      <alignment vertical="center"/>
    </xf>
    <xf numFmtId="40" fontId="10" fillId="9" borderId="6" xfId="2" applyNumberFormat="1" applyFont="1" applyFill="1" applyBorder="1" applyAlignment="1">
      <alignment vertical="center"/>
    </xf>
    <xf numFmtId="0" fontId="10" fillId="9" borderId="11" xfId="2" applyFont="1" applyFill="1" applyBorder="1" applyAlignment="1">
      <alignment horizontal="center" vertical="center" wrapText="1"/>
    </xf>
    <xf numFmtId="1" fontId="10" fillId="9" borderId="11" xfId="2" applyNumberFormat="1" applyFont="1" applyFill="1" applyBorder="1" applyAlignment="1">
      <alignment horizontal="center" vertical="center"/>
    </xf>
    <xf numFmtId="40" fontId="10" fillId="9" borderId="11" xfId="2" applyNumberFormat="1" applyFont="1" applyFill="1" applyBorder="1" applyAlignment="1">
      <alignment horizontal="right" vertical="center"/>
    </xf>
    <xf numFmtId="4" fontId="10" fillId="9" borderId="11" xfId="2" applyNumberFormat="1" applyFont="1" applyFill="1" applyBorder="1" applyAlignment="1">
      <alignment vertical="center"/>
    </xf>
    <xf numFmtId="40" fontId="10" fillId="9" borderId="36" xfId="2" applyNumberFormat="1" applyFont="1" applyFill="1" applyBorder="1" applyAlignment="1">
      <alignment vertical="center"/>
    </xf>
    <xf numFmtId="1" fontId="10" fillId="0" borderId="11" xfId="2" applyNumberFormat="1" applyFont="1" applyBorder="1" applyAlignment="1">
      <alignment horizontal="center"/>
    </xf>
    <xf numFmtId="40" fontId="10" fillId="0" borderId="11" xfId="3" applyNumberFormat="1" applyFont="1" applyFill="1" applyBorder="1" applyAlignment="1">
      <alignment horizontal="right"/>
    </xf>
    <xf numFmtId="43" fontId="10" fillId="0" borderId="11" xfId="3" applyNumberFormat="1" applyFont="1" applyFill="1" applyBorder="1"/>
    <xf numFmtId="40" fontId="10" fillId="0" borderId="36" xfId="3" applyNumberFormat="1" applyFont="1" applyFill="1" applyBorder="1"/>
    <xf numFmtId="0" fontId="9" fillId="0" borderId="35" xfId="2" applyFont="1" applyBorder="1" applyAlignment="1">
      <alignment horizontal="center"/>
    </xf>
    <xf numFmtId="0" fontId="10" fillId="0" borderId="12" xfId="2" applyFont="1" applyBorder="1" applyAlignment="1">
      <alignment horizontal="center" wrapText="1"/>
    </xf>
    <xf numFmtId="43" fontId="10" fillId="0" borderId="12" xfId="3" applyNumberFormat="1" applyFont="1" applyFill="1" applyBorder="1"/>
    <xf numFmtId="40" fontId="10" fillId="0" borderId="34" xfId="3" applyNumberFormat="1" applyFont="1" applyFill="1" applyBorder="1"/>
    <xf numFmtId="0" fontId="10" fillId="0" borderId="13" xfId="2" applyFont="1" applyBorder="1" applyAlignment="1">
      <alignment horizontal="center" wrapText="1"/>
    </xf>
    <xf numFmtId="0" fontId="9" fillId="0" borderId="39" xfId="2" applyFont="1" applyBorder="1" applyAlignment="1">
      <alignment horizontal="center"/>
    </xf>
    <xf numFmtId="0" fontId="9" fillId="0" borderId="13" xfId="2" applyFont="1" applyBorder="1" applyAlignment="1">
      <alignment horizontal="left" wrapText="1"/>
    </xf>
    <xf numFmtId="165" fontId="9" fillId="0" borderId="13" xfId="2" applyNumberFormat="1" applyFont="1" applyBorder="1"/>
    <xf numFmtId="0" fontId="9" fillId="0" borderId="13" xfId="2" applyFont="1" applyFill="1" applyBorder="1" applyAlignment="1">
      <alignment horizontal="center" vertical="center"/>
    </xf>
    <xf numFmtId="40" fontId="9" fillId="0" borderId="13" xfId="2" applyNumberFormat="1" applyFont="1" applyFill="1" applyBorder="1" applyAlignment="1">
      <alignment horizontal="right"/>
    </xf>
    <xf numFmtId="4" fontId="9" fillId="0" borderId="13" xfId="2" applyNumberFormat="1" applyFont="1" applyBorder="1"/>
    <xf numFmtId="4" fontId="9" fillId="0" borderId="13" xfId="2" applyNumberFormat="1" applyFont="1" applyBorder="1" applyAlignment="1">
      <alignment horizontal="right"/>
    </xf>
    <xf numFmtId="0" fontId="9" fillId="0" borderId="5" xfId="2" applyFont="1" applyBorder="1" applyAlignment="1">
      <alignment horizontal="center" vertical="center"/>
    </xf>
    <xf numFmtId="0" fontId="0" fillId="0" borderId="31" xfId="0" applyFill="1" applyBorder="1"/>
    <xf numFmtId="0" fontId="9" fillId="0" borderId="4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left" wrapText="1"/>
    </xf>
    <xf numFmtId="165" fontId="9" fillId="0" borderId="5" xfId="2" applyNumberFormat="1" applyFont="1" applyFill="1" applyBorder="1"/>
    <xf numFmtId="40" fontId="9" fillId="0" borderId="5" xfId="2" applyNumberFormat="1" applyFont="1" applyFill="1" applyBorder="1" applyAlignment="1">
      <alignment horizontal="right"/>
    </xf>
    <xf numFmtId="4" fontId="9" fillId="0" borderId="5" xfId="2" applyNumberFormat="1" applyFont="1" applyFill="1" applyBorder="1"/>
    <xf numFmtId="4" fontId="9" fillId="0" borderId="5" xfId="2" applyNumberFormat="1" applyFont="1" applyFill="1" applyBorder="1" applyAlignment="1">
      <alignment horizontal="right"/>
    </xf>
    <xf numFmtId="40" fontId="9" fillId="0" borderId="6" xfId="2" applyNumberFormat="1" applyFont="1" applyFill="1" applyBorder="1"/>
    <xf numFmtId="3" fontId="0" fillId="0" borderId="0" xfId="0" applyNumberFormat="1" applyFill="1"/>
    <xf numFmtId="0" fontId="9" fillId="0" borderId="7" xfId="2" applyFont="1" applyBorder="1" applyAlignment="1">
      <alignment horizontal="center"/>
    </xf>
    <xf numFmtId="165" fontId="9" fillId="0" borderId="8" xfId="2" applyNumberFormat="1" applyFont="1" applyBorder="1"/>
    <xf numFmtId="0" fontId="9" fillId="0" borderId="8" xfId="2" applyFont="1" applyBorder="1" applyAlignment="1">
      <alignment horizontal="center" vertical="center"/>
    </xf>
    <xf numFmtId="40" fontId="9" fillId="0" borderId="8" xfId="2" applyNumberFormat="1" applyFont="1" applyBorder="1" applyAlignment="1">
      <alignment horizontal="right"/>
    </xf>
    <xf numFmtId="0" fontId="9" fillId="0" borderId="8" xfId="2" applyFont="1" applyBorder="1"/>
    <xf numFmtId="4" fontId="9" fillId="0" borderId="8" xfId="2" applyNumberFormat="1" applyFont="1" applyBorder="1" applyAlignment="1">
      <alignment horizontal="right"/>
    </xf>
    <xf numFmtId="4" fontId="9" fillId="0" borderId="8" xfId="2" applyNumberFormat="1" applyFont="1" applyBorder="1"/>
    <xf numFmtId="40" fontId="9" fillId="0" borderId="9" xfId="2" applyNumberFormat="1" applyFont="1" applyBorder="1" applyAlignment="1">
      <alignment horizontal="right"/>
    </xf>
    <xf numFmtId="0" fontId="9" fillId="0" borderId="10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9" fillId="0" borderId="13" xfId="2" applyFont="1" applyBorder="1" applyAlignment="1">
      <alignment horizontal="center" vertical="center"/>
    </xf>
    <xf numFmtId="4" fontId="10" fillId="0" borderId="8" xfId="2" applyNumberFormat="1" applyFont="1" applyBorder="1" applyAlignment="1">
      <alignment horizontal="center"/>
    </xf>
    <xf numFmtId="40" fontId="9" fillId="0" borderId="9" xfId="2" applyNumberFormat="1" applyFont="1" applyBorder="1"/>
    <xf numFmtId="0" fontId="9" fillId="3" borderId="2" xfId="2" applyFont="1" applyFill="1" applyBorder="1"/>
    <xf numFmtId="4" fontId="9" fillId="3" borderId="17" xfId="2" applyNumberFormat="1" applyFont="1" applyFill="1" applyBorder="1"/>
    <xf numFmtId="40" fontId="0" fillId="3" borderId="36" xfId="0" applyNumberFormat="1" applyFill="1" applyBorder="1"/>
    <xf numFmtId="0" fontId="9" fillId="3" borderId="4" xfId="2" applyFont="1" applyFill="1" applyBorder="1" applyAlignment="1">
      <alignment horizontal="center" vertical="center"/>
    </xf>
    <xf numFmtId="43" fontId="10" fillId="9" borderId="5" xfId="2" applyNumberFormat="1" applyFont="1" applyFill="1" applyBorder="1" applyAlignment="1">
      <alignment vertical="center"/>
    </xf>
    <xf numFmtId="0" fontId="9" fillId="3" borderId="35" xfId="2" applyFont="1" applyFill="1" applyBorder="1" applyAlignment="1">
      <alignment horizontal="center"/>
    </xf>
    <xf numFmtId="0" fontId="10" fillId="3" borderId="13" xfId="2" applyFont="1" applyFill="1" applyBorder="1" applyAlignment="1">
      <alignment horizontal="left" wrapText="1"/>
    </xf>
    <xf numFmtId="0" fontId="10" fillId="3" borderId="12" xfId="2" applyFont="1" applyFill="1" applyBorder="1" applyAlignment="1">
      <alignment horizontal="left" wrapText="1"/>
    </xf>
    <xf numFmtId="0" fontId="9" fillId="3" borderId="12" xfId="2" applyFont="1" applyFill="1" applyBorder="1"/>
    <xf numFmtId="40" fontId="10" fillId="3" borderId="5" xfId="2" applyNumberFormat="1" applyFont="1" applyFill="1" applyBorder="1" applyAlignment="1">
      <alignment horizontal="right"/>
    </xf>
    <xf numFmtId="4" fontId="9" fillId="3" borderId="12" xfId="2" applyNumberFormat="1" applyFont="1" applyFill="1" applyBorder="1"/>
    <xf numFmtId="4" fontId="9" fillId="3" borderId="40" xfId="2" applyNumberFormat="1" applyFont="1" applyFill="1" applyBorder="1"/>
    <xf numFmtId="40" fontId="0" fillId="3" borderId="34" xfId="0" applyNumberFormat="1" applyFill="1" applyBorder="1"/>
    <xf numFmtId="1" fontId="10" fillId="0" borderId="5" xfId="2" applyNumberFormat="1" applyFont="1" applyFill="1" applyBorder="1" applyAlignment="1">
      <alignment horizontal="center"/>
    </xf>
    <xf numFmtId="40" fontId="10" fillId="2" borderId="11" xfId="3" applyNumberFormat="1" applyFont="1" applyFill="1" applyBorder="1" applyAlignment="1">
      <alignment horizontal="right"/>
    </xf>
    <xf numFmtId="43" fontId="10" fillId="0" borderId="5" xfId="3" applyFont="1" applyFill="1" applyBorder="1"/>
    <xf numFmtId="43" fontId="10" fillId="0" borderId="11" xfId="3" applyFont="1" applyFill="1" applyBorder="1"/>
    <xf numFmtId="43" fontId="10" fillId="2" borderId="11" xfId="3" applyFont="1" applyFill="1" applyBorder="1"/>
    <xf numFmtId="43" fontId="10" fillId="2" borderId="5" xfId="3" applyFont="1" applyFill="1" applyBorder="1"/>
    <xf numFmtId="40" fontId="10" fillId="2" borderId="6" xfId="3" applyNumberFormat="1" applyFont="1" applyFill="1" applyBorder="1"/>
    <xf numFmtId="4" fontId="0" fillId="0" borderId="0" xfId="1" applyNumberFormat="1" applyFont="1"/>
    <xf numFmtId="0" fontId="9" fillId="2" borderId="10" xfId="2" applyFont="1" applyFill="1" applyBorder="1" applyAlignment="1">
      <alignment horizontal="center"/>
    </xf>
    <xf numFmtId="0" fontId="10" fillId="2" borderId="11" xfId="2" applyFont="1" applyFill="1" applyBorder="1" applyAlignment="1">
      <alignment horizontal="center" wrapText="1"/>
    </xf>
    <xf numFmtId="1" fontId="10" fillId="0" borderId="11" xfId="2" applyNumberFormat="1" applyFont="1" applyFill="1" applyBorder="1" applyAlignment="1">
      <alignment horizontal="center"/>
    </xf>
    <xf numFmtId="43" fontId="10" fillId="2" borderId="0" xfId="3" applyFont="1" applyFill="1" applyBorder="1"/>
    <xf numFmtId="40" fontId="10" fillId="2" borderId="36" xfId="3" applyNumberFormat="1" applyFont="1" applyFill="1" applyBorder="1"/>
    <xf numFmtId="0" fontId="10" fillId="2" borderId="5" xfId="2" applyFont="1" applyFill="1" applyBorder="1" applyAlignment="1">
      <alignment horizontal="center" wrapText="1"/>
    </xf>
    <xf numFmtId="40" fontId="10" fillId="2" borderId="5" xfId="2" applyNumberFormat="1" applyFont="1" applyFill="1" applyBorder="1" applyAlignment="1">
      <alignment horizontal="right" vertical="center"/>
    </xf>
    <xf numFmtId="43" fontId="10" fillId="0" borderId="5" xfId="3" applyFont="1" applyFill="1" applyBorder="1" applyAlignment="1"/>
    <xf numFmtId="2" fontId="10" fillId="2" borderId="11" xfId="3" applyNumberFormat="1" applyFont="1" applyFill="1" applyBorder="1"/>
    <xf numFmtId="40" fontId="10" fillId="0" borderId="6" xfId="3" applyNumberFormat="1" applyFont="1" applyFill="1" applyBorder="1" applyAlignment="1"/>
    <xf numFmtId="0" fontId="9" fillId="0" borderId="11" xfId="2" applyFont="1" applyBorder="1" applyAlignment="1">
      <alignment horizontal="left" wrapText="1"/>
    </xf>
    <xf numFmtId="165" fontId="9" fillId="0" borderId="11" xfId="2" applyNumberFormat="1" applyFont="1" applyFill="1" applyBorder="1"/>
    <xf numFmtId="0" fontId="9" fillId="0" borderId="11" xfId="2" applyFont="1" applyFill="1" applyBorder="1" applyAlignment="1">
      <alignment horizontal="center" vertical="center"/>
    </xf>
    <xf numFmtId="40" fontId="9" fillId="0" borderId="11" xfId="2" applyNumberFormat="1" applyFont="1" applyFill="1" applyBorder="1" applyAlignment="1">
      <alignment horizontal="right"/>
    </xf>
    <xf numFmtId="4" fontId="9" fillId="0" borderId="11" xfId="2" applyNumberFormat="1" applyFont="1" applyFill="1" applyBorder="1"/>
    <xf numFmtId="4" fontId="9" fillId="0" borderId="11" xfId="2" applyNumberFormat="1" applyFont="1" applyFill="1" applyBorder="1" applyAlignment="1">
      <alignment horizontal="right"/>
    </xf>
    <xf numFmtId="40" fontId="8" fillId="2" borderId="5" xfId="2" applyNumberFormat="1" applyFont="1" applyFill="1" applyBorder="1" applyAlignment="1">
      <alignment horizontal="right"/>
    </xf>
    <xf numFmtId="4" fontId="9" fillId="2" borderId="11" xfId="2" applyNumberFormat="1" applyFont="1" applyFill="1" applyBorder="1"/>
    <xf numFmtId="4" fontId="9" fillId="2" borderId="11" xfId="2" applyNumberFormat="1" applyFont="1" applyFill="1" applyBorder="1" applyAlignment="1">
      <alignment horizontal="right"/>
    </xf>
    <xf numFmtId="0" fontId="8" fillId="0" borderId="5" xfId="2" applyFont="1" applyFill="1" applyBorder="1" applyAlignment="1">
      <alignment horizontal="center" vertical="center"/>
    </xf>
    <xf numFmtId="40" fontId="8" fillId="0" borderId="5" xfId="2" applyNumberFormat="1" applyFont="1" applyFill="1" applyBorder="1" applyAlignment="1">
      <alignment horizontal="right"/>
    </xf>
    <xf numFmtId="4" fontId="22" fillId="2" borderId="11" xfId="2" applyNumberFormat="1" applyFont="1" applyFill="1" applyBorder="1" applyAlignment="1">
      <alignment horizontal="right"/>
    </xf>
    <xf numFmtId="4" fontId="22" fillId="2" borderId="11" xfId="2" applyNumberFormat="1" applyFont="1" applyFill="1" applyBorder="1"/>
    <xf numFmtId="0" fontId="9" fillId="4" borderId="10" xfId="2" applyFont="1" applyFill="1" applyBorder="1" applyAlignment="1">
      <alignment horizontal="center"/>
    </xf>
    <xf numFmtId="0" fontId="9" fillId="4" borderId="11" xfId="2" applyFont="1" applyFill="1" applyBorder="1" applyAlignment="1">
      <alignment horizontal="left" wrapText="1"/>
    </xf>
    <xf numFmtId="165" fontId="9" fillId="4" borderId="11" xfId="2" applyNumberFormat="1" applyFont="1" applyFill="1" applyBorder="1"/>
    <xf numFmtId="0" fontId="9" fillId="4" borderId="11" xfId="2" applyFont="1" applyFill="1" applyBorder="1" applyAlignment="1">
      <alignment horizontal="center" vertical="center"/>
    </xf>
    <xf numFmtId="40" fontId="9" fillId="4" borderId="11" xfId="2" applyNumberFormat="1" applyFont="1" applyFill="1" applyBorder="1" applyAlignment="1">
      <alignment horizontal="right"/>
    </xf>
    <xf numFmtId="4" fontId="9" fillId="4" borderId="11" xfId="2" applyNumberFormat="1" applyFont="1" applyFill="1" applyBorder="1"/>
    <xf numFmtId="3" fontId="0" fillId="4" borderId="0" xfId="0" applyNumberFormat="1" applyFill="1" applyBorder="1"/>
    <xf numFmtId="0" fontId="0" fillId="4" borderId="0" xfId="0" applyFill="1" applyBorder="1"/>
    <xf numFmtId="3" fontId="0" fillId="2" borderId="0" xfId="0" applyNumberFormat="1" applyFill="1" applyBorder="1"/>
    <xf numFmtId="0" fontId="8" fillId="4" borderId="5" xfId="2" applyFont="1" applyFill="1" applyBorder="1" applyAlignment="1">
      <alignment horizontal="center" vertical="center"/>
    </xf>
    <xf numFmtId="40" fontId="8" fillId="4" borderId="5" xfId="2" applyNumberFormat="1" applyFon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9" fillId="4" borderId="11" xfId="2" applyNumberFormat="1" applyFont="1" applyFill="1" applyBorder="1" applyAlignment="1">
      <alignment horizontal="right"/>
    </xf>
    <xf numFmtId="40" fontId="9" fillId="4" borderId="36" xfId="2" applyNumberFormat="1" applyFont="1" applyFill="1" applyBorder="1"/>
    <xf numFmtId="0" fontId="9" fillId="2" borderId="11" xfId="2" applyFont="1" applyFill="1" applyBorder="1" applyAlignment="1">
      <alignment horizontal="left" wrapText="1"/>
    </xf>
    <xf numFmtId="165" fontId="9" fillId="2" borderId="11" xfId="2" applyNumberFormat="1" applyFont="1" applyFill="1" applyBorder="1"/>
    <xf numFmtId="0" fontId="9" fillId="2" borderId="11" xfId="2" applyFont="1" applyFill="1" applyBorder="1" applyAlignment="1">
      <alignment horizontal="center" vertical="center"/>
    </xf>
    <xf numFmtId="40" fontId="9" fillId="2" borderId="11" xfId="2" applyNumberFormat="1" applyFont="1" applyFill="1" applyBorder="1" applyAlignment="1">
      <alignment horizontal="right"/>
    </xf>
    <xf numFmtId="40" fontId="9" fillId="2" borderId="36" xfId="2" applyNumberFormat="1" applyFont="1" applyFill="1" applyBorder="1"/>
    <xf numFmtId="0" fontId="23" fillId="4" borderId="31" xfId="0" applyFont="1" applyFill="1" applyBorder="1"/>
    <xf numFmtId="0" fontId="8" fillId="4" borderId="4" xfId="2" applyFont="1" applyFill="1" applyBorder="1" applyAlignment="1">
      <alignment horizont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23" fillId="4" borderId="0" xfId="0" applyFont="1" applyFill="1"/>
    <xf numFmtId="0" fontId="23" fillId="2" borderId="31" xfId="0" applyFont="1" applyFill="1" applyBorder="1"/>
    <xf numFmtId="0" fontId="8" fillId="2" borderId="4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4" fontId="8" fillId="2" borderId="5" xfId="2" applyNumberFormat="1" applyFont="1" applyFill="1" applyBorder="1"/>
    <xf numFmtId="0" fontId="23" fillId="2" borderId="0" xfId="0" applyFont="1" applyFill="1"/>
    <xf numFmtId="4" fontId="9" fillId="0" borderId="11" xfId="2" applyNumberFormat="1" applyFont="1" applyBorder="1"/>
    <xf numFmtId="0" fontId="9" fillId="3" borderId="1" xfId="2" applyFont="1" applyFill="1" applyBorder="1" applyAlignment="1">
      <alignment horizontal="center"/>
    </xf>
    <xf numFmtId="4" fontId="9" fillId="3" borderId="22" xfId="2" applyNumberFormat="1" applyFont="1" applyFill="1" applyBorder="1"/>
    <xf numFmtId="4" fontId="9" fillId="3" borderId="23" xfId="2" applyNumberFormat="1" applyFont="1" applyFill="1" applyBorder="1"/>
    <xf numFmtId="40" fontId="0" fillId="3" borderId="6" xfId="0" applyNumberFormat="1" applyFill="1" applyBorder="1"/>
    <xf numFmtId="1" fontId="10" fillId="2" borderId="11" xfId="2" applyNumberFormat="1" applyFont="1" applyFill="1" applyBorder="1" applyAlignment="1">
      <alignment horizontal="center"/>
    </xf>
    <xf numFmtId="43" fontId="10" fillId="0" borderId="11" xfId="3" applyNumberFormat="1" applyFont="1" applyFill="1" applyBorder="1" applyAlignment="1"/>
    <xf numFmtId="43" fontId="10" fillId="2" borderId="11" xfId="3" applyNumberFormat="1" applyFont="1" applyFill="1" applyBorder="1" applyAlignment="1"/>
    <xf numFmtId="43" fontId="10" fillId="2" borderId="5" xfId="3" applyNumberFormat="1" applyFont="1" applyFill="1" applyBorder="1" applyAlignment="1"/>
    <xf numFmtId="40" fontId="10" fillId="2" borderId="36" xfId="3" applyNumberFormat="1" applyFont="1" applyFill="1" applyBorder="1" applyAlignment="1"/>
    <xf numFmtId="43" fontId="10" fillId="2" borderId="0" xfId="3" applyNumberFormat="1" applyFont="1" applyFill="1" applyBorder="1" applyAlignment="1"/>
    <xf numFmtId="39" fontId="10" fillId="2" borderId="5" xfId="3" applyNumberFormat="1" applyFont="1" applyFill="1" applyBorder="1" applyAlignment="1">
      <alignment horizontal="right"/>
    </xf>
    <xf numFmtId="2" fontId="24" fillId="0" borderId="5" xfId="3" applyNumberFormat="1" applyFont="1" applyFill="1" applyBorder="1" applyAlignment="1"/>
    <xf numFmtId="165" fontId="10" fillId="0" borderId="5" xfId="1" applyNumberFormat="1" applyFont="1" applyFill="1" applyBorder="1" applyAlignment="1"/>
    <xf numFmtId="165" fontId="9" fillId="0" borderId="11" xfId="2" applyNumberFormat="1" applyFont="1" applyBorder="1"/>
    <xf numFmtId="0" fontId="9" fillId="0" borderId="11" xfId="2" applyFont="1" applyFill="1" applyBorder="1" applyAlignment="1">
      <alignment horizontal="center"/>
    </xf>
    <xf numFmtId="40" fontId="9" fillId="0" borderId="11" xfId="2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40" fontId="9" fillId="0" borderId="13" xfId="2" applyNumberFormat="1" applyFont="1" applyBorder="1" applyAlignment="1">
      <alignment horizontal="right"/>
    </xf>
    <xf numFmtId="40" fontId="9" fillId="0" borderId="38" xfId="2" applyNumberFormat="1" applyFont="1" applyBorder="1"/>
    <xf numFmtId="0" fontId="9" fillId="0" borderId="10" xfId="2" applyFont="1" applyFill="1" applyBorder="1" applyAlignment="1">
      <alignment horizontal="center"/>
    </xf>
    <xf numFmtId="0" fontId="9" fillId="0" borderId="13" xfId="2" applyFont="1" applyFill="1" applyBorder="1" applyAlignment="1">
      <alignment horizontal="left" wrapText="1"/>
    </xf>
    <xf numFmtId="165" fontId="9" fillId="0" borderId="13" xfId="2" applyNumberFormat="1" applyFont="1" applyFill="1" applyBorder="1"/>
    <xf numFmtId="4" fontId="9" fillId="0" borderId="13" xfId="2" applyNumberFormat="1" applyFont="1" applyFill="1" applyBorder="1"/>
    <xf numFmtId="40" fontId="9" fillId="0" borderId="38" xfId="2" applyNumberFormat="1" applyFont="1" applyFill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5" fillId="2" borderId="31" xfId="0" applyFont="1" applyFill="1" applyBorder="1"/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25" fillId="2" borderId="0" xfId="0" applyNumberFormat="1" applyFont="1" applyFill="1"/>
    <xf numFmtId="0" fontId="25" fillId="2" borderId="0" xfId="0" applyFont="1" applyFill="1"/>
    <xf numFmtId="0" fontId="2" fillId="0" borderId="31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9" fillId="0" borderId="5" xfId="2" applyFont="1" applyFill="1" applyBorder="1" applyAlignment="1">
      <alignment horizontal="left"/>
    </xf>
    <xf numFmtId="0" fontId="9" fillId="2" borderId="13" xfId="2" applyFont="1" applyFill="1" applyBorder="1" applyAlignment="1">
      <alignment horizontal="left" wrapText="1"/>
    </xf>
    <xf numFmtId="0" fontId="9" fillId="2" borderId="5" xfId="2" applyFont="1" applyFill="1" applyBorder="1" applyAlignment="1">
      <alignment horizontal="left"/>
    </xf>
    <xf numFmtId="0" fontId="26" fillId="2" borderId="31" xfId="0" applyFont="1" applyFill="1" applyBorder="1"/>
    <xf numFmtId="0" fontId="26" fillId="2" borderId="0" xfId="0" applyFont="1" applyFill="1"/>
    <xf numFmtId="4" fontId="0" fillId="0" borderId="0" xfId="0" applyNumberFormat="1" applyFill="1"/>
    <xf numFmtId="0" fontId="9" fillId="0" borderId="8" xfId="2" applyFont="1" applyBorder="1" applyAlignment="1">
      <alignment horizontal="left" wrapText="1"/>
    </xf>
    <xf numFmtId="0" fontId="9" fillId="3" borderId="42" xfId="2" applyFont="1" applyFill="1" applyBorder="1"/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" fontId="10" fillId="3" borderId="42" xfId="2" applyNumberFormat="1" applyFont="1" applyFill="1" applyBorder="1" applyAlignment="1">
      <alignment horizontal="center"/>
    </xf>
    <xf numFmtId="40" fontId="9" fillId="3" borderId="43" xfId="2" applyNumberFormat="1" applyFont="1" applyFill="1" applyBorder="1"/>
    <xf numFmtId="0" fontId="10" fillId="9" borderId="5" xfId="2" applyFont="1" applyFill="1" applyBorder="1" applyAlignment="1">
      <alignment horizontal="center" vertical="center"/>
    </xf>
    <xf numFmtId="43" fontId="10" fillId="9" borderId="5" xfId="3" applyNumberFormat="1" applyFont="1" applyFill="1" applyBorder="1" applyAlignment="1">
      <alignment vertical="center"/>
    </xf>
    <xf numFmtId="0" fontId="9" fillId="3" borderId="10" xfId="2" applyFont="1" applyFill="1" applyBorder="1" applyAlignment="1">
      <alignment horizontal="center" vertical="center"/>
    </xf>
    <xf numFmtId="0" fontId="10" fillId="9" borderId="11" xfId="2" applyFont="1" applyFill="1" applyBorder="1" applyAlignment="1">
      <alignment horizontal="center" vertical="center"/>
    </xf>
    <xf numFmtId="43" fontId="10" fillId="9" borderId="11" xfId="3" applyNumberFormat="1" applyFont="1" applyFill="1" applyBorder="1"/>
    <xf numFmtId="43" fontId="10" fillId="9" borderId="18" xfId="3" applyNumberFormat="1" applyFont="1" applyFill="1" applyBorder="1"/>
    <xf numFmtId="0" fontId="10" fillId="0" borderId="11" xfId="2" applyFont="1" applyBorder="1" applyAlignment="1">
      <alignment horizontal="center" wrapText="1"/>
    </xf>
    <xf numFmtId="0" fontId="10" fillId="0" borderId="11" xfId="2" applyFont="1" applyFill="1" applyBorder="1" applyAlignment="1">
      <alignment horizontal="center" wrapText="1"/>
    </xf>
    <xf numFmtId="40" fontId="10" fillId="0" borderId="11" xfId="2" applyNumberFormat="1" applyFont="1" applyFill="1" applyBorder="1" applyAlignment="1">
      <alignment horizontal="right" vertical="center"/>
    </xf>
    <xf numFmtId="43" fontId="10" fillId="0" borderId="11" xfId="3" applyFont="1" applyFill="1" applyBorder="1" applyAlignment="1"/>
    <xf numFmtId="2" fontId="10" fillId="0" borderId="11" xfId="1" applyNumberFormat="1" applyFont="1" applyFill="1" applyBorder="1" applyAlignment="1"/>
    <xf numFmtId="4" fontId="0" fillId="0" borderId="11" xfId="0" applyNumberFormat="1" applyBorder="1"/>
    <xf numFmtId="40" fontId="10" fillId="0" borderId="36" xfId="3" applyNumberFormat="1" applyFont="1" applyFill="1" applyBorder="1" applyAlignment="1"/>
    <xf numFmtId="0" fontId="9" fillId="0" borderId="11" xfId="2" applyFont="1" applyFill="1" applyBorder="1" applyAlignment="1">
      <alignment horizontal="left" wrapText="1"/>
    </xf>
    <xf numFmtId="166" fontId="9" fillId="0" borderId="8" xfId="2" applyNumberFormat="1" applyFont="1" applyBorder="1"/>
    <xf numFmtId="0" fontId="9" fillId="3" borderId="44" xfId="2" applyFont="1" applyFill="1" applyBorder="1" applyAlignment="1">
      <alignment horizontal="center"/>
    </xf>
    <xf numFmtId="1" fontId="10" fillId="9" borderId="5" xfId="2" applyNumberFormat="1" applyFont="1" applyFill="1" applyBorder="1" applyAlignment="1">
      <alignment horizontal="center"/>
    </xf>
    <xf numFmtId="40" fontId="10" fillId="9" borderId="5" xfId="3" applyNumberFormat="1" applyFont="1" applyFill="1" applyBorder="1" applyAlignment="1">
      <alignment horizontal="right"/>
    </xf>
    <xf numFmtId="43" fontId="10" fillId="9" borderId="5" xfId="3" applyNumberFormat="1" applyFont="1" applyFill="1" applyBorder="1"/>
    <xf numFmtId="40" fontId="10" fillId="9" borderId="6" xfId="3" applyNumberFormat="1" applyFont="1" applyFill="1" applyBorder="1"/>
    <xf numFmtId="0" fontId="10" fillId="9" borderId="12" xfId="2" applyFont="1" applyFill="1" applyBorder="1" applyAlignment="1">
      <alignment horizontal="left" wrapText="1"/>
    </xf>
    <xf numFmtId="1" fontId="10" fillId="9" borderId="12" xfId="2" applyNumberFormat="1" applyFont="1" applyFill="1" applyBorder="1" applyAlignment="1">
      <alignment horizontal="center"/>
    </xf>
    <xf numFmtId="43" fontId="10" fillId="9" borderId="12" xfId="3" applyNumberFormat="1" applyFont="1" applyFill="1" applyBorder="1"/>
    <xf numFmtId="40" fontId="10" fillId="9" borderId="34" xfId="3" applyNumberFormat="1" applyFont="1" applyFill="1" applyBorder="1"/>
    <xf numFmtId="40" fontId="9" fillId="0" borderId="9" xfId="2" applyNumberFormat="1" applyFont="1" applyFill="1" applyBorder="1"/>
    <xf numFmtId="0" fontId="9" fillId="3" borderId="35" xfId="2" applyFont="1" applyFill="1" applyBorder="1" applyAlignment="1">
      <alignment horizontal="center" vertical="center"/>
    </xf>
    <xf numFmtId="0" fontId="10" fillId="9" borderId="12" xfId="2" applyFont="1" applyFill="1" applyBorder="1" applyAlignment="1">
      <alignment horizontal="center" vertical="center" wrapText="1"/>
    </xf>
    <xf numFmtId="0" fontId="10" fillId="9" borderId="5" xfId="2" applyFont="1" applyFill="1" applyBorder="1" applyAlignment="1">
      <alignment horizontal="center" vertical="center" wrapText="1"/>
    </xf>
    <xf numFmtId="43" fontId="10" fillId="9" borderId="24" xfId="3" applyNumberFormat="1" applyFont="1" applyFill="1" applyBorder="1"/>
    <xf numFmtId="0" fontId="9" fillId="2" borderId="11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9" fillId="2" borderId="5" xfId="2" quotePrefix="1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165" fontId="9" fillId="0" borderId="8" xfId="2" applyNumberFormat="1" applyFont="1" applyFill="1" applyBorder="1"/>
    <xf numFmtId="0" fontId="9" fillId="0" borderId="8" xfId="2" applyFont="1" applyFill="1" applyBorder="1" applyAlignment="1">
      <alignment horizontal="center" vertical="center"/>
    </xf>
    <xf numFmtId="40" fontId="9" fillId="0" borderId="8" xfId="2" applyNumberFormat="1" applyFont="1" applyFill="1" applyBorder="1" applyAlignment="1">
      <alignment horizontal="right"/>
    </xf>
    <xf numFmtId="4" fontId="9" fillId="0" borderId="8" xfId="2" applyNumberFormat="1" applyFont="1" applyFill="1" applyBorder="1"/>
    <xf numFmtId="4" fontId="9" fillId="0" borderId="8" xfId="2" applyNumberFormat="1" applyFont="1" applyFill="1" applyBorder="1" applyAlignment="1">
      <alignment horizontal="right"/>
    </xf>
    <xf numFmtId="0" fontId="9" fillId="0" borderId="11" xfId="2" applyFont="1" applyFill="1" applyBorder="1" applyAlignment="1">
      <alignment horizontal="left" vertical="center" wrapText="1"/>
    </xf>
    <xf numFmtId="4" fontId="9" fillId="0" borderId="12" xfId="2" applyNumberFormat="1" applyFont="1" applyFill="1" applyBorder="1"/>
    <xf numFmtId="4" fontId="9" fillId="0" borderId="12" xfId="2" applyNumberFormat="1" applyFont="1" applyFill="1" applyBorder="1" applyAlignment="1">
      <alignment horizontal="right"/>
    </xf>
    <xf numFmtId="40" fontId="9" fillId="0" borderId="36" xfId="2" applyNumberFormat="1" applyFont="1" applyFill="1" applyBorder="1"/>
    <xf numFmtId="4" fontId="9" fillId="2" borderId="13" xfId="2" applyNumberFormat="1" applyFont="1" applyFill="1" applyBorder="1"/>
    <xf numFmtId="4" fontId="9" fillId="2" borderId="13" xfId="2" applyNumberFormat="1" applyFont="1" applyFill="1" applyBorder="1" applyAlignment="1">
      <alignment horizontal="right"/>
    </xf>
    <xf numFmtId="167" fontId="0" fillId="0" borderId="0" xfId="0" applyNumberFormat="1" applyBorder="1"/>
    <xf numFmtId="0" fontId="9" fillId="0" borderId="13" xfId="2" applyFont="1" applyBorder="1"/>
    <xf numFmtId="166" fontId="9" fillId="0" borderId="13" xfId="2" applyNumberFormat="1" applyFont="1" applyBorder="1"/>
    <xf numFmtId="4" fontId="10" fillId="0" borderId="13" xfId="2" applyNumberFormat="1" applyFont="1" applyBorder="1" applyAlignment="1">
      <alignment horizontal="center"/>
    </xf>
    <xf numFmtId="0" fontId="9" fillId="0" borderId="44" xfId="2" applyFont="1" applyFill="1" applyBorder="1" applyAlignment="1">
      <alignment horizontal="center"/>
    </xf>
    <xf numFmtId="0" fontId="10" fillId="0" borderId="45" xfId="2" applyFont="1" applyFill="1" applyBorder="1" applyAlignment="1">
      <alignment horizontal="left" vertical="center" wrapText="1"/>
    </xf>
    <xf numFmtId="165" fontId="10" fillId="0" borderId="42" xfId="2" applyNumberFormat="1" applyFont="1" applyFill="1" applyBorder="1"/>
    <xf numFmtId="1" fontId="10" fillId="0" borderId="42" xfId="2" applyNumberFormat="1" applyFont="1" applyFill="1" applyBorder="1" applyAlignment="1">
      <alignment horizontal="center"/>
    </xf>
    <xf numFmtId="40" fontId="10" fillId="0" borderId="42" xfId="2" applyNumberFormat="1" applyFont="1" applyFill="1" applyBorder="1" applyAlignment="1">
      <alignment horizontal="right"/>
    </xf>
    <xf numFmtId="4" fontId="10" fillId="0" borderId="42" xfId="2" applyNumberFormat="1" applyFont="1" applyFill="1" applyBorder="1"/>
    <xf numFmtId="40" fontId="10" fillId="0" borderId="43" xfId="2" applyNumberFormat="1" applyFont="1" applyFill="1" applyBorder="1"/>
    <xf numFmtId="3" fontId="10" fillId="3" borderId="2" xfId="2" applyNumberFormat="1" applyFont="1" applyFill="1" applyBorder="1" applyAlignment="1">
      <alignment horizontal="center"/>
    </xf>
    <xf numFmtId="40" fontId="10" fillId="3" borderId="2" xfId="2" applyNumberFormat="1" applyFont="1" applyFill="1" applyBorder="1" applyAlignment="1">
      <alignment horizontal="right"/>
    </xf>
    <xf numFmtId="4" fontId="10" fillId="3" borderId="2" xfId="2" applyNumberFormat="1" applyFont="1" applyFill="1" applyBorder="1"/>
    <xf numFmtId="40" fontId="10" fillId="3" borderId="3" xfId="2" applyNumberFormat="1" applyFont="1" applyFill="1" applyBorder="1"/>
    <xf numFmtId="1" fontId="10" fillId="9" borderId="5" xfId="3" applyNumberFormat="1" applyFont="1" applyFill="1" applyBorder="1" applyAlignment="1">
      <alignment horizontal="center"/>
    </xf>
    <xf numFmtId="43" fontId="10" fillId="9" borderId="5" xfId="3" applyNumberFormat="1" applyFont="1" applyFill="1" applyBorder="1" applyAlignment="1">
      <alignment horizontal="center"/>
    </xf>
    <xf numFmtId="40" fontId="10" fillId="9" borderId="6" xfId="3" applyNumberFormat="1" applyFont="1" applyFill="1" applyBorder="1" applyAlignment="1">
      <alignment horizontal="center"/>
    </xf>
    <xf numFmtId="1" fontId="10" fillId="9" borderId="12" xfId="3" applyNumberFormat="1" applyFont="1" applyFill="1" applyBorder="1" applyAlignment="1">
      <alignment horizontal="center"/>
    </xf>
    <xf numFmtId="40" fontId="10" fillId="9" borderId="12" xfId="3" applyNumberFormat="1" applyFont="1" applyFill="1" applyBorder="1" applyAlignment="1">
      <alignment horizontal="right"/>
    </xf>
    <xf numFmtId="43" fontId="10" fillId="9" borderId="12" xfId="3" applyNumberFormat="1" applyFont="1" applyFill="1" applyBorder="1" applyAlignment="1">
      <alignment horizontal="center"/>
    </xf>
    <xf numFmtId="40" fontId="10" fillId="9" borderId="34" xfId="3" applyNumberFormat="1" applyFont="1" applyFill="1" applyBorder="1" applyAlignment="1">
      <alignment horizontal="center"/>
    </xf>
    <xf numFmtId="0" fontId="9" fillId="2" borderId="39" xfId="2" applyFont="1" applyFill="1" applyBorder="1" applyAlignment="1">
      <alignment horizontal="center"/>
    </xf>
    <xf numFmtId="40" fontId="9" fillId="2" borderId="13" xfId="2" applyNumberFormat="1" applyFont="1" applyFill="1" applyBorder="1" applyAlignment="1">
      <alignment horizontal="right"/>
    </xf>
    <xf numFmtId="40" fontId="9" fillId="2" borderId="38" xfId="2" applyNumberFormat="1" applyFont="1" applyFill="1" applyBorder="1"/>
    <xf numFmtId="0" fontId="10" fillId="3" borderId="42" xfId="2" applyFont="1" applyFill="1" applyBorder="1" applyAlignment="1">
      <alignment horizontal="center"/>
    </xf>
    <xf numFmtId="40" fontId="10" fillId="3" borderId="42" xfId="2" applyNumberFormat="1" applyFont="1" applyFill="1" applyBorder="1" applyAlignment="1">
      <alignment horizontal="right"/>
    </xf>
    <xf numFmtId="4" fontId="10" fillId="3" borderId="42" xfId="2" applyNumberFormat="1" applyFont="1" applyFill="1" applyBorder="1"/>
    <xf numFmtId="40" fontId="10" fillId="3" borderId="43" xfId="2" applyNumberFormat="1" applyFont="1" applyFill="1" applyBorder="1"/>
    <xf numFmtId="0" fontId="9" fillId="3" borderId="7" xfId="2" applyFont="1" applyFill="1" applyBorder="1" applyAlignment="1">
      <alignment horizontal="center"/>
    </xf>
    <xf numFmtId="1" fontId="10" fillId="9" borderId="8" xfId="2" applyNumberFormat="1" applyFont="1" applyFill="1" applyBorder="1" applyAlignment="1">
      <alignment horizontal="center"/>
    </xf>
    <xf numFmtId="43" fontId="10" fillId="9" borderId="8" xfId="3" applyNumberFormat="1" applyFont="1" applyFill="1" applyBorder="1" applyAlignment="1">
      <alignment horizontal="right"/>
    </xf>
    <xf numFmtId="43" fontId="10" fillId="9" borderId="8" xfId="3" applyNumberFormat="1" applyFont="1" applyFill="1" applyBorder="1"/>
    <xf numFmtId="40" fontId="10" fillId="9" borderId="9" xfId="3" applyNumberFormat="1" applyFont="1" applyFill="1" applyBorder="1"/>
    <xf numFmtId="0" fontId="10" fillId="9" borderId="0" xfId="2" applyFont="1" applyFill="1" applyBorder="1" applyAlignment="1">
      <alignment horizontal="left" wrapText="1"/>
    </xf>
    <xf numFmtId="1" fontId="10" fillId="9" borderId="13" xfId="2" applyNumberFormat="1" applyFont="1" applyFill="1" applyBorder="1" applyAlignment="1">
      <alignment horizontal="center"/>
    </xf>
    <xf numFmtId="0" fontId="10" fillId="8" borderId="11" xfId="2" applyFont="1" applyFill="1" applyBorder="1" applyAlignment="1">
      <alignment horizontal="left" wrapText="1"/>
    </xf>
    <xf numFmtId="40" fontId="10" fillId="8" borderId="11" xfId="3" applyNumberFormat="1" applyFont="1" applyFill="1" applyBorder="1" applyAlignment="1">
      <alignment horizontal="right"/>
    </xf>
    <xf numFmtId="0" fontId="10" fillId="3" borderId="32" xfId="2" applyFont="1" applyFill="1" applyBorder="1" applyAlignment="1">
      <alignment horizontal="left" wrapText="1"/>
    </xf>
    <xf numFmtId="0" fontId="10" fillId="3" borderId="42" xfId="2" applyNumberFormat="1" applyFont="1" applyFill="1" applyBorder="1" applyAlignment="1">
      <alignment horizontal="center"/>
    </xf>
    <xf numFmtId="0" fontId="9" fillId="3" borderId="39" xfId="2" applyFont="1" applyFill="1" applyBorder="1" applyAlignment="1">
      <alignment horizontal="center"/>
    </xf>
    <xf numFmtId="1" fontId="10" fillId="9" borderId="13" xfId="3" applyNumberFormat="1" applyFont="1" applyFill="1" applyBorder="1" applyAlignment="1">
      <alignment horizontal="center"/>
    </xf>
    <xf numFmtId="40" fontId="10" fillId="9" borderId="13" xfId="3" applyNumberFormat="1" applyFont="1" applyFill="1" applyBorder="1" applyAlignment="1">
      <alignment horizontal="right"/>
    </xf>
    <xf numFmtId="43" fontId="10" fillId="9" borderId="13" xfId="3" applyNumberFormat="1" applyFont="1" applyFill="1" applyBorder="1"/>
    <xf numFmtId="40" fontId="10" fillId="9" borderId="38" xfId="3" applyNumberFormat="1" applyFont="1" applyFill="1" applyBorder="1"/>
    <xf numFmtId="0" fontId="10" fillId="9" borderId="5" xfId="2" applyFont="1" applyFill="1" applyBorder="1" applyAlignment="1">
      <alignment horizontal="left" wrapText="1"/>
    </xf>
    <xf numFmtId="0" fontId="10" fillId="9" borderId="22" xfId="2" applyFont="1" applyFill="1" applyBorder="1" applyAlignment="1">
      <alignment horizontal="left" wrapText="1"/>
    </xf>
    <xf numFmtId="0" fontId="10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9" fillId="2" borderId="5" xfId="2" quotePrefix="1" applyFont="1" applyFill="1" applyBorder="1" applyAlignment="1">
      <alignment horizontal="left" wrapText="1"/>
    </xf>
    <xf numFmtId="3" fontId="23" fillId="2" borderId="0" xfId="0" applyNumberFormat="1" applyFont="1" applyFill="1"/>
    <xf numFmtId="0" fontId="0" fillId="0" borderId="46" xfId="0" applyBorder="1"/>
    <xf numFmtId="0" fontId="0" fillId="2" borderId="4" xfId="0" applyFont="1" applyFill="1" applyBorder="1" applyAlignment="1">
      <alignment horizontal="center" vertical="center" wrapText="1"/>
    </xf>
    <xf numFmtId="0" fontId="0" fillId="2" borderId="5" xfId="1" applyNumberFormat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  <xf numFmtId="4" fontId="27" fillId="2" borderId="5" xfId="2" applyNumberFormat="1" applyFont="1" applyFill="1" applyBorder="1"/>
    <xf numFmtId="0" fontId="27" fillId="2" borderId="5" xfId="2" applyFont="1" applyFill="1" applyBorder="1" applyAlignment="1">
      <alignment horizontal="left" wrapText="1"/>
    </xf>
    <xf numFmtId="0" fontId="23" fillId="2" borderId="5" xfId="2" applyFont="1" applyFill="1" applyBorder="1" applyAlignment="1">
      <alignment horizontal="center" vertical="center"/>
    </xf>
    <xf numFmtId="0" fontId="28" fillId="0" borderId="39" xfId="0" applyFont="1" applyBorder="1" applyAlignment="1">
      <alignment wrapText="1" shrinkToFit="1"/>
    </xf>
    <xf numFmtId="0" fontId="29" fillId="0" borderId="39" xfId="0" applyFont="1" applyBorder="1" applyAlignment="1">
      <alignment wrapText="1" shrinkToFit="1"/>
    </xf>
    <xf numFmtId="0" fontId="29" fillId="0" borderId="39" xfId="0" applyFont="1" applyBorder="1" applyAlignment="1">
      <alignment horizontal="center" wrapText="1" shrinkToFit="1"/>
    </xf>
    <xf numFmtId="0" fontId="28" fillId="0" borderId="13" xfId="0" applyFont="1" applyBorder="1" applyAlignment="1">
      <alignment wrapText="1"/>
    </xf>
    <xf numFmtId="43" fontId="28" fillId="0" borderId="49" xfId="3" quotePrefix="1" applyFont="1" applyFill="1" applyBorder="1" applyAlignment="1">
      <alignment horizontal="center" vertical="center" wrapText="1"/>
    </xf>
    <xf numFmtId="43" fontId="28" fillId="0" borderId="49" xfId="3" quotePrefix="1" applyFont="1" applyFill="1" applyBorder="1" applyAlignment="1">
      <alignment wrapText="1"/>
    </xf>
    <xf numFmtId="43" fontId="28" fillId="0" borderId="50" xfId="3" quotePrefix="1" applyFont="1" applyFill="1" applyBorder="1" applyAlignment="1">
      <alignment wrapText="1"/>
    </xf>
    <xf numFmtId="43" fontId="28" fillId="0" borderId="13" xfId="3" quotePrefix="1" applyFont="1" applyFill="1" applyBorder="1" applyAlignment="1">
      <alignment wrapText="1"/>
    </xf>
    <xf numFmtId="0" fontId="30" fillId="0" borderId="5" xfId="0" applyFont="1" applyBorder="1"/>
    <xf numFmtId="0" fontId="31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2" fillId="0" borderId="5" xfId="0" applyFont="1" applyBorder="1" applyAlignment="1">
      <alignment vertical="center"/>
    </xf>
    <xf numFmtId="0" fontId="32" fillId="0" borderId="5" xfId="0" applyFont="1" applyBorder="1"/>
    <xf numFmtId="0" fontId="32" fillId="0" borderId="5" xfId="0" applyFont="1" applyBorder="1" applyAlignment="1">
      <alignment horizontal="center" vertical="center"/>
    </xf>
    <xf numFmtId="44" fontId="32" fillId="0" borderId="5" xfId="1" applyFont="1" applyFill="1" applyBorder="1" applyAlignment="1">
      <alignment horizontal="center"/>
    </xf>
    <xf numFmtId="49" fontId="32" fillId="0" borderId="5" xfId="1" applyNumberFormat="1" applyFont="1" applyFill="1" applyBorder="1" applyAlignment="1">
      <alignment horizontal="center"/>
    </xf>
    <xf numFmtId="44" fontId="30" fillId="0" borderId="5" xfId="1" applyFont="1" applyFill="1" applyBorder="1" applyAlignment="1">
      <alignment horizontal="center"/>
    </xf>
    <xf numFmtId="44" fontId="30" fillId="10" borderId="5" xfId="1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168" fontId="32" fillId="0" borderId="5" xfId="3" applyNumberFormat="1" applyFont="1" applyFill="1" applyBorder="1" applyAlignment="1">
      <alignment horizontal="center"/>
    </xf>
    <xf numFmtId="43" fontId="30" fillId="7" borderId="5" xfId="3" applyFont="1" applyFill="1" applyBorder="1" applyAlignment="1">
      <alignment horizontal="center"/>
    </xf>
    <xf numFmtId="3" fontId="32" fillId="0" borderId="5" xfId="5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6" fillId="7" borderId="5" xfId="0" applyFont="1" applyFill="1" applyBorder="1" applyAlignment="1">
      <alignment vertical="center"/>
    </xf>
    <xf numFmtId="0" fontId="33" fillId="0" borderId="5" xfId="0" applyFont="1" applyBorder="1" applyAlignment="1">
      <alignment horizontal="center"/>
    </xf>
    <xf numFmtId="43" fontId="29" fillId="0" borderId="5" xfId="3" applyFont="1" applyFill="1" applyBorder="1" applyAlignment="1">
      <alignment horizontal="center"/>
    </xf>
    <xf numFmtId="43" fontId="29" fillId="10" borderId="5" xfId="3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8" fillId="0" borderId="49" xfId="0" applyFont="1" applyBorder="1" applyAlignment="1">
      <alignment horizontal="center" vertical="center" wrapText="1"/>
    </xf>
    <xf numFmtId="43" fontId="28" fillId="0" borderId="49" xfId="3" quotePrefix="1" applyFont="1" applyFill="1" applyBorder="1" applyAlignment="1">
      <alignment horizontal="center" wrapText="1"/>
    </xf>
    <xf numFmtId="4" fontId="28" fillId="0" borderId="13" xfId="3" quotePrefix="1" applyNumberFormat="1" applyFont="1" applyFill="1" applyBorder="1" applyAlignment="1">
      <alignment wrapText="1"/>
    </xf>
    <xf numFmtId="43" fontId="28" fillId="0" borderId="5" xfId="3" quotePrefix="1" applyFont="1" applyFill="1" applyBorder="1" applyAlignment="1">
      <alignment wrapText="1"/>
    </xf>
    <xf numFmtId="0" fontId="33" fillId="0" borderId="0" xfId="0" applyFont="1"/>
    <xf numFmtId="0" fontId="36" fillId="0" borderId="5" xfId="6" applyFont="1" applyBorder="1" applyAlignment="1">
      <alignment horizontal="center" vertical="center" wrapText="1"/>
    </xf>
    <xf numFmtId="165" fontId="37" fillId="0" borderId="5" xfId="1" applyNumberFormat="1" applyFont="1" applyFill="1" applyBorder="1" applyAlignment="1">
      <alignment horizontal="center"/>
    </xf>
    <xf numFmtId="165" fontId="37" fillId="0" borderId="5" xfId="0" applyNumberFormat="1" applyFont="1" applyBorder="1" applyAlignment="1">
      <alignment horizontal="center"/>
    </xf>
    <xf numFmtId="165" fontId="32" fillId="0" borderId="5" xfId="1" applyNumberFormat="1" applyFont="1" applyFill="1" applyBorder="1" applyAlignment="1">
      <alignment horizontal="center"/>
    </xf>
    <xf numFmtId="169" fontId="32" fillId="0" borderId="5" xfId="7" applyFont="1" applyFill="1" applyBorder="1" applyAlignment="1">
      <alignment horizontal="center"/>
    </xf>
    <xf numFmtId="0" fontId="32" fillId="7" borderId="5" xfId="0" applyFont="1" applyFill="1" applyBorder="1" applyAlignment="1">
      <alignment vertical="center"/>
    </xf>
    <xf numFmtId="0" fontId="33" fillId="10" borderId="0" xfId="0" applyFont="1" applyFill="1"/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39" fillId="0" borderId="5" xfId="0" applyFont="1" applyBorder="1" applyAlignment="1">
      <alignment horizontal="center"/>
    </xf>
    <xf numFmtId="43" fontId="32" fillId="0" borderId="5" xfId="3" applyFont="1" applyFill="1" applyBorder="1" applyAlignment="1">
      <alignment horizontal="center"/>
    </xf>
    <xf numFmtId="0" fontId="30" fillId="0" borderId="4" xfId="0" applyFont="1" applyBorder="1"/>
    <xf numFmtId="0" fontId="30" fillId="0" borderId="23" xfId="0" applyFont="1" applyBorder="1"/>
    <xf numFmtId="0" fontId="33" fillId="0" borderId="23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168" fontId="18" fillId="0" borderId="5" xfId="0" applyNumberFormat="1" applyFont="1" applyBorder="1"/>
    <xf numFmtId="168" fontId="18" fillId="10" borderId="5" xfId="0" applyNumberFormat="1" applyFont="1" applyFill="1" applyBorder="1"/>
    <xf numFmtId="0" fontId="40" fillId="0" borderId="0" xfId="0" applyFont="1" applyAlignment="1">
      <alignment horizontal="center"/>
    </xf>
    <xf numFmtId="4" fontId="40" fillId="0" borderId="0" xfId="0" applyNumberFormat="1" applyFont="1" applyAlignment="1">
      <alignment horizontal="center"/>
    </xf>
    <xf numFmtId="0" fontId="30" fillId="0" borderId="0" xfId="0" applyFont="1"/>
    <xf numFmtId="4" fontId="33" fillId="0" borderId="0" xfId="0" applyNumberFormat="1" applyFont="1"/>
    <xf numFmtId="0" fontId="33" fillId="0" borderId="0" xfId="0" applyFont="1" applyAlignment="1">
      <alignment horizontal="center" vertical="center"/>
    </xf>
    <xf numFmtId="0" fontId="41" fillId="0" borderId="5" xfId="6" applyFont="1" applyBorder="1" applyAlignment="1">
      <alignment horizontal="center" vertical="center" wrapText="1"/>
    </xf>
    <xf numFmtId="44" fontId="30" fillId="7" borderId="5" xfId="1" applyFont="1" applyFill="1" applyBorder="1" applyAlignment="1">
      <alignment horizontal="center"/>
    </xf>
    <xf numFmtId="168" fontId="0" fillId="0" borderId="5" xfId="0" applyNumberFormat="1" applyBorder="1"/>
    <xf numFmtId="0" fontId="32" fillId="11" borderId="5" xfId="0" applyFont="1" applyFill="1" applyBorder="1"/>
    <xf numFmtId="165" fontId="33" fillId="0" borderId="0" xfId="0" applyNumberFormat="1" applyFont="1"/>
    <xf numFmtId="0" fontId="41" fillId="10" borderId="5" xfId="6" applyFont="1" applyFill="1" applyBorder="1" applyAlignment="1">
      <alignment horizontal="center" vertical="center" wrapText="1"/>
    </xf>
    <xf numFmtId="49" fontId="41" fillId="0" borderId="5" xfId="6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/>
    </xf>
    <xf numFmtId="49" fontId="41" fillId="0" borderId="23" xfId="6" applyNumberFormat="1" applyFont="1" applyBorder="1" applyAlignment="1">
      <alignment horizontal="center" vertical="center"/>
    </xf>
    <xf numFmtId="44" fontId="32" fillId="0" borderId="22" xfId="1" applyFont="1" applyFill="1" applyBorder="1" applyAlignment="1">
      <alignment horizontal="center"/>
    </xf>
    <xf numFmtId="44" fontId="30" fillId="0" borderId="22" xfId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/>
    <xf numFmtId="0" fontId="32" fillId="0" borderId="22" xfId="0" applyFont="1" applyBorder="1" applyAlignment="1">
      <alignment horizontal="center" vertical="center"/>
    </xf>
    <xf numFmtId="0" fontId="44" fillId="11" borderId="0" xfId="0" applyFont="1" applyFill="1" applyAlignment="1">
      <alignment horizontal="center"/>
    </xf>
    <xf numFmtId="44" fontId="32" fillId="0" borderId="5" xfId="1" applyFont="1" applyFill="1" applyBorder="1" applyAlignment="1">
      <alignment horizontal="center" wrapText="1"/>
    </xf>
    <xf numFmtId="44" fontId="30" fillId="12" borderId="5" xfId="1" applyFont="1" applyFill="1" applyBorder="1" applyAlignment="1">
      <alignment horizontal="center"/>
    </xf>
    <xf numFmtId="44" fontId="30" fillId="0" borderId="5" xfId="1" applyFont="1" applyFill="1" applyBorder="1"/>
    <xf numFmtId="0" fontId="39" fillId="10" borderId="5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39" fillId="10" borderId="23" xfId="0" applyFont="1" applyFill="1" applyBorder="1" applyAlignment="1">
      <alignment horizontal="center"/>
    </xf>
    <xf numFmtId="4" fontId="28" fillId="0" borderId="5" xfId="3" quotePrefix="1" applyNumberFormat="1" applyFont="1" applyFill="1" applyBorder="1" applyAlignment="1">
      <alignment wrapText="1"/>
    </xf>
    <xf numFmtId="44" fontId="32" fillId="0" borderId="5" xfId="1" applyFont="1" applyFill="1" applyBorder="1" applyAlignment="1">
      <alignment horizontal="right"/>
    </xf>
    <xf numFmtId="43" fontId="30" fillId="10" borderId="5" xfId="3" applyFont="1" applyFill="1" applyBorder="1" applyAlignment="1">
      <alignment horizontal="center"/>
    </xf>
    <xf numFmtId="43" fontId="30" fillId="0" borderId="5" xfId="3" applyFont="1" applyFill="1" applyBorder="1" applyAlignment="1">
      <alignment horizontal="center"/>
    </xf>
    <xf numFmtId="43" fontId="30" fillId="10" borderId="5" xfId="3" applyFont="1" applyFill="1" applyBorder="1"/>
    <xf numFmtId="0" fontId="29" fillId="0" borderId="23" xfId="0" applyFont="1" applyBorder="1" applyAlignment="1">
      <alignment horizontal="center"/>
    </xf>
    <xf numFmtId="0" fontId="0" fillId="10" borderId="0" xfId="0" applyFill="1"/>
    <xf numFmtId="0" fontId="30" fillId="0" borderId="22" xfId="0" applyFont="1" applyBorder="1" applyAlignment="1">
      <alignment horizontal="center" vertical="center"/>
    </xf>
    <xf numFmtId="44" fontId="18" fillId="0" borderId="22" xfId="1" applyFont="1" applyFill="1" applyBorder="1" applyAlignment="1"/>
    <xf numFmtId="44" fontId="18" fillId="10" borderId="22" xfId="1" applyFont="1" applyFill="1" applyBorder="1" applyAlignment="1"/>
    <xf numFmtId="44" fontId="18" fillId="0" borderId="0" xfId="1" applyFont="1" applyFill="1" applyBorder="1" applyAlignment="1"/>
    <xf numFmtId="44" fontId="32" fillId="0" borderId="0" xfId="1" applyFont="1" applyFill="1" applyBorder="1" applyAlignment="1">
      <alignment horizontal="center"/>
    </xf>
    <xf numFmtId="0" fontId="28" fillId="0" borderId="5" xfId="0" applyFont="1" applyBorder="1" applyAlignment="1">
      <alignment wrapText="1" shrinkToFit="1"/>
    </xf>
    <xf numFmtId="0" fontId="28" fillId="0" borderId="5" xfId="0" applyFont="1" applyBorder="1" applyAlignment="1">
      <alignment wrapText="1"/>
    </xf>
    <xf numFmtId="0" fontId="28" fillId="0" borderId="5" xfId="0" applyFont="1" applyBorder="1" applyAlignment="1">
      <alignment horizontal="center" vertical="center" wrapText="1"/>
    </xf>
    <xf numFmtId="43" fontId="28" fillId="0" borderId="5" xfId="3" quotePrefix="1" applyFont="1" applyFill="1" applyBorder="1" applyAlignment="1">
      <alignment horizontal="center" wrapText="1"/>
    </xf>
    <xf numFmtId="0" fontId="30" fillId="10" borderId="0" xfId="0" applyFont="1" applyFill="1"/>
    <xf numFmtId="44" fontId="18" fillId="0" borderId="5" xfId="1" applyFont="1" applyFill="1" applyBorder="1" applyAlignment="1"/>
    <xf numFmtId="44" fontId="18" fillId="10" borderId="5" xfId="1" applyFont="1" applyFill="1" applyBorder="1" applyAlignment="1"/>
    <xf numFmtId="0" fontId="39" fillId="0" borderId="2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6" fillId="0" borderId="5" xfId="8" applyFont="1" applyBorder="1" applyAlignment="1">
      <alignment wrapText="1"/>
    </xf>
    <xf numFmtId="0" fontId="43" fillId="0" borderId="5" xfId="0" applyFont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16" fillId="0" borderId="5" xfId="8" applyFont="1" applyBorder="1"/>
    <xf numFmtId="0" fontId="18" fillId="0" borderId="23" xfId="0" applyFont="1" applyBorder="1" applyAlignment="1">
      <alignment horizontal="center"/>
    </xf>
    <xf numFmtId="0" fontId="33" fillId="10" borderId="23" xfId="0" applyFont="1" applyFill="1" applyBorder="1" applyAlignment="1">
      <alignment horizontal="center"/>
    </xf>
    <xf numFmtId="0" fontId="16" fillId="0" borderId="0" xfId="8" applyFont="1"/>
    <xf numFmtId="0" fontId="30" fillId="0" borderId="22" xfId="0" applyFont="1" applyBorder="1"/>
    <xf numFmtId="43" fontId="32" fillId="0" borderId="22" xfId="3" applyFont="1" applyFill="1" applyBorder="1" applyAlignment="1">
      <alignment horizontal="center"/>
    </xf>
    <xf numFmtId="43" fontId="30" fillId="0" borderId="22" xfId="3" applyFont="1" applyFill="1" applyBorder="1" applyAlignment="1">
      <alignment horizontal="center"/>
    </xf>
    <xf numFmtId="0" fontId="32" fillId="7" borderId="5" xfId="0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9" fillId="0" borderId="23" xfId="0" applyFont="1" applyBorder="1" applyAlignment="1">
      <alignment horizontal="center" vertical="center"/>
    </xf>
    <xf numFmtId="165" fontId="30" fillId="0" borderId="0" xfId="0" applyNumberFormat="1" applyFont="1"/>
    <xf numFmtId="0" fontId="42" fillId="0" borderId="0" xfId="0" applyFont="1"/>
    <xf numFmtId="43" fontId="32" fillId="10" borderId="5" xfId="3" applyFont="1" applyFill="1" applyBorder="1" applyAlignment="1">
      <alignment horizontal="center"/>
    </xf>
    <xf numFmtId="0" fontId="42" fillId="10" borderId="0" xfId="0" applyFont="1" applyFill="1"/>
    <xf numFmtId="0" fontId="27" fillId="0" borderId="0" xfId="0" applyFont="1" applyAlignment="1">
      <alignment horizontal="center" vertical="center"/>
    </xf>
    <xf numFmtId="0" fontId="42" fillId="0" borderId="5" xfId="0" applyFont="1" applyBorder="1" applyAlignment="1">
      <alignment horizontal="center"/>
    </xf>
    <xf numFmtId="0" fontId="47" fillId="0" borderId="5" xfId="6" applyFont="1" applyBorder="1" applyAlignment="1">
      <alignment horizontal="center" vertical="center" wrapText="1"/>
    </xf>
    <xf numFmtId="0" fontId="47" fillId="10" borderId="5" xfId="6" applyFont="1" applyFill="1" applyBorder="1" applyAlignment="1">
      <alignment horizontal="center" vertical="center" wrapText="1"/>
    </xf>
    <xf numFmtId="43" fontId="32" fillId="7" borderId="5" xfId="3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43" fontId="32" fillId="0" borderId="0" xfId="3" applyFont="1" applyFill="1" applyBorder="1" applyAlignment="1">
      <alignment horizontal="center"/>
    </xf>
    <xf numFmtId="49" fontId="0" fillId="0" borderId="0" xfId="0" applyNumberFormat="1"/>
    <xf numFmtId="0" fontId="29" fillId="0" borderId="22" xfId="0" applyFont="1" applyBorder="1" applyAlignment="1">
      <alignment horizontal="center"/>
    </xf>
    <xf numFmtId="0" fontId="32" fillId="0" borderId="23" xfId="0" applyFont="1" applyBorder="1" applyAlignment="1">
      <alignment vertical="center"/>
    </xf>
    <xf numFmtId="0" fontId="42" fillId="0" borderId="5" xfId="0" applyFont="1" applyBorder="1" applyAlignment="1">
      <alignment horizontal="center" vertical="center" wrapText="1"/>
    </xf>
    <xf numFmtId="0" fontId="32" fillId="0" borderId="24" xfId="0" applyFont="1" applyBorder="1" applyAlignment="1">
      <alignment vertical="center"/>
    </xf>
    <xf numFmtId="0" fontId="32" fillId="2" borderId="5" xfId="0" applyFont="1" applyFill="1" applyBorder="1"/>
    <xf numFmtId="0" fontId="16" fillId="0" borderId="5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2" fillId="10" borderId="0" xfId="0" applyFont="1" applyFill="1" applyAlignment="1">
      <alignment horizontal="center"/>
    </xf>
    <xf numFmtId="43" fontId="32" fillId="13" borderId="5" xfId="3" applyFont="1" applyFill="1" applyBorder="1" applyAlignment="1">
      <alignment horizontal="center"/>
    </xf>
    <xf numFmtId="0" fontId="30" fillId="7" borderId="0" xfId="0" applyFont="1" applyFill="1"/>
    <xf numFmtId="0" fontId="2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9" fillId="0" borderId="5" xfId="0" applyFont="1" applyBorder="1" applyAlignment="1">
      <alignment wrapText="1" shrinkToFit="1"/>
    </xf>
    <xf numFmtId="0" fontId="29" fillId="0" borderId="5" xfId="0" applyFont="1" applyBorder="1" applyAlignment="1">
      <alignment horizontal="center" wrapText="1" shrinkToFit="1"/>
    </xf>
    <xf numFmtId="43" fontId="30" fillId="0" borderId="5" xfId="3" applyFont="1" applyFill="1" applyBorder="1"/>
    <xf numFmtId="0" fontId="43" fillId="0" borderId="5" xfId="0" applyFont="1" applyBorder="1" applyAlignment="1">
      <alignment horizontal="center"/>
    </xf>
    <xf numFmtId="49" fontId="31" fillId="0" borderId="5" xfId="0" applyNumberFormat="1" applyFont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left"/>
    </xf>
    <xf numFmtId="43" fontId="32" fillId="7" borderId="23" xfId="3" applyFont="1" applyFill="1" applyBorder="1" applyAlignment="1">
      <alignment horizontal="center"/>
    </xf>
    <xf numFmtId="0" fontId="32" fillId="10" borderId="5" xfId="0" applyFont="1" applyFill="1" applyBorder="1" applyAlignment="1">
      <alignment horizontal="center" vertical="center"/>
    </xf>
    <xf numFmtId="0" fontId="32" fillId="13" borderId="5" xfId="0" applyFont="1" applyFill="1" applyBorder="1" applyAlignment="1">
      <alignment vertical="center"/>
    </xf>
    <xf numFmtId="43" fontId="30" fillId="12" borderId="5" xfId="3" applyFont="1" applyFill="1" applyBorder="1" applyAlignment="1">
      <alignment horizontal="center"/>
    </xf>
    <xf numFmtId="0" fontId="32" fillId="11" borderId="5" xfId="0" applyFont="1" applyFill="1" applyBorder="1" applyAlignment="1">
      <alignment vertical="center"/>
    </xf>
    <xf numFmtId="0" fontId="43" fillId="0" borderId="5" xfId="9" applyFont="1" applyBorder="1"/>
    <xf numFmtId="0" fontId="29" fillId="0" borderId="13" xfId="0" applyFont="1" applyBorder="1" applyAlignment="1">
      <alignment horizontal="center"/>
    </xf>
    <xf numFmtId="0" fontId="32" fillId="0" borderId="13" xfId="0" applyFont="1" applyBorder="1" applyAlignment="1">
      <alignment horizontal="left"/>
    </xf>
    <xf numFmtId="0" fontId="32" fillId="0" borderId="49" xfId="0" applyFont="1" applyBorder="1" applyAlignment="1">
      <alignment horizontal="center" vertical="center"/>
    </xf>
    <xf numFmtId="43" fontId="32" fillId="0" borderId="13" xfId="3" applyFont="1" applyFill="1" applyBorder="1" applyAlignment="1">
      <alignment horizontal="center"/>
    </xf>
    <xf numFmtId="44" fontId="32" fillId="0" borderId="49" xfId="1" applyFont="1" applyFill="1" applyBorder="1" applyAlignment="1">
      <alignment horizontal="center"/>
    </xf>
    <xf numFmtId="43" fontId="30" fillId="0" borderId="49" xfId="3" applyFont="1" applyFill="1" applyBorder="1" applyAlignment="1">
      <alignment horizontal="center"/>
    </xf>
    <xf numFmtId="44" fontId="32" fillId="0" borderId="13" xfId="1" applyFont="1" applyFill="1" applyBorder="1" applyAlignment="1">
      <alignment horizontal="center"/>
    </xf>
    <xf numFmtId="169" fontId="32" fillId="0" borderId="13" xfId="7" applyFont="1" applyFill="1" applyBorder="1" applyAlignment="1">
      <alignment horizontal="center"/>
    </xf>
    <xf numFmtId="0" fontId="27" fillId="14" borderId="0" xfId="0" applyFont="1" applyFill="1" applyAlignment="1">
      <alignment horizontal="center" vertical="center" wrapText="1"/>
    </xf>
    <xf numFmtId="44" fontId="30" fillId="0" borderId="0" xfId="0" applyNumberFormat="1" applyFont="1"/>
    <xf numFmtId="0" fontId="42" fillId="0" borderId="0" xfId="0" applyFont="1" applyAlignment="1">
      <alignment horizontal="center" vertical="center" wrapText="1"/>
    </xf>
    <xf numFmtId="0" fontId="18" fillId="0" borderId="0" xfId="0" applyFont="1" applyBorder="1"/>
    <xf numFmtId="0" fontId="2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44" fontId="18" fillId="10" borderId="0" xfId="1" applyFont="1" applyFill="1" applyBorder="1" applyAlignment="1"/>
    <xf numFmtId="43" fontId="32" fillId="11" borderId="5" xfId="3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3" fontId="0" fillId="2" borderId="5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4" fontId="0" fillId="2" borderId="2" xfId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 wrapText="1"/>
    </xf>
    <xf numFmtId="3" fontId="0" fillId="2" borderId="2" xfId="1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7" fillId="2" borderId="2" xfId="2" applyFont="1" applyFill="1" applyBorder="1" applyAlignment="1">
      <alignment horizontal="center" vertical="center"/>
    </xf>
    <xf numFmtId="4" fontId="27" fillId="2" borderId="2" xfId="2" applyNumberFormat="1" applyFont="1" applyFill="1" applyBorder="1"/>
    <xf numFmtId="44" fontId="0" fillId="2" borderId="3" xfId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4" fontId="27" fillId="2" borderId="2" xfId="2" applyNumberFormat="1" applyFont="1" applyFill="1" applyBorder="1"/>
    <xf numFmtId="44" fontId="27" fillId="2" borderId="5" xfId="2" applyNumberFormat="1" applyFont="1" applyFill="1" applyBorder="1"/>
    <xf numFmtId="44" fontId="0" fillId="0" borderId="5" xfId="0" applyNumberFormat="1" applyBorder="1"/>
    <xf numFmtId="44" fontId="0" fillId="2" borderId="5" xfId="1" applyNumberFormat="1" applyFont="1" applyFill="1" applyBorder="1" applyAlignment="1">
      <alignment horizontal="center" vertical="center" wrapText="1"/>
    </xf>
    <xf numFmtId="44" fontId="0" fillId="2" borderId="2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44" fontId="0" fillId="0" borderId="5" xfId="0" applyNumberFormat="1" applyFill="1" applyBorder="1"/>
    <xf numFmtId="0" fontId="0" fillId="0" borderId="5" xfId="0" applyNumberForma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center" vertical="center" wrapText="1"/>
    </xf>
    <xf numFmtId="44" fontId="0" fillId="0" borderId="5" xfId="1" applyNumberFormat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4" fontId="0" fillId="0" borderId="0" xfId="0" applyNumberFormat="1" applyFill="1"/>
    <xf numFmtId="44" fontId="0" fillId="0" borderId="0" xfId="0" applyNumberFormat="1" applyFill="1" applyBorder="1"/>
    <xf numFmtId="0" fontId="27" fillId="0" borderId="5" xfId="2" applyFont="1" applyFill="1" applyBorder="1" applyAlignment="1">
      <alignment horizontal="center" vertical="center"/>
    </xf>
    <xf numFmtId="0" fontId="27" fillId="0" borderId="5" xfId="2" applyFont="1" applyFill="1" applyBorder="1" applyAlignment="1">
      <alignment horizontal="center"/>
    </xf>
    <xf numFmtId="164" fontId="0" fillId="0" borderId="0" xfId="0" applyNumberFormat="1" applyFill="1"/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/>
    </xf>
    <xf numFmtId="44" fontId="0" fillId="0" borderId="8" xfId="0" applyNumberFormat="1" applyFill="1" applyBorder="1"/>
    <xf numFmtId="0" fontId="0" fillId="0" borderId="8" xfId="0" applyNumberFormat="1" applyFill="1" applyBorder="1" applyAlignment="1">
      <alignment horizontal="center"/>
    </xf>
    <xf numFmtId="44" fontId="0" fillId="0" borderId="8" xfId="1" applyFont="1" applyFill="1" applyBorder="1" applyAlignment="1">
      <alignment horizontal="center" vertical="center" wrapText="1"/>
    </xf>
    <xf numFmtId="0" fontId="27" fillId="0" borderId="8" xfId="2" applyFont="1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44" fontId="0" fillId="0" borderId="8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49" fontId="0" fillId="0" borderId="0" xfId="1" applyNumberFormat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44" fontId="0" fillId="0" borderId="0" xfId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9" fontId="0" fillId="0" borderId="0" xfId="1" applyNumberFormat="1" applyFon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38" fillId="10" borderId="47" xfId="0" applyFont="1" applyFill="1" applyBorder="1" applyAlignment="1">
      <alignment horizontal="center" vertical="center"/>
    </xf>
    <xf numFmtId="0" fontId="38" fillId="10" borderId="48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8" fillId="7" borderId="47" xfId="0" applyFont="1" applyFill="1" applyBorder="1" applyAlignment="1">
      <alignment horizontal="center" vertical="center"/>
    </xf>
    <xf numFmtId="0" fontId="38" fillId="7" borderId="48" xfId="0" applyFont="1" applyFill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40" fillId="0" borderId="0" xfId="0" applyFont="1" applyAlignment="1">
      <alignment horizontal="left" wrapText="1"/>
    </xf>
    <xf numFmtId="0" fontId="38" fillId="0" borderId="47" xfId="0" applyFont="1" applyBorder="1" applyAlignment="1">
      <alignment horizontal="left" vertical="center" wrapText="1"/>
    </xf>
    <xf numFmtId="0" fontId="38" fillId="0" borderId="48" xfId="0" applyFont="1" applyBorder="1" applyAlignment="1">
      <alignment horizontal="left" vertical="center" wrapText="1"/>
    </xf>
    <xf numFmtId="0" fontId="10" fillId="9" borderId="13" xfId="2" applyFont="1" applyFill="1" applyBorder="1" applyAlignment="1">
      <alignment horizontal="left" wrapText="1"/>
    </xf>
    <xf numFmtId="0" fontId="10" fillId="3" borderId="15" xfId="2" applyFont="1" applyFill="1" applyBorder="1" applyAlignment="1">
      <alignment horizontal="left" wrapText="1"/>
    </xf>
    <xf numFmtId="0" fontId="10" fillId="3" borderId="16" xfId="2" applyFont="1" applyFill="1" applyBorder="1" applyAlignment="1">
      <alignment horizontal="left" wrapText="1"/>
    </xf>
    <xf numFmtId="0" fontId="10" fillId="9" borderId="5" xfId="2" applyFont="1" applyFill="1" applyBorder="1" applyAlignment="1">
      <alignment horizontal="left" wrapText="1"/>
    </xf>
    <xf numFmtId="0" fontId="10" fillId="3" borderId="25" xfId="2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left" vertical="center" wrapText="1"/>
    </xf>
    <xf numFmtId="0" fontId="10" fillId="9" borderId="5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left" vertical="center"/>
    </xf>
    <xf numFmtId="0" fontId="10" fillId="3" borderId="26" xfId="2" applyFont="1" applyFill="1" applyBorder="1" applyAlignment="1">
      <alignment horizontal="left" vertical="center"/>
    </xf>
    <xf numFmtId="0" fontId="10" fillId="9" borderId="8" xfId="2" applyFont="1" applyFill="1" applyBorder="1" applyAlignment="1">
      <alignment horizontal="left" wrapText="1"/>
    </xf>
    <xf numFmtId="0" fontId="21" fillId="9" borderId="5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wrapText="1"/>
    </xf>
    <xf numFmtId="0" fontId="10" fillId="3" borderId="2" xfId="2" applyFont="1" applyFill="1" applyBorder="1" applyAlignment="1">
      <alignment horizontal="left" wrapText="1"/>
    </xf>
    <xf numFmtId="0" fontId="10" fillId="2" borderId="11" xfId="2" applyFont="1" applyFill="1" applyBorder="1" applyAlignment="1">
      <alignment horizontal="center" wrapText="1"/>
    </xf>
    <xf numFmtId="0" fontId="10" fillId="9" borderId="22" xfId="2" applyFont="1" applyFill="1" applyBorder="1" applyAlignment="1">
      <alignment horizontal="center" vertical="center" wrapText="1"/>
    </xf>
    <xf numFmtId="0" fontId="10" fillId="9" borderId="23" xfId="2" applyFont="1" applyFill="1" applyBorder="1" applyAlignment="1">
      <alignment horizontal="center" vertical="center" wrapText="1"/>
    </xf>
    <xf numFmtId="0" fontId="10" fillId="9" borderId="13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left" wrapText="1"/>
    </xf>
    <xf numFmtId="0" fontId="10" fillId="0" borderId="11" xfId="2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5" borderId="28" xfId="2" applyFont="1" applyFill="1" applyBorder="1" applyAlignment="1">
      <alignment horizontal="center" vertical="center"/>
    </xf>
    <xf numFmtId="0" fontId="13" fillId="5" borderId="29" xfId="2" applyFont="1" applyFill="1" applyBorder="1" applyAlignment="1">
      <alignment horizontal="center" vertical="center"/>
    </xf>
    <xf numFmtId="0" fontId="13" fillId="5" borderId="3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40" fontId="10" fillId="3" borderId="2" xfId="2" applyNumberFormat="1" applyFont="1" applyFill="1" applyBorder="1" applyAlignment="1">
      <alignment horizontal="center" vertical="center" wrapText="1"/>
    </xf>
    <xf numFmtId="40" fontId="10" fillId="3" borderId="5" xfId="2" applyNumberFormat="1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wrapText="1"/>
    </xf>
    <xf numFmtId="0" fontId="10" fillId="3" borderId="3" xfId="2" applyFont="1" applyFill="1" applyBorder="1" applyAlignment="1">
      <alignment horizontal="center" wrapText="1"/>
    </xf>
  </cellXfs>
  <cellStyles count="10">
    <cellStyle name="Millares" xfId="3" builtinId="3"/>
    <cellStyle name="Moneda" xfId="1" builtinId="4"/>
    <cellStyle name="Moneda 2 2" xfId="7" xr:uid="{00000000-0005-0000-0000-000002000000}"/>
    <cellStyle name="Normal" xfId="0" builtinId="0"/>
    <cellStyle name="Normal 10" xfId="8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  <cellStyle name="Normal_.xls]info prese" xfId="6" xr:uid="{00000000-0005-0000-0000-000008000000}"/>
    <cellStyle name="Normal_Hoja1 5" xfId="9" xr:uid="{00000000-0005-0000-0000-000009000000}"/>
  </cellStyles>
  <dxfs count="207"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111099</xdr:colOff>
      <xdr:row>0</xdr:row>
      <xdr:rowOff>100853</xdr:rowOff>
    </xdr:from>
    <xdr:to>
      <xdr:col>3</xdr:col>
      <xdr:colOff>1882589</xdr:colOff>
      <xdr:row>5</xdr:row>
      <xdr:rowOff>86462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301599" y="100853"/>
          <a:ext cx="3855784" cy="938109"/>
        </a:xfrm>
        <a:prstGeom prst="rect">
          <a:avLst/>
        </a:prstGeom>
      </xdr:spPr>
    </xdr:pic>
    <xdr:clientData/>
  </xdr:twoCellAnchor>
  <xdr:twoCellAnchor editAs="oneCell">
    <xdr:from>
      <xdr:col>36</xdr:col>
      <xdr:colOff>557893</xdr:colOff>
      <xdr:row>0</xdr:row>
      <xdr:rowOff>0</xdr:rowOff>
    </xdr:from>
    <xdr:to>
      <xdr:col>40</xdr:col>
      <xdr:colOff>954201</xdr:colOff>
      <xdr:row>6</xdr:row>
      <xdr:rowOff>234723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12857" y="0"/>
          <a:ext cx="4124665" cy="1377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delegado" refreshedDate="44966.521350115741" createdVersion="5" refreshedVersion="5" minRefreshableVersion="3" recordCount="33" xr:uid="{00000000-000A-0000-FFFF-FFFF00000000}">
  <cacheSource type="worksheet">
    <worksheetSource ref="A1:O34" sheet="ACT1"/>
  </cacheSource>
  <cacheFields count="15">
    <cacheField name="No" numFmtId="0">
      <sharedItems containsSemiMixedTypes="0" containsString="0" containsNumber="1" containsInteger="1" minValue="1" maxValue="32"/>
    </cacheField>
    <cacheField name="CONTRATO" numFmtId="0">
      <sharedItems containsBlank="1"/>
    </cacheField>
    <cacheField name="NO. EMPLEADO" numFmtId="0">
      <sharedItems containsString="0" containsBlank="1" containsNumber="1" containsInteger="1" minValue="9901085285" maxValue="9901575927"/>
    </cacheField>
    <cacheField name="NOMBRE" numFmtId="0">
      <sharedItems/>
    </cacheField>
    <cacheField name="PUESTO NOMINAL" numFmtId="0">
      <sharedItems count="8">
        <s v="TALLERISTA"/>
        <s v="AUXILIAR MISCELÁNEO"/>
        <s v="CONSERJE"/>
        <s v="MAESTRO DE OBRAS"/>
        <s v="PEÓN VIGILANTE V"/>
        <s v="PILOTO I DE VEHÍCULOS LIVIANOS"/>
        <s v="MENSAJERO II"/>
        <s v="MENSAJERO I"/>
      </sharedItems>
    </cacheField>
    <cacheField name="DIAS " numFmtId="0">
      <sharedItems containsString="0" containsBlank="1" containsNumber="1" containsInteger="1" minValue="31" maxValue="31"/>
    </cacheField>
    <cacheField name="031 JORNAL" numFmtId="0">
      <sharedItems containsSemiMixedTypes="0" containsString="0" containsNumber="1" minValue="71.400000000000006" maxValue="80.86"/>
    </cacheField>
    <cacheField name="031 JORNAL MENSUAL" numFmtId="44">
      <sharedItems containsSemiMixedTypes="0" containsString="0" containsNumber="1" minValue="0" maxValue="2506.66"/>
    </cacheField>
    <cacheField name="031 JORNAL ANUAL" numFmtId="44">
      <sharedItems containsSemiMixedTypes="0" containsString="0" containsNumber="1" minValue="8568" maxValue="9703.2000000000007"/>
    </cacheField>
    <cacheField name="VIGENCIA CONTRATO" numFmtId="49">
      <sharedItems containsSemiMixedTypes="0" containsString="0" containsNumber="1" containsInteger="1" minValue="4" maxValue="4"/>
    </cacheField>
    <cacheField name="032 B ANT" numFmtId="0">
      <sharedItems containsString="0" containsBlank="1" containsNumber="1" containsInteger="1" minValue="0" maxValue="75" count="5">
        <n v="0"/>
        <n v="35"/>
        <m/>
        <n v="50"/>
        <n v="75"/>
      </sharedItems>
    </cacheField>
    <cacheField name="TOTAL 033" numFmtId="44">
      <sharedItems containsString="0" containsBlank="1" containsNumber="1" containsInteger="1" minValue="1760" maxValue="1760"/>
    </cacheField>
    <cacheField name="033 (IDAEH)" numFmtId="44">
      <sharedItems containsString="0" containsBlank="1" containsNumber="1" containsInteger="1" minValue="1510" maxValue="1510"/>
    </cacheField>
    <cacheField name="033 66-2000" numFmtId="44">
      <sharedItems containsString="0" containsBlank="1" containsNumber="1" containsInteger="1" minValue="250" maxValue="250"/>
    </cacheField>
    <cacheField name="TOTAL INGRESOS " numFmtId="44">
      <sharedItems containsString="0" containsBlank="1" containsNumber="1" minValue="3973.4" maxValue="4301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delegado" refreshedDate="44966.532973726855" createdVersion="5" refreshedVersion="5" minRefreshableVersion="3" recordCount="13" xr:uid="{00000000-000A-0000-FFFF-FFFF01000000}">
  <cacheSource type="worksheet">
    <worksheetSource ref="A1:AB14" sheet="ACT2"/>
  </cacheSource>
  <cacheFields count="28">
    <cacheField name="No" numFmtId="0">
      <sharedItems containsSemiMixedTypes="0" containsString="0" containsNumber="1" containsInteger="1" minValue="1" maxValue="10"/>
    </cacheField>
    <cacheField name="CONTRATO" numFmtId="0">
      <sharedItems containsBlank="1"/>
    </cacheField>
    <cacheField name="NO. EMPLEADO" numFmtId="0">
      <sharedItems containsString="0" containsBlank="1" containsNumber="1" containsInteger="1" minValue="9901442201" maxValue="9901450923"/>
    </cacheField>
    <cacheField name="NOMBRE" numFmtId="0">
      <sharedItems containsBlank="1"/>
    </cacheField>
    <cacheField name="PUESTO NOMINAL" numFmtId="0">
      <sharedItems containsBlank="1" count="5">
        <s v="ALBAÑIL I"/>
        <m/>
        <s v="AUXILIAR MISCELÁNEO"/>
        <s v="ALBAÑIL I " u="1"/>
        <s v="PILOTO I DE VEHÍCULOS LIVIANOS" u="1"/>
      </sharedItems>
    </cacheField>
    <cacheField name="RENGLON" numFmtId="0">
      <sharedItems containsString="0" containsBlank="1" containsNumber="1" containsInteger="1" minValue="31" maxValue="31"/>
    </cacheField>
    <cacheField name="031 JORNAL" numFmtId="44">
      <sharedItems containsString="0" containsBlank="1" containsNumber="1" minValue="71.400000000000006" maxValue="72.540000000000006"/>
    </cacheField>
    <cacheField name="031 JORNAL MENSUAL" numFmtId="44">
      <sharedItems containsString="0" containsBlank="1" containsNumber="1" minValue="2213.4" maxValue="2248.7400000000002"/>
    </cacheField>
    <cacheField name="031 JORNAL ANUAL" numFmtId="44">
      <sharedItems containsString="0" containsBlank="1" containsNumber="1" minValue="8568" maxValue="8704.8000000000011"/>
    </cacheField>
    <cacheField name="VIGENCIA CONTRATO" numFmtId="49">
      <sharedItems containsString="0" containsBlank="1" containsNumber="1" containsInteger="1" minValue="4" maxValue="4"/>
    </cacheField>
    <cacheField name="032 B ANT" numFmtId="44">
      <sharedItems containsString="0" containsBlank="1" containsNumber="1" containsInteger="1" minValue="0" maxValue="75"/>
    </cacheField>
    <cacheField name="TOTAL 033" numFmtId="44">
      <sharedItems containsString="0" containsBlank="1" containsNumber="1" containsInteger="1" minValue="1760" maxValue="1760"/>
    </cacheField>
    <cacheField name="033 (IDAEH)" numFmtId="44">
      <sharedItems containsString="0" containsBlank="1" containsNumber="1" containsInteger="1" minValue="1510" maxValue="1510"/>
    </cacheField>
    <cacheField name="033 66-2000" numFmtId="44">
      <sharedItems containsString="0" containsBlank="1" containsNumber="1" containsInteger="1" minValue="250" maxValue="250"/>
    </cacheField>
    <cacheField name="TOTAL INGRESOS " numFmtId="44">
      <sharedItems containsString="0" containsBlank="1" containsNumber="1" minValue="3973.4" maxValue="4083.7400000000002"/>
    </cacheField>
    <cacheField name="BONO 14" numFmtId="165">
      <sharedItems containsString="0" containsBlank="1" containsNumber="1" minValue="1217.3333333333333" maxValue="1253.7333333333333"/>
    </cacheField>
    <cacheField name="AGUINALDO" numFmtId="165">
      <sharedItems containsString="0" containsBlank="1" containsNumber="1" minValue="1200.6575342465753" maxValue="1236.5589041095891"/>
    </cacheField>
    <cacheField name="BONO VACACIONAL" numFmtId="165">
      <sharedItems containsString="0" containsBlank="1" containsNumber="1" minValue="65.753424657534239" maxValue="65.753424657534239"/>
    </cacheField>
    <cacheField name="COMPROMISO SALARIO" numFmtId="165">
      <sharedItems containsSemiMixedTypes="0" containsString="0" containsNumber="1" minValue="0" maxValue="16044.800000000001"/>
    </cacheField>
    <cacheField name="COMPROMISO SALARIO + BONOS " numFmtId="165">
      <sharedItems containsSemiMixedTypes="0" containsString="0" containsNumber="1" minValue="0" maxValue="18600.845662100459"/>
    </cacheField>
    <cacheField name="IGSS" numFmtId="169">
      <sharedItems containsSemiMixedTypes="0" containsString="0" containsNumber="1" minValue="0" maxValue="185.17"/>
    </cacheField>
    <cacheField name="MONTEPIO" numFmtId="0">
      <sharedItems containsString="0" containsBlank="1" containsNumber="1" minValue="409.57400000000001" maxValue="421.71140000000003"/>
    </cacheField>
    <cacheField name="CUOTA SINDICAL" numFmtId="0">
      <sharedItems containsString="0" containsBlank="1" containsNumber="1" containsInteger="1" minValue="10" maxValue="10"/>
    </cacheField>
    <cacheField name="D" numFmtId="44">
      <sharedItems containsNonDate="0" containsString="0" containsBlank="1"/>
    </cacheField>
    <cacheField name="DDD" numFmtId="44">
      <sharedItems containsString="0" containsBlank="1" containsNumber="1" minValue="1043.92" maxValue="1786.07"/>
    </cacheField>
    <cacheField name="EGRESOS " numFmtId="44">
      <sharedItems containsSemiMixedTypes="0" containsString="0" containsNumber="1" minValue="0" maxValue="2387.5514000000003"/>
    </cacheField>
    <cacheField name="LIQUIDO A RECIBIR" numFmtId="44">
      <sharedItems containsSemiMixedTypes="0" containsString="0" containsNumber="1" minValue="0" maxValue="3898.57"/>
    </cacheField>
    <cacheField name="BONO NAVIDEÑO" numFmtId="165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delegado" refreshedDate="44966.548994097226" createdVersion="5" refreshedVersion="5" minRefreshableVersion="3" recordCount="31" xr:uid="{00000000-000A-0000-FFFF-FFFF02000000}">
  <cacheSource type="worksheet">
    <worksheetSource ref="A4:AB35" sheet="ACT6"/>
  </cacheSource>
  <cacheFields count="28">
    <cacheField name="No" numFmtId="0">
      <sharedItems containsSemiMixedTypes="0" containsString="0" containsNumber="1" containsInteger="1" minValue="1" maxValue="13"/>
    </cacheField>
    <cacheField name="CONTRATO" numFmtId="0">
      <sharedItems containsBlank="1"/>
    </cacheField>
    <cacheField name="NO. EMPLEADO" numFmtId="0">
      <sharedItems containsSemiMixedTypes="0" containsString="0" containsNumber="1" containsInteger="1" minValue="9901442338" maxValue="9901563353"/>
    </cacheField>
    <cacheField name="NOMBRE" numFmtId="0">
      <sharedItems/>
    </cacheField>
    <cacheField name="PUESTO NOMINAL" numFmtId="0">
      <sharedItems count="9">
        <s v="CONSERJE"/>
        <s v="TALLERISTA"/>
        <s v="AUXILIAR MISCELÁNEO"/>
        <s v="BODEGUERO I"/>
        <s v="MAESTRO DE OBRAS"/>
        <s v="BODEGUERO II"/>
        <s v="ENCUADERNADOR"/>
        <s v="MENSAJERO I"/>
        <s v="PEON VIGILANTE I"/>
      </sharedItems>
    </cacheField>
    <cacheField name="RENGLON" numFmtId="0">
      <sharedItems containsSemiMixedTypes="0" containsString="0" containsNumber="1" containsInteger="1" minValue="31" maxValue="31"/>
    </cacheField>
    <cacheField name="031 JORNAL" numFmtId="0">
      <sharedItems containsSemiMixedTypes="0" containsString="0" containsNumber="1" minValue="71.400000000000006" maxValue="80.86"/>
    </cacheField>
    <cacheField name="031 JORNAL MENSUAL" numFmtId="44">
      <sharedItems containsSemiMixedTypes="0" containsString="0" containsNumber="1" minValue="2213.4" maxValue="2506.66"/>
    </cacheField>
    <cacheField name="031 JORNAL ANUAL" numFmtId="44">
      <sharedItems containsSemiMixedTypes="0" containsString="0" containsNumber="1" minValue="8568" maxValue="9703.2000000000007"/>
    </cacheField>
    <cacheField name="VIGENCIA CONTRATO" numFmtId="49">
      <sharedItems containsSemiMixedTypes="0" containsString="0" containsNumber="1" containsInteger="1" minValue="4" maxValue="4"/>
    </cacheField>
    <cacheField name="032 B ANT" numFmtId="0">
      <sharedItems containsString="0" containsBlank="1" containsNumber="1" containsInteger="1" minValue="0" maxValue="75" count="5">
        <m/>
        <n v="50"/>
        <n v="75"/>
        <n v="35"/>
        <n v="0"/>
      </sharedItems>
    </cacheField>
    <cacheField name="TOTAL 033" numFmtId="44">
      <sharedItems containsSemiMixedTypes="0" containsString="0" containsNumber="1" containsInteger="1" minValue="1760" maxValue="1760"/>
    </cacheField>
    <cacheField name="033 (IDAEH)" numFmtId="44">
      <sharedItems containsSemiMixedTypes="0" containsString="0" containsNumber="1" containsInteger="1" minValue="1510" maxValue="1510"/>
    </cacheField>
    <cacheField name="033 66-2000" numFmtId="44">
      <sharedItems containsSemiMixedTypes="0" containsString="0" containsNumber="1" containsInteger="1" minValue="250" maxValue="250"/>
    </cacheField>
    <cacheField name="TOTAL INGRESOS " numFmtId="44">
      <sharedItems containsSemiMixedTypes="0" containsString="0" containsNumber="1" minValue="3973.4" maxValue="4266.66"/>
    </cacheField>
    <cacheField name="BONO 14" numFmtId="165">
      <sharedItems containsSemiMixedTypes="0" containsString="0" containsNumber="1" minValue="1217.3333333333333" maxValue="1311.9333333333334"/>
    </cacheField>
    <cacheField name="AGUINALDO" numFmtId="165">
      <sharedItems containsSemiMixedTypes="0" containsString="0" containsNumber="1" minValue="1200.6575342465753" maxValue="1293.9616438356165"/>
    </cacheField>
    <cacheField name="BONO VACACIONAL" numFmtId="165">
      <sharedItems containsSemiMixedTypes="0" containsString="0" containsNumber="1" minValue="65.753424657534239" maxValue="65.753424657534239"/>
    </cacheField>
    <cacheField name="COMPROMISO SALARIO" numFmtId="165">
      <sharedItems containsSemiMixedTypes="0" containsString="0" containsNumber="1" minValue="15608" maxValue="16743.2"/>
    </cacheField>
    <cacheField name="COMPROMISO SALARIO + BONOS " numFmtId="165">
      <sharedItems containsSemiMixedTypes="0" containsString="0" containsNumber="1" minValue="18091.744292237443" maxValue="19414.848401826486"/>
    </cacheField>
    <cacheField name="IGSS" numFmtId="169">
      <sharedItems containsSemiMixedTypes="0" containsString="0" containsNumber="1" minValue="179.84" maxValue="194"/>
    </cacheField>
    <cacheField name="MONTEPIO" numFmtId="0">
      <sharedItems containsString="0" containsBlank="1" containsNumber="1" minValue="418.96140000000003" maxValue="428.83829999999995"/>
    </cacheField>
    <cacheField name="CUOTA SINDICAL" numFmtId="0">
      <sharedItems containsString="0" containsBlank="1" containsNumber="1" containsInteger="1" minValue="10" maxValue="10"/>
    </cacheField>
    <cacheField name="D" numFmtId="0">
      <sharedItems containsString="0" containsBlank="1" containsNumber="1" minValue="930.85" maxValue="1002.69"/>
    </cacheField>
    <cacheField name="DD" numFmtId="0">
      <sharedItems containsString="0" containsBlank="1" containsNumber="1" minValue="690.08" maxValue="2781.02"/>
    </cacheField>
    <cacheField name="EGRESOS " numFmtId="44">
      <sharedItems containsSemiMixedTypes="0" containsString="0" containsNumber="1" minValue="179.84" maxValue="3850.8199999999997"/>
    </cacheField>
    <cacheField name="LIQUIDO A RECIBIR" numFmtId="44">
      <sharedItems containsSemiMixedTypes="0" containsString="0" containsNumber="1" minValue="172.58000000000038" maxValue="4072.66"/>
    </cacheField>
    <cacheField name="BONO NAVIDEÑO" numFmtId="165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delegado" refreshedDate="44966.555141203702" createdVersion="5" refreshedVersion="5" minRefreshableVersion="3" recordCount="483" xr:uid="{00000000-000A-0000-FFFF-FFFF03000000}">
  <cacheSource type="worksheet">
    <worksheetSource ref="A1:AB484" sheet="ACT3"/>
  </cacheSource>
  <cacheFields count="28">
    <cacheField name="No" numFmtId="0">
      <sharedItems containsSemiMixedTypes="0" containsString="0" containsNumber="1" containsInteger="1" minValue="1" maxValue="150"/>
    </cacheField>
    <cacheField name="CONTRATO" numFmtId="0">
      <sharedItems containsBlank="1"/>
    </cacheField>
    <cacheField name="NO. EMPLEADO" numFmtId="0">
      <sharedItems containsMixedTypes="1" containsNumber="1" containsInteger="1" minValue="950109478" maxValue="9901576038"/>
    </cacheField>
    <cacheField name="NOMBRE" numFmtId="0">
      <sharedItems/>
    </cacheField>
    <cacheField name="PUESTO NOMINAL" numFmtId="0">
      <sharedItems count="28">
        <s v="PEÓN"/>
        <s v="ALBAÑIL I"/>
        <s v="AUXILIAR MISCELÁNEO"/>
        <s v="AUXILIAR DE TOPOGRAFÍA III"/>
        <s v="PEÓNVIGILANTE II"/>
        <s v="MAESTRO DE OBRAS"/>
        <s v="CAPORAL"/>
        <s v="PERFORADOR DE SUELOS"/>
        <s v="CONDUCTOR DE VEHÍCULOS LIVIANOS"/>
        <s v="BODEGUERO II"/>
        <s v="PEÓNVIVANDERA"/>
        <s v="CONSERJE"/>
        <s v="AUXILIAR DE ALBAÑILERÍA"/>
        <s v="PEÓNVIGILANTE I"/>
        <s v="AUXILIAR DE BODEGA"/>
        <s v="ALBAÑIL III"/>
        <s v="ALBAÑIL II"/>
        <s v="TALLERISTA"/>
        <s v="CARPINTERO V"/>
        <s v="ELECTRICISTA III"/>
        <s v="ALBAÑIL V"/>
        <s v="ALBAÑIL IV"/>
        <s v="PILOTO I VEHÍCULOS LIVIANOS "/>
        <s v="COCINERO"/>
        <s v="OPERADOR DE EQUIPO"/>
        <s v="BODEGUERO I"/>
        <s v="EMBALADOR"/>
        <s v="AUXILIAR DE CARPINTERÍA"/>
      </sharedItems>
    </cacheField>
    <cacheField name="RENGLON" numFmtId="0">
      <sharedItems containsString="0" containsBlank="1" containsNumber="1" containsInteger="1" minValue="31" maxValue="31"/>
    </cacheField>
    <cacheField name="031 JORNAL" numFmtId="0">
      <sharedItems containsSemiMixedTypes="0" containsString="0" containsNumber="1" minValue="71.400000000000006" maxValue="80.86"/>
    </cacheField>
    <cacheField name="031 JORNAL MENSUAL" numFmtId="44">
      <sharedItems containsSemiMixedTypes="0" containsString="0" containsNumber="1" minValue="0" maxValue="2506.66"/>
    </cacheField>
    <cacheField name="031 JORNAL ANUAL" numFmtId="44">
      <sharedItems containsSemiMixedTypes="0" containsString="0" containsNumber="1" minValue="8568" maxValue="9703.2000000000007"/>
    </cacheField>
    <cacheField name="VIGENCIA CONTRATO" numFmtId="49">
      <sharedItems containsSemiMixedTypes="0" containsString="0" containsNumber="1" containsInteger="1" minValue="4" maxValue="4"/>
    </cacheField>
    <cacheField name="032 B ANT" numFmtId="0">
      <sharedItems containsString="0" containsBlank="1" containsNumber="1" containsInteger="1" minValue="0" maxValue="75" count="5">
        <n v="75"/>
        <n v="50"/>
        <n v="0"/>
        <n v="35"/>
        <m/>
      </sharedItems>
    </cacheField>
    <cacheField name="TOTAL 33" numFmtId="44">
      <sharedItems containsString="0" containsBlank="1" containsNumber="1" containsInteger="1" minValue="0" maxValue="1760"/>
    </cacheField>
    <cacheField name="033 (IDAEH)" numFmtId="44">
      <sharedItems containsString="0" containsBlank="1" containsNumber="1" containsInteger="1" minValue="1510" maxValue="1510"/>
    </cacheField>
    <cacheField name="033 66-2000" numFmtId="44">
      <sharedItems containsString="0" containsBlank="1" containsNumber="1" containsInteger="1" minValue="250" maxValue="250"/>
    </cacheField>
    <cacheField name="TOTAL INGRESOS " numFmtId="44">
      <sharedItems containsSemiMixedTypes="0" containsString="0" containsNumber="1" minValue="0" maxValue="4266.66"/>
    </cacheField>
    <cacheField name="BONO 14" numFmtId="165">
      <sharedItems containsSemiMixedTypes="0" containsString="0" containsNumber="1" minValue="714" maxValue="1311.9333333333334"/>
    </cacheField>
    <cacheField name="AGUINALDO" numFmtId="165">
      <sharedItems containsSemiMixedTypes="0" containsString="0" containsNumber="1" minValue="704.21917808219177" maxValue="1293.9616438356165"/>
    </cacheField>
    <cacheField name="BONO VACACIONAL" numFmtId="165">
      <sharedItems containsSemiMixedTypes="0" containsString="0" containsNumber="1" minValue="65.753424657534239" maxValue="65.753424657534239"/>
    </cacheField>
    <cacheField name="COMPROMISO SALARIO" numFmtId="165">
      <sharedItems containsSemiMixedTypes="0" containsString="0" containsNumber="1" minValue="8568" maxValue="16743.2"/>
    </cacheField>
    <cacheField name="COMPROMISO SALARIO + BONOS " numFmtId="165">
      <sharedItems containsSemiMixedTypes="0" containsString="0" containsNumber="1" minValue="10051.972602739726" maxValue="19414.848401826486"/>
    </cacheField>
    <cacheField name="IGSS" numFmtId="169">
      <sharedItems containsSemiMixedTypes="0" containsString="0" containsNumber="1" minValue="0" maxValue="194"/>
    </cacheField>
    <cacheField name="MONTEPIO" numFmtId="0">
      <sharedItems containsBlank="1" containsMixedTypes="1" containsNumber="1" minValue="409.57400000000001" maxValue="441.1825"/>
    </cacheField>
    <cacheField name="CUOTA SINDICAL" numFmtId="0">
      <sharedItems containsString="0" containsBlank="1" containsNumber="1" containsInteger="1" minValue="10" maxValue="10"/>
    </cacheField>
    <cacheField name="D" numFmtId="0">
      <sharedItems containsString="0" containsBlank="1" containsNumber="1" minValue="925.5" maxValue="1886.7"/>
    </cacheField>
    <cacheField name="DD" numFmtId="0">
      <sharedItems containsString="0" containsBlank="1" containsNumber="1" minValue="189" maxValue="3706.14"/>
    </cacheField>
    <cacheField name="EGRESOS " numFmtId="44">
      <sharedItems containsMixedTypes="1" containsNumber="1" minValue="10" maxValue="4135.75"/>
    </cacheField>
    <cacheField name="LIQUIDO A RECIBIR" numFmtId="44">
      <sharedItems containsMixedTypes="1" containsNumber="1" minValue="-10" maxValue="4072.66"/>
    </cacheField>
    <cacheField name="BONO NAVIDEÑO" numFmtId="165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delegado" refreshedDate="44966.565018981484" createdVersion="5" refreshedVersion="5" minRefreshableVersion="3" recordCount="106" xr:uid="{00000000-000A-0000-FFFF-FFFF04000000}">
  <cacheSource type="worksheet">
    <worksheetSource ref="A4:AB110" sheet="ACT8"/>
  </cacheSource>
  <cacheFields count="28">
    <cacheField name="No" numFmtId="0">
      <sharedItems containsSemiMixedTypes="0" containsString="0" containsNumber="1" containsInteger="1" minValue="1" maxValue="99"/>
    </cacheField>
    <cacheField name="CONTRATO" numFmtId="0">
      <sharedItems containsBlank="1"/>
    </cacheField>
    <cacheField name="NO. EMPLEADO" numFmtId="0">
      <sharedItems containsSemiMixedTypes="0" containsString="0" containsNumber="1" containsInteger="1" minValue="990058350" maxValue="9901576583"/>
    </cacheField>
    <cacheField name="NOMBRE" numFmtId="0">
      <sharedItems/>
    </cacheField>
    <cacheField name="PUESTO NOMINAL" numFmtId="0">
      <sharedItems count="18">
        <s v="ALBAÑIL I"/>
        <s v="MAESTRO DE OBRAS"/>
        <s v="AUXILIAR DE ALBAÑILERÍA"/>
        <s v="ALBAÑIL I "/>
        <s v="AUXILIAR DE CARPINTERÍA"/>
        <s v="AUXILIAR MISCELÁNEO"/>
        <s v="ALBAÑIL II "/>
        <s v="PEÓN VIGILANTE I"/>
        <s v="CONSERJE"/>
        <s v="CARPINTERO I"/>
        <s v="TALLERISTA"/>
        <s v="MENSAJERO I"/>
        <s v="ELECTRICISTA III"/>
        <s v="PILOTO I DE VEHÍCULOS LIVIANOS"/>
        <s v="AUXILIAR DE ELECTRICIDAD"/>
        <s v="CARPINTERO V"/>
        <s v="AUXILIAR DE BODEGA"/>
        <s v="PEÓN"/>
      </sharedItems>
    </cacheField>
    <cacheField name="RENGLÓN" numFmtId="0">
      <sharedItems containsString="0" containsBlank="1" containsNumber="1" containsInteger="1" minValue="31" maxValue="31"/>
    </cacheField>
    <cacheField name="031 JORNAL" numFmtId="43">
      <sharedItems containsString="0" containsBlank="1" containsNumber="1" minValue="71.400000000000006" maxValue="80.86" count="8">
        <n v="72.540000000000006"/>
        <n v="78.25"/>
        <n v="71.400000000000006"/>
        <n v="73.59"/>
        <n v="80.86"/>
        <n v="75.64"/>
        <m/>
        <n v="77.59"/>
      </sharedItems>
    </cacheField>
    <cacheField name="031 JORNAL MENSUAL" numFmtId="44">
      <sharedItems containsSemiMixedTypes="0" containsString="0" containsNumber="1" minValue="0" maxValue="2506.66"/>
    </cacheField>
    <cacheField name="031 JORNAL ANUAL" numFmtId="44">
      <sharedItems containsString="0" containsBlank="1" containsNumber="1" minValue="0" maxValue="9703.2000000000007"/>
    </cacheField>
    <cacheField name="VIGENCIA CONTRATO" numFmtId="49">
      <sharedItems containsSemiMixedTypes="0" containsString="0" containsNumber="1" containsInteger="1" minValue="4" maxValue="4"/>
    </cacheField>
    <cacheField name="032 B ANT" numFmtId="0">
      <sharedItems containsString="0" containsBlank="1" containsNumber="1" containsInteger="1" minValue="0" maxValue="75" count="5">
        <n v="75"/>
        <m/>
        <n v="50"/>
        <n v="35"/>
        <n v="0"/>
      </sharedItems>
    </cacheField>
    <cacheField name="TOTAL 33" numFmtId="44">
      <sharedItems containsString="0" containsBlank="1" containsNumber="1" containsInteger="1" minValue="0" maxValue="1760"/>
    </cacheField>
    <cacheField name="033 (IDAEH)" numFmtId="0">
      <sharedItems containsString="0" containsBlank="1" containsNumber="1" containsInteger="1" minValue="1510" maxValue="1510"/>
    </cacheField>
    <cacheField name="033 66-2000" numFmtId="0">
      <sharedItems containsString="0" containsBlank="1" containsNumber="1" containsInteger="1" minValue="250" maxValue="250"/>
    </cacheField>
    <cacheField name="TOTAL INGRESOS " numFmtId="44">
      <sharedItems containsString="0" containsBlank="1" containsNumber="1" minValue="0" maxValue="4301.66"/>
    </cacheField>
    <cacheField name="BONO 14" numFmtId="165">
      <sharedItems containsSemiMixedTypes="0" containsString="0" containsNumber="1" minValue="0" maxValue="1323.6000000000001"/>
    </cacheField>
    <cacheField name="AGUINALDO" numFmtId="165">
      <sharedItems containsSemiMixedTypes="0" containsString="0" containsNumber="1" minValue="0" maxValue="1305.4684931506852"/>
    </cacheField>
    <cacheField name="BONO VACACIONAL" numFmtId="165">
      <sharedItems containsSemiMixedTypes="0" containsString="0" containsNumber="1" minValue="65.753424657534239" maxValue="65.753424657534239"/>
    </cacheField>
    <cacheField name="COMPROMISO SALARIO" numFmtId="165">
      <sharedItems containsSemiMixedTypes="0" containsString="0" containsNumber="1" minValue="0" maxValue="16883.2"/>
    </cacheField>
    <cacheField name="COMPROMISO SALARIO + BONOS " numFmtId="165">
      <sharedItems containsSemiMixedTypes="0" containsString="0" containsNumber="1" minValue="65.753424657534239" maxValue="19578.021917808219"/>
    </cacheField>
    <cacheField name="IGSS" numFmtId="169">
      <sharedItems containsSemiMixedTypes="0" containsString="0" containsNumber="1" minValue="0" maxValue="195.7"/>
    </cacheField>
    <cacheField name="MONTEPIO" numFmtId="0">
      <sharedItems containsString="0" containsBlank="1" containsNumber="1" minValue="409.57400000000001" maxValue="441.1825"/>
    </cacheField>
    <cacheField name="CUOTA SINDICAL" numFmtId="0">
      <sharedItems containsString="0" containsBlank="1" containsNumber="1" containsInteger="1" minValue="10" maxValue="10"/>
    </cacheField>
    <cacheField name="D" numFmtId="0">
      <sharedItems containsNonDate="0" containsString="0" containsBlank="1"/>
    </cacheField>
    <cacheField name="DD" numFmtId="0">
      <sharedItems containsString="0" containsBlank="1" containsNumber="1" minValue="342.13" maxValue="3851.18"/>
    </cacheField>
    <cacheField name="EGRESOS " numFmtId="44">
      <sharedItems containsSemiMixedTypes="0" containsString="0" containsNumber="1" minValue="0" maxValue="4040.29"/>
    </cacheField>
    <cacheField name="LIQUIDO A RECIBIR" numFmtId="44">
      <sharedItems containsSemiMixedTypes="0" containsString="0" containsNumber="1" minValue="-457.43" maxValue="4072.66"/>
    </cacheField>
    <cacheField name="BONO NAVIDEÑO" numFmtId="165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delegado" refreshedDate="44966.572668402776" createdVersion="5" refreshedVersion="5" minRefreshableVersion="3" recordCount="139" xr:uid="{00000000-000A-0000-FFFF-FFFF05000000}">
  <cacheSource type="worksheet">
    <worksheetSource ref="A4:AB143" sheet="ACT4"/>
  </cacheSource>
  <cacheFields count="28">
    <cacheField name="No" numFmtId="0">
      <sharedItems containsSemiMixedTypes="0" containsString="0" containsNumber="1" containsInteger="1" minValue="1" maxValue="79"/>
    </cacheField>
    <cacheField name="CONTRATO" numFmtId="0">
      <sharedItems containsBlank="1"/>
    </cacheField>
    <cacheField name="NO. EMPLEADO" numFmtId="0">
      <sharedItems containsSemiMixedTypes="0" containsString="0" containsNumber="1" containsInteger="1" minValue="990094861" maxValue="9901576037"/>
    </cacheField>
    <cacheField name="NOMBRE" numFmtId="0">
      <sharedItems/>
    </cacheField>
    <cacheField name="PUESTO NOMINAL" numFmtId="0">
      <sharedItems count="21">
        <s v="CONSERJE"/>
        <s v="ALBAÑIL I"/>
        <s v="AUXILIAR MISCELÁNEO"/>
        <s v="PILOTO I DE VEHÍCULOS LIVIANOS"/>
        <s v="PEÓN VIGILANTE I"/>
        <s v="JARDINERO I"/>
        <s v="PEÓN VIGILANTE II"/>
        <s v="AUXILIAR DE BODEGA"/>
        <s v="MAESTRO DE OBRAS"/>
        <s v="PEÓN"/>
        <s v="EMBALADOR"/>
        <s v="CARPINTERO II"/>
        <s v="CARPINTERO I"/>
        <s v="ELECTRICISTA III"/>
        <s v="CARPINTERO V"/>
        <s v="ALBAÑIL V"/>
        <s v="TALLERISTA"/>
        <s v="FONTANERO III"/>
        <s v="HERRERO IV"/>
        <s v="MENSAJERO II"/>
        <s v="PEÓN VIGILANTE I " u="1"/>
      </sharedItems>
    </cacheField>
    <cacheField name="RENGLON" numFmtId="0">
      <sharedItems containsSemiMixedTypes="0" containsString="0" containsNumber="1" containsInteger="1" minValue="31" maxValue="31"/>
    </cacheField>
    <cacheField name="031 JORNAL" numFmtId="0">
      <sharedItems containsSemiMixedTypes="0" containsString="0" containsNumber="1" minValue="71.400000000000006" maxValue="80.86"/>
    </cacheField>
    <cacheField name="031 JORNAL MENSUAL" numFmtId="44">
      <sharedItems containsSemiMixedTypes="0" containsString="0" containsNumber="1" minValue="2213.4" maxValue="2506.66"/>
    </cacheField>
    <cacheField name="031 JORNAL ANUAL" numFmtId="44">
      <sharedItems containsSemiMixedTypes="0" containsString="0" containsNumber="1" minValue="8568" maxValue="9703.2000000000007"/>
    </cacheField>
    <cacheField name="VIGENCIA CONTRATO" numFmtId="49">
      <sharedItems containsSemiMixedTypes="0" containsString="0" containsNumber="1" containsInteger="1" minValue="4" maxValue="4"/>
    </cacheField>
    <cacheField name="032 B ANT" numFmtId="0">
      <sharedItems containsString="0" containsBlank="1" containsNumber="1" containsInteger="1" minValue="0" maxValue="75" count="5">
        <n v="35"/>
        <n v="0"/>
        <n v="50"/>
        <n v="75"/>
        <m/>
      </sharedItems>
    </cacheField>
    <cacheField name="TOTAL 33" numFmtId="44">
      <sharedItems containsSemiMixedTypes="0" containsString="0" containsNumber="1" containsInteger="1" minValue="1760" maxValue="1760"/>
    </cacheField>
    <cacheField name="033 (IDAEH)" numFmtId="44">
      <sharedItems containsSemiMixedTypes="0" containsString="0" containsNumber="1" containsInteger="1" minValue="1510" maxValue="1510"/>
    </cacheField>
    <cacheField name="033 66-2000" numFmtId="44">
      <sharedItems containsSemiMixedTypes="0" containsString="0" containsNumber="1" containsInteger="1" minValue="250" maxValue="250"/>
    </cacheField>
    <cacheField name="TOTAL INGRESOS " numFmtId="44">
      <sharedItems containsSemiMixedTypes="0" containsString="0" containsNumber="1" minValue="3973.4" maxValue="4266.66"/>
    </cacheField>
    <cacheField name="BONO 14" numFmtId="165">
      <sharedItems containsSemiMixedTypes="0" containsString="0" containsNumber="1" minValue="1217.3333333333333" maxValue="1311.9333333333334"/>
    </cacheField>
    <cacheField name="AGUINALDO" numFmtId="165">
      <sharedItems containsSemiMixedTypes="0" containsString="0" containsNumber="1" minValue="1200.6575342465753" maxValue="1293.9616438356165"/>
    </cacheField>
    <cacheField name="BONO VACACIONAL" numFmtId="165">
      <sharedItems containsSemiMixedTypes="0" containsString="0" containsNumber="1" minValue="65.753424657534239" maxValue="65.753424657534239"/>
    </cacheField>
    <cacheField name="COMPROMISO SALARIO" numFmtId="165">
      <sharedItems containsSemiMixedTypes="0" containsString="0" containsNumber="1" minValue="15608" maxValue="16743.2"/>
    </cacheField>
    <cacheField name="COMPROMISO SALARIO + BONOS " numFmtId="165">
      <sharedItems containsSemiMixedTypes="0" containsString="0" containsNumber="1" minValue="18091.744292237443" maxValue="19414.848401826486"/>
    </cacheField>
    <cacheField name="IGSS" numFmtId="169">
      <sharedItems containsSemiMixedTypes="0" containsString="0" containsNumber="1" minValue="179.84" maxValue="194"/>
    </cacheField>
    <cacheField name="MONTEPIO" numFmtId="0">
      <sharedItems containsString="0" containsBlank="1" containsNumber="1" minValue="413.42400000000004" maxValue="441.1825"/>
    </cacheField>
    <cacheField name="CUOTA SINDICAL" numFmtId="0">
      <sharedItems containsString="0" containsBlank="1" containsNumber="1" containsInteger="1" minValue="10" maxValue="10"/>
    </cacheField>
    <cacheField name="D" numFmtId="0">
      <sharedItems containsNonDate="0" containsString="0" containsBlank="1"/>
    </cacheField>
    <cacheField name="DD" numFmtId="0">
      <sharedItems containsString="0" containsBlank="1" containsNumber="1" minValue="575.95000000000005" maxValue="1816.63"/>
    </cacheField>
    <cacheField name="EGRESOS " numFmtId="44">
      <sharedItems containsString="0" containsBlank="1" containsNumber="1" minValue="179.84" maxValue="2345.4614000000001"/>
    </cacheField>
    <cacheField name="LIQUIDO A RECIBIR" numFmtId="44">
      <sharedItems containsString="0" containsBlank="1" containsNumber="1" minValue="1738.2786000000001" maxValue="4072.66"/>
    </cacheField>
    <cacheField name="BONO NAVIDEÑO" numFmtId="165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delegado" refreshedDate="44966.579209606483" createdVersion="5" refreshedVersion="5" minRefreshableVersion="3" recordCount="119" xr:uid="{00000000-000A-0000-FFFF-FFFF06000000}">
  <cacheSource type="worksheet">
    <worksheetSource ref="A489:AB608" sheet="ACT3"/>
  </cacheSource>
  <cacheFields count="28">
    <cacheField name="No" numFmtId="0">
      <sharedItems containsSemiMixedTypes="0" containsString="0" containsNumber="1" containsInteger="1" minValue="1" maxValue="38"/>
    </cacheField>
    <cacheField name="CONTRATO" numFmtId="0">
      <sharedItems containsBlank="1"/>
    </cacheField>
    <cacheField name="NO. EMPLEADO" numFmtId="0">
      <sharedItems containsSemiMixedTypes="0" containsString="0" containsNumber="1" containsInteger="1" minValue="990097703" maxValue="9901563300"/>
    </cacheField>
    <cacheField name="NOMBRE" numFmtId="0">
      <sharedItems/>
    </cacheField>
    <cacheField name="PUESTO NOMINAL" numFmtId="0">
      <sharedItems count="12">
        <s v="PEÓNVIGILANTE I"/>
        <s v="AUXILIAR MISCELÁNEO"/>
        <s v="ALBAÑIL III"/>
        <s v="PEÓN"/>
        <s v="CARPINTERO I"/>
        <s v="ALBAÑIL I"/>
        <s v="AUXILIAR DE BODEGA"/>
        <s v="CONSERJE"/>
        <s v="AUXILIAR DE ALBAÑILERÍA"/>
        <s v="MAESTRO DE OBRAS"/>
        <s v="BODEGUERO I"/>
        <s v="PEÓN " u="1"/>
      </sharedItems>
    </cacheField>
    <cacheField name="RENGLON" numFmtId="0">
      <sharedItems containsSemiMixedTypes="0" containsString="0" containsNumber="1" containsInteger="1" minValue="31" maxValue="31"/>
    </cacheField>
    <cacheField name="031 JORNAL" numFmtId="0">
      <sharedItems containsSemiMixedTypes="0" containsString="0" containsNumber="1" minValue="71.400000000000006" maxValue="78.25"/>
    </cacheField>
    <cacheField name="031 JORNAL MENSUAL" numFmtId="44">
      <sharedItems containsSemiMixedTypes="0" containsString="0" containsNumber="1" minValue="2213.4" maxValue="2425.75"/>
    </cacheField>
    <cacheField name="031 JORNAL ANUAL" numFmtId="44">
      <sharedItems containsSemiMixedTypes="0" containsString="0" containsNumber="1" minValue="8568" maxValue="9390"/>
    </cacheField>
    <cacheField name="VIGENCIA CONTRATO" numFmtId="49">
      <sharedItems containsSemiMixedTypes="0" containsString="0" containsNumber="1" containsInteger="1" minValue="4" maxValue="4"/>
    </cacheField>
    <cacheField name="032 B ANT" numFmtId="0">
      <sharedItems containsString="0" containsBlank="1" containsNumber="1" containsInteger="1" minValue="0" maxValue="75" count="5">
        <n v="50"/>
        <n v="75"/>
        <m/>
        <n v="35"/>
        <n v="0"/>
      </sharedItems>
    </cacheField>
    <cacheField name="TOTAL 031" numFmtId="44">
      <sharedItems containsSemiMixedTypes="0" containsString="0" containsNumber="1" containsInteger="1" minValue="1760" maxValue="1760"/>
    </cacheField>
    <cacheField name="033 (IDAEH)" numFmtId="44">
      <sharedItems containsSemiMixedTypes="0" containsString="0" containsNumber="1" containsInteger="1" minValue="1510" maxValue="1510"/>
    </cacheField>
    <cacheField name="033 66-2000" numFmtId="44">
      <sharedItems containsSemiMixedTypes="0" containsString="0" containsNumber="1" containsInteger="1" minValue="250" maxValue="250"/>
    </cacheField>
    <cacheField name="TOTAL INGRESOS " numFmtId="44">
      <sharedItems containsSemiMixedTypes="0" containsString="0" containsNumber="1" minValue="3973.4" maxValue="4260.75"/>
    </cacheField>
    <cacheField name="BONO 14" numFmtId="165">
      <sharedItems containsSemiMixedTypes="0" containsString="0" containsNumber="1" minValue="1217.3333333333333" maxValue="1310.8333333333333"/>
    </cacheField>
    <cacheField name="AGUINALDO" numFmtId="165">
      <sharedItems containsSemiMixedTypes="0" containsString="0" containsNumber="1" minValue="1200.6575342465753" maxValue="1292.8767123287671"/>
    </cacheField>
    <cacheField name="BONO VACACIONAL" numFmtId="165">
      <sharedItems containsSemiMixedTypes="0" containsString="0" containsNumber="1" minValue="65.753424657534239" maxValue="65.753424657534239"/>
    </cacheField>
    <cacheField name="COMPROMISO SALARIO" numFmtId="165">
      <sharedItems containsSemiMixedTypes="0" containsString="0" containsNumber="1" minValue="15608" maxValue="16730"/>
    </cacheField>
    <cacheField name="COMPROMISO SALARIO + BONOS " numFmtId="165">
      <sharedItems containsSemiMixedTypes="0" containsString="0" containsNumber="1" minValue="18091.744292237443" maxValue="19399.463470319632"/>
    </cacheField>
    <cacheField name="IGSS" numFmtId="169">
      <sharedItems containsString="0" containsBlank="1" containsNumber="1" minValue="179.84" maxValue="193.72"/>
    </cacheField>
    <cacheField name="MONTEPIO" numFmtId="0">
      <sharedItems containsString="0" containsBlank="1" containsNumber="1" minValue="409.57400000000001" maxValue="421.71140000000003"/>
    </cacheField>
    <cacheField name="CUOTA SINDICAL" numFmtId="0">
      <sharedItems containsString="0" containsBlank="1" containsNumber="1" containsInteger="1" minValue="10" maxValue="10"/>
    </cacheField>
    <cacheField name="D" numFmtId="0">
      <sharedItems containsString="0" containsBlank="1" containsNumber="1" minValue="930.85" maxValue="949.6"/>
    </cacheField>
    <cacheField name="DD" numFmtId="0">
      <sharedItems containsString="0" containsBlank="1" containsNumber="1" minValue="347.98" maxValue="3729.94"/>
    </cacheField>
    <cacheField name="EGRESOS " numFmtId="44">
      <sharedItems containsSemiMixedTypes="0" containsString="0" containsNumber="1" minValue="0" maxValue="3923.4"/>
    </cacheField>
    <cacheField name="LIQUIDO A RECIBIR" numFmtId="44">
      <sharedItems containsSemiMixedTypes="0" containsString="0" containsNumber="1" minValue="125" maxValue="4057.03"/>
    </cacheField>
    <cacheField name="BONO NAVIDEÑO" numFmtId="165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delegado" refreshedDate="44966.58423310185" createdVersion="5" refreshedVersion="5" minRefreshableVersion="3" recordCount="200" xr:uid="{00000000-000A-0000-FFFF-FFFF07000000}">
  <cacheSource type="worksheet">
    <worksheetSource ref="A3:AB203" sheet="ACT7"/>
  </cacheSource>
  <cacheFields count="28">
    <cacheField name="No" numFmtId="0">
      <sharedItems containsSemiMixedTypes="0" containsString="0" containsNumber="1" containsInteger="1" minValue="1" maxValue="200"/>
    </cacheField>
    <cacheField name="CONTRATO" numFmtId="0">
      <sharedItems containsBlank="1"/>
    </cacheField>
    <cacheField name="NO. EMPLEADO" numFmtId="0">
      <sharedItems containsSemiMixedTypes="0" containsString="0" containsNumber="1" containsInteger="1" minValue="980001549" maxValue="9901576096"/>
    </cacheField>
    <cacheField name="NOMBRE" numFmtId="0">
      <sharedItems/>
    </cacheField>
    <cacheField name="PUESTO NOMINAL" numFmtId="0">
      <sharedItems count="14">
        <s v="AUXILIAR DE TOPOGRAFÍA  IV"/>
        <s v="PEÓN"/>
        <s v="AUXILIAR MISCELÁNEO"/>
        <s v="ALBAÑIL I"/>
        <s v="PEÓN VIGILANTE I"/>
        <s v="AUXILIAR DE ALBAÑILERÍA"/>
        <s v="MAESTRO DE OBRAS"/>
        <s v="JARDINERO II"/>
        <s v="AUXILIAR DE MECÁNICA"/>
        <s v="PILOTO II DE VEHÍCULOS PESADOS"/>
        <s v="COCINERO"/>
        <s v="BODEGUERO IV"/>
        <s v="AUXILIAR DE BODEGA"/>
        <s v="MENSAJERO I"/>
      </sharedItems>
    </cacheField>
    <cacheField name="RENGLON" numFmtId="0">
      <sharedItems containsSemiMixedTypes="0" containsString="0" containsNumber="1" containsInteger="1" minValue="31" maxValue="31"/>
    </cacheField>
    <cacheField name="031 JORNAL" numFmtId="43">
      <sharedItems containsSemiMixedTypes="0" containsString="0" containsNumber="1" minValue="71.400000000000006" maxValue="78.25"/>
    </cacheField>
    <cacheField name="031 JORNAL MENSUAL" numFmtId="44">
      <sharedItems containsSemiMixedTypes="0" containsString="0" containsNumber="1" minValue="2213.4" maxValue="2425.75"/>
    </cacheField>
    <cacheField name="031 JORNAL ANUAL" numFmtId="44">
      <sharedItems containsSemiMixedTypes="0" containsString="0" containsNumber="1" minValue="8568" maxValue="9390"/>
    </cacheField>
    <cacheField name="VIGENCIA CONTRATO" numFmtId="49">
      <sharedItems containsSemiMixedTypes="0" containsString="0" containsNumber="1" containsInteger="1" minValue="4" maxValue="4"/>
    </cacheField>
    <cacheField name="032 B ANT" numFmtId="0">
      <sharedItems containsString="0" containsBlank="1" containsNumber="1" containsInteger="1" minValue="0" maxValue="75" count="5">
        <m/>
        <n v="75"/>
        <n v="50"/>
        <n v="35"/>
        <n v="0"/>
      </sharedItems>
    </cacheField>
    <cacheField name="TOTAL 33" numFmtId="44">
      <sharedItems containsSemiMixedTypes="0" containsString="0" containsNumber="1" containsInteger="1" minValue="1760" maxValue="1760"/>
    </cacheField>
    <cacheField name="033 (IDAEH)" numFmtId="44">
      <sharedItems containsSemiMixedTypes="0" containsString="0" containsNumber="1" containsInteger="1" minValue="1510" maxValue="1510"/>
    </cacheField>
    <cacheField name="033 66-2000" numFmtId="44">
      <sharedItems containsSemiMixedTypes="0" containsString="0" containsNumber="1" containsInteger="1" minValue="250" maxValue="250"/>
    </cacheField>
    <cacheField name="TOTAL INGRESOS " numFmtId="44">
      <sharedItems containsSemiMixedTypes="0" containsString="0" containsNumber="1" minValue="3973.4" maxValue="4260.75"/>
    </cacheField>
    <cacheField name="BONO 14" numFmtId="165">
      <sharedItems containsSemiMixedTypes="0" containsString="0" containsNumber="1" minValue="1217.3333333333333" maxValue="1310.8333333333333"/>
    </cacheField>
    <cacheField name="AGUINALDO" numFmtId="165">
      <sharedItems containsSemiMixedTypes="0" containsString="0" containsNumber="1" minValue="1200.6575342465753" maxValue="1292.8767123287671"/>
    </cacheField>
    <cacheField name="BONO VACACIONAL" numFmtId="165">
      <sharedItems containsSemiMixedTypes="0" containsString="0" containsNumber="1" minValue="65.753424657534239" maxValue="65.753424657534239"/>
    </cacheField>
    <cacheField name="COMPROMISO SALARIO" numFmtId="165">
      <sharedItems containsSemiMixedTypes="0" containsString="0" containsNumber="1" minValue="15608" maxValue="16730"/>
    </cacheField>
    <cacheField name="COMPROMISO SALARIO + BONOS " numFmtId="165">
      <sharedItems containsSemiMixedTypes="0" containsString="0" containsNumber="1" minValue="18091.744292237443" maxValue="19399.463470319632"/>
    </cacheField>
    <cacheField name="IGSS" numFmtId="169">
      <sharedItems containsSemiMixedTypes="0" containsString="0" containsNumber="1" minValue="179.84" maxValue="193.72"/>
    </cacheField>
    <cacheField name="MONTEPIO" numFmtId="0">
      <sharedItems containsBlank="1" containsMixedTypes="1" containsNumber="1" minValue="409.57400000000001" maxValue="441.1825"/>
    </cacheField>
    <cacheField name="CUOTA SINDICAL" numFmtId="0">
      <sharedItems containsString="0" containsBlank="1" containsNumber="1" containsInteger="1" minValue="0" maxValue="10"/>
    </cacheField>
    <cacheField name="D" numFmtId="0">
      <sharedItems containsString="0" containsBlank="1" containsNumber="1" minValue="913" maxValue="1303.19"/>
    </cacheField>
    <cacheField name="DD" numFmtId="0">
      <sharedItems containsString="0" containsBlank="1" containsNumber="1" minValue="499.99" maxValue="3908.24"/>
    </cacheField>
    <cacheField name="EGRESOS " numFmtId="44">
      <sharedItems containsBlank="1" containsMixedTypes="1" containsNumber="1" minValue="179.84" maxValue="4110.75"/>
    </cacheField>
    <cacheField name="LIQUIDO A RECIBIR" numFmtId="44">
      <sharedItems containsBlank="1" containsMixedTypes="1" containsNumber="1" minValue="124.99599999999964" maxValue="3908.65"/>
    </cacheField>
    <cacheField name="BONO NAVIDEÑO" numFmtId="165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n v="1"/>
    <s v="DGPCYN - 031 - 1085 - 2022 "/>
    <n v="9901443824"/>
    <s v="ALMA LORENA ORTEGA GARZA"/>
    <x v="0"/>
    <n v="31"/>
    <n v="80.86"/>
    <n v="2506.66"/>
    <n v="9703.2000000000007"/>
    <n v="4"/>
    <x v="0"/>
    <n v="1760"/>
    <n v="1510"/>
    <n v="250"/>
    <n v="4266.66"/>
  </r>
  <r>
    <n v="2"/>
    <s v="DGPCYN - 031 - 1087 - 2022 "/>
    <n v="9901085285"/>
    <s v="CANDIDA AMADA ESPERANZA CABRERA LÓPEZ"/>
    <x v="1"/>
    <n v="31"/>
    <n v="71.400000000000006"/>
    <n v="2213.4"/>
    <n v="8568"/>
    <n v="4"/>
    <x v="1"/>
    <n v="1760"/>
    <n v="1510"/>
    <n v="250"/>
    <n v="4008.4"/>
  </r>
  <r>
    <n v="3"/>
    <s v="DGPCYN - 031 - 1088 - 2022 "/>
    <n v="9901443640"/>
    <s v="CARMEN CRISTINA ACABAL MEJIA"/>
    <x v="2"/>
    <n v="31"/>
    <n v="71.400000000000006"/>
    <n v="2213.4"/>
    <n v="8568"/>
    <n v="4"/>
    <x v="0"/>
    <n v="1760"/>
    <n v="1510"/>
    <n v="250"/>
    <n v="3973.4"/>
  </r>
  <r>
    <n v="4"/>
    <s v="DGPCYN - 031 - 1089 - 2022 "/>
    <n v="9901443513"/>
    <s v="CAROL NISHELDY QUINTANILLA FRANCO"/>
    <x v="1"/>
    <n v="31"/>
    <n v="71.400000000000006"/>
    <n v="2213.4"/>
    <n v="8568"/>
    <n v="4"/>
    <x v="2"/>
    <n v="1760"/>
    <n v="1510"/>
    <n v="250"/>
    <n v="3973.4"/>
  </r>
  <r>
    <n v="5"/>
    <s v="DGPCYN - 031 - 1090 - 2022 "/>
    <n v="9901443740"/>
    <s v="DORA ODILIA HERNANDEZ ORTIZ DE ALFARO"/>
    <x v="3"/>
    <n v="31"/>
    <n v="78.25"/>
    <n v="2425.75"/>
    <n v="9390"/>
    <n v="4"/>
    <x v="3"/>
    <n v="1760"/>
    <n v="1510"/>
    <n v="250"/>
    <n v="4235.75"/>
  </r>
  <r>
    <n v="6"/>
    <s v="DGPCYN - 031 - 1091 - 2022 "/>
    <n v="9901443665"/>
    <s v="EZEQUIEL MARROQUIN NORIEGA"/>
    <x v="2"/>
    <n v="31"/>
    <n v="71.400000000000006"/>
    <n v="2213.4"/>
    <n v="8568"/>
    <n v="4"/>
    <x v="0"/>
    <n v="1760"/>
    <n v="1510"/>
    <n v="250"/>
    <n v="3973.4"/>
  </r>
  <r>
    <n v="7"/>
    <s v="DGPCYN - 031 - 1092 - 2022 "/>
    <n v="9901443061"/>
    <s v="FABIOLA MARIBEL ROSALES CASTAÑEDA"/>
    <x v="1"/>
    <n v="31"/>
    <n v="71.400000000000006"/>
    <n v="2213.4"/>
    <n v="8568"/>
    <n v="4"/>
    <x v="2"/>
    <n v="1760"/>
    <n v="1510"/>
    <n v="250"/>
    <n v="3973.4"/>
  </r>
  <r>
    <n v="8"/>
    <s v="DGPCYN - 031 - 1093 - 2022 "/>
    <n v="9901443781"/>
    <s v="FIDEL OBISPO RENOJ COLORADO"/>
    <x v="4"/>
    <n v="31"/>
    <n v="75.64"/>
    <n v="2344.84"/>
    <n v="9076.7999999999993"/>
    <n v="4"/>
    <x v="0"/>
    <n v="1760"/>
    <n v="1510"/>
    <n v="250"/>
    <n v="4104.84"/>
  </r>
  <r>
    <n v="9"/>
    <s v="DGPCYN - 031 - 1094 - 2022 "/>
    <n v="9901442257"/>
    <s v="FRANCISCO  SACUL TIUL"/>
    <x v="4"/>
    <n v="31"/>
    <n v="75.64"/>
    <n v="2344.84"/>
    <n v="9076.7999999999993"/>
    <n v="4"/>
    <x v="0"/>
    <n v="1760"/>
    <n v="1510"/>
    <n v="250"/>
    <n v="4104.84"/>
  </r>
  <r>
    <n v="10"/>
    <s v="DGPCYN - 031 - 1095 - 2022 "/>
    <n v="9901443578"/>
    <s v="JEIMY GABRIELA PACHECO PIC"/>
    <x v="1"/>
    <n v="31"/>
    <n v="71.400000000000006"/>
    <n v="2213.4"/>
    <n v="8568"/>
    <n v="4"/>
    <x v="0"/>
    <n v="1760"/>
    <n v="1510"/>
    <n v="250"/>
    <n v="3973.4"/>
  </r>
  <r>
    <n v="11"/>
    <s v="DGPCYN - 031 - 1096 - 2022 "/>
    <n v="9901443273"/>
    <s v="JORGE FABIÁN GIRÓN TEPAZ"/>
    <x v="5"/>
    <n v="31"/>
    <n v="75.64"/>
    <n v="2344.84"/>
    <n v="9076.7999999999993"/>
    <n v="4"/>
    <x v="0"/>
    <n v="1760"/>
    <n v="1510"/>
    <n v="250"/>
    <n v="4104.84"/>
  </r>
  <r>
    <n v="12"/>
    <s v="DGPCYN - 031 - 1097 - 2022 "/>
    <n v="9901443596"/>
    <s v="JORGE LUIS FERNÁNDEZ  (ÚNICO APELLIDO)"/>
    <x v="5"/>
    <n v="31"/>
    <n v="75.64"/>
    <n v="2344.84"/>
    <n v="9076.7999999999993"/>
    <n v="4"/>
    <x v="3"/>
    <n v="1760"/>
    <n v="1510"/>
    <n v="250"/>
    <n v="4154.84"/>
  </r>
  <r>
    <n v="13"/>
    <s v="DGPCYN - 031 - 1098 - 2022 "/>
    <n v="9901443448"/>
    <s v="JULIO IGNACIO CARDONA HERNANDEZ"/>
    <x v="4"/>
    <n v="31"/>
    <n v="75.64"/>
    <n v="2344.84"/>
    <n v="9076.7999999999993"/>
    <n v="4"/>
    <x v="2"/>
    <n v="1760"/>
    <n v="1510"/>
    <n v="250"/>
    <n v="4104.84"/>
  </r>
  <r>
    <n v="14"/>
    <s v="DGPCYN - 031 - 1099 - 2022 "/>
    <n v="9901484265"/>
    <s v="KATHERIN GABRIELA CARDONA OROZCO"/>
    <x v="2"/>
    <n v="31"/>
    <n v="71.400000000000006"/>
    <n v="2213.4"/>
    <n v="8568"/>
    <n v="4"/>
    <x v="0"/>
    <n v="1760"/>
    <n v="1510"/>
    <n v="250"/>
    <n v="3973.4"/>
  </r>
  <r>
    <n v="15"/>
    <s v="DGPCYN - 031 - 1100 - 2022 "/>
    <n v="9901451166"/>
    <s v="MARÍA FERNANDA CRUZ ABREGO"/>
    <x v="1"/>
    <n v="31"/>
    <n v="71.400000000000006"/>
    <n v="2213.4"/>
    <n v="8568"/>
    <n v="4"/>
    <x v="0"/>
    <n v="1760"/>
    <n v="1510"/>
    <n v="250"/>
    <n v="3973.4"/>
  </r>
  <r>
    <n v="16"/>
    <s v="DGPCYN - 031 - 1101 - 2022 "/>
    <n v="9901150740"/>
    <s v="LUIS ESTUARDO VIVAR ROSALES"/>
    <x v="0"/>
    <n v="31"/>
    <n v="80.86"/>
    <n v="2506.66"/>
    <n v="9703.2000000000007"/>
    <n v="4"/>
    <x v="1"/>
    <n v="1760"/>
    <n v="1510"/>
    <n v="250"/>
    <n v="4301.66"/>
  </r>
  <r>
    <n v="17"/>
    <s v="DGPCYN - 031 - 1102 - 2022 "/>
    <n v="9901443863"/>
    <s v="MARÍA INÉS AGÜIN XAJPOT"/>
    <x v="2"/>
    <n v="31"/>
    <n v="71.400000000000006"/>
    <n v="2213.4"/>
    <n v="8568"/>
    <n v="4"/>
    <x v="3"/>
    <n v="1760"/>
    <n v="1510"/>
    <n v="250"/>
    <n v="4023.4"/>
  </r>
  <r>
    <n v="18"/>
    <s v="DGPCYN - 031 - 1103 - 2022 "/>
    <n v="9901185398"/>
    <s v="NICOLAS AJCUC GARCÍA "/>
    <x v="1"/>
    <n v="31"/>
    <n v="71.400000000000006"/>
    <n v="2213.4"/>
    <n v="8568"/>
    <n v="4"/>
    <x v="0"/>
    <n v="1760"/>
    <n v="1510"/>
    <n v="250"/>
    <n v="3973.4"/>
  </r>
  <r>
    <n v="19"/>
    <s v="DGPCYN - 031 - 1104 - 2022 "/>
    <n v="9901442225"/>
    <s v="ODILIO GUTIÉRREZ RAYMUNDO"/>
    <x v="4"/>
    <n v="31"/>
    <n v="75.64"/>
    <n v="2344.84"/>
    <n v="9076.7999999999993"/>
    <n v="4"/>
    <x v="3"/>
    <n v="1760"/>
    <n v="1510"/>
    <n v="250"/>
    <n v="4154.84"/>
  </r>
  <r>
    <n v="20"/>
    <s v="DGPCYN - 031 - 1106 - 2022 "/>
    <n v="9901443864"/>
    <s v="ROSA ALBERTINA DUARTE CAMEY"/>
    <x v="6"/>
    <n v="31"/>
    <n v="73.59"/>
    <n v="2281.29"/>
    <n v="8830.8000000000011"/>
    <n v="4"/>
    <x v="4"/>
    <n v="1760"/>
    <n v="1510"/>
    <n v="250"/>
    <n v="4116.29"/>
  </r>
  <r>
    <n v="21"/>
    <s v="DGPCYN - 031 - 1107 - 2022 "/>
    <n v="9901359806"/>
    <s v="ROSMERY LILI GONZÁLEZ FLORIÁN"/>
    <x v="0"/>
    <n v="31"/>
    <n v="80.86"/>
    <n v="2506.66"/>
    <n v="9703.2000000000007"/>
    <n v="4"/>
    <x v="0"/>
    <n v="1760"/>
    <n v="1510"/>
    <n v="250"/>
    <n v="4266.66"/>
  </r>
  <r>
    <n v="22"/>
    <s v="DGPCYN - 031 - 1108 - 2022 "/>
    <n v="9901443355"/>
    <s v="RUDDY ESTUARDO SAENZ MENCOS"/>
    <x v="1"/>
    <n v="31"/>
    <n v="71.400000000000006"/>
    <n v="2213.4"/>
    <n v="8568"/>
    <n v="4"/>
    <x v="0"/>
    <n v="1760"/>
    <n v="1510"/>
    <n v="250"/>
    <n v="3973.4"/>
  </r>
  <r>
    <n v="23"/>
    <s v="DGPCYN - 031 - 1109 - 2022 "/>
    <n v="9901450918"/>
    <s v="RUTH VERONICA MAGALY GONZALEZ GARCÍA"/>
    <x v="1"/>
    <n v="31"/>
    <n v="71.400000000000006"/>
    <n v="2213.4"/>
    <n v="8568"/>
    <n v="4"/>
    <x v="0"/>
    <n v="1760"/>
    <n v="1510"/>
    <n v="250"/>
    <n v="3973.4"/>
  </r>
  <r>
    <n v="24"/>
    <s v="DGPCYN - 031 - 1110 - 2022 "/>
    <n v="9901443325"/>
    <s v="SAÚL ANTONIO CASTAÑEDA ARÉVALO"/>
    <x v="1"/>
    <n v="31"/>
    <n v="71.400000000000006"/>
    <n v="2213.4"/>
    <n v="8568"/>
    <n v="4"/>
    <x v="2"/>
    <n v="1760"/>
    <n v="1510"/>
    <n v="250"/>
    <n v="3973.4"/>
  </r>
  <r>
    <n v="25"/>
    <s v="DGPCYN - 031 - 1111 - 2022 "/>
    <n v="9901482993"/>
    <s v="SERGIO LUIS ZELADA GUTIERREZ"/>
    <x v="7"/>
    <n v="31"/>
    <n v="72.540000000000006"/>
    <n v="2248.7400000000002"/>
    <n v="8704.8000000000011"/>
    <n v="4"/>
    <x v="0"/>
    <n v="1760"/>
    <n v="1510"/>
    <n v="250"/>
    <n v="4008.7400000000002"/>
  </r>
  <r>
    <n v="26"/>
    <s v="DGPCYN - 031 - 1112 - 2022 "/>
    <n v="9901443628"/>
    <s v="SUSAN VERÓNICA ROMERO DE CASTELLANOS"/>
    <x v="1"/>
    <n v="31"/>
    <n v="71.400000000000006"/>
    <n v="2213.4"/>
    <n v="8568"/>
    <n v="4"/>
    <x v="2"/>
    <n v="1760"/>
    <n v="1510"/>
    <n v="250"/>
    <n v="3973.4"/>
  </r>
  <r>
    <n v="27"/>
    <s v="DGPCYN - 031 - 1113 - 2022 "/>
    <n v="9901442510"/>
    <s v="VICTOR HUGO VILLAGRÁN BARRENO"/>
    <x v="4"/>
    <n v="31"/>
    <n v="75.64"/>
    <n v="2344.84"/>
    <n v="9076.7999999999993"/>
    <n v="4"/>
    <x v="0"/>
    <n v="1760"/>
    <n v="1510"/>
    <n v="250"/>
    <n v="4104.84"/>
  </r>
  <r>
    <n v="28"/>
    <s v="DGPCYN - 031 - 1115 - 2022 "/>
    <n v="9901551706"/>
    <s v="RUTH NOEMI MEJIA LOPEZ"/>
    <x v="1"/>
    <n v="31"/>
    <n v="71.400000000000006"/>
    <n v="2213.4"/>
    <n v="8568"/>
    <n v="4"/>
    <x v="0"/>
    <n v="1760"/>
    <n v="1510"/>
    <n v="250"/>
    <n v="3973.4"/>
  </r>
  <r>
    <n v="29"/>
    <s v="DGPCYN - 031 - 616 - 2022"/>
    <n v="9901552688"/>
    <s v="CARLOS ENRIQUE TELLO  (ÚNICO APELLIDO)"/>
    <x v="7"/>
    <n v="31"/>
    <n v="72.540000000000006"/>
    <n v="2248.7400000000002"/>
    <n v="8704.8000000000011"/>
    <n v="4"/>
    <x v="0"/>
    <n v="1760"/>
    <n v="1510"/>
    <n v="250"/>
    <n v="4008.7400000000002"/>
  </r>
  <r>
    <n v="30"/>
    <m/>
    <n v="9901563296"/>
    <s v="ALAN JOSUÉ ESTRADA BLANCO"/>
    <x v="1"/>
    <n v="31"/>
    <n v="71.400000000000006"/>
    <n v="2213.4"/>
    <n v="8568"/>
    <n v="4"/>
    <x v="2"/>
    <n v="1760"/>
    <n v="1510"/>
    <n v="250"/>
    <n v="3973.4"/>
  </r>
  <r>
    <n v="31"/>
    <m/>
    <n v="9901570905"/>
    <s v="LUIS ALFREDO CABRERA LOCÓN"/>
    <x v="1"/>
    <n v="31"/>
    <n v="71.400000000000006"/>
    <n v="2213.4"/>
    <n v="8568"/>
    <n v="4"/>
    <x v="0"/>
    <n v="1760"/>
    <n v="1510"/>
    <n v="250"/>
    <n v="3973.4"/>
  </r>
  <r>
    <n v="32"/>
    <m/>
    <m/>
    <s v="JULIO ESTUARDO HERNANDEZ  BALAN"/>
    <x v="5"/>
    <m/>
    <n v="75.64"/>
    <n v="0"/>
    <n v="9076.7999999999993"/>
    <n v="4"/>
    <x v="2"/>
    <m/>
    <m/>
    <m/>
    <m/>
  </r>
  <r>
    <n v="32"/>
    <m/>
    <n v="9901575927"/>
    <s v="ESTUARDO ROBLES ARAGÓN"/>
    <x v="1"/>
    <n v="31"/>
    <n v="71.400000000000006"/>
    <n v="2213.4"/>
    <n v="8568"/>
    <n v="4"/>
    <x v="0"/>
    <n v="1760"/>
    <n v="1510"/>
    <n v="250"/>
    <n v="3973.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n v="1"/>
    <s v="DGPCYN - 031 - 1116 - 2022 "/>
    <n v="9901443816"/>
    <s v="EDGAR JEOVANNY DÁVILA ARREOLA"/>
    <x v="0"/>
    <n v="31"/>
    <n v="72.540000000000006"/>
    <n v="2248.7400000000002"/>
    <n v="8704.8000000000011"/>
    <n v="4"/>
    <n v="75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2"/>
    <m/>
    <m/>
    <m/>
    <x v="1"/>
    <m/>
    <m/>
    <m/>
    <m/>
    <m/>
    <m/>
    <m/>
    <m/>
    <m/>
    <m/>
    <m/>
    <m/>
    <m/>
    <n v="0"/>
    <n v="0"/>
    <n v="0"/>
    <m/>
    <m/>
    <m/>
    <m/>
    <n v="0"/>
    <n v="0"/>
    <n v="1000"/>
  </r>
  <r>
    <n v="2"/>
    <s v="DGPCYN - 031 - 1117 - 2022 "/>
    <n v="9901450923"/>
    <s v="HELEN VIVIANA EMILIA ESPINOZA (ÚNICO APELLIDO)"/>
    <x v="2"/>
    <n v="31"/>
    <n v="71.400000000000006"/>
    <n v="2213.4"/>
    <n v="8568"/>
    <n v="4"/>
    <n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118 - 2022 "/>
    <n v="9901443708"/>
    <s v="ALEXIS ESTUARDO QUIXCHÁN CORZO"/>
    <x v="0"/>
    <n v="31"/>
    <n v="72.540000000000006"/>
    <n v="2248.7400000000002"/>
    <n v="8704.8000000000011"/>
    <n v="4"/>
    <n v="75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495.67"/>
    <n v="1690.8400000000001"/>
    <n v="2392.9"/>
    <n v="1000"/>
  </r>
  <r>
    <n v="2"/>
    <s v="DGPCYN - 031 - 1119 - 2022 "/>
    <n v="9901442866"/>
    <s v="AMILCAR ESTUARDO PÉREZ GENIS"/>
    <x v="0"/>
    <n v="31"/>
    <n v="72.540000000000006"/>
    <n v="2248.7400000000002"/>
    <n v="8704.8000000000011"/>
    <n v="4"/>
    <n v="0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3"/>
    <s v="DGPCYN - 031 - 1120 - 2022 "/>
    <n v="9901442201"/>
    <s v="BERNARDO LÓPEZ RAMÍREZ "/>
    <x v="0"/>
    <n v="31"/>
    <n v="72.540000000000006"/>
    <n v="2248.7400000000002"/>
    <n v="8704.8000000000011"/>
    <n v="4"/>
    <n v="75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m/>
    <n v="185.17"/>
    <n v="3898.57"/>
    <n v="1000"/>
  </r>
  <r>
    <n v="4"/>
    <s v="DGPCYN - 031 - 1121 - 2022 "/>
    <n v="9901442804"/>
    <s v="ERICO ALFREDO RODRÍGUEZ QUETZAL"/>
    <x v="0"/>
    <n v="31"/>
    <n v="72.540000000000006"/>
    <n v="2248.7400000000002"/>
    <n v="8704.8000000000011"/>
    <n v="4"/>
    <n v="50"/>
    <n v="1760"/>
    <n v="1510"/>
    <n v="250"/>
    <n v="4058.7400000000002"/>
    <n v="1245.4000000000001"/>
    <n v="1228.3397260273973"/>
    <n v="65.753424657534239"/>
    <n v="15944.800000000001"/>
    <n v="18484.293150684935"/>
    <n v="183.96"/>
    <n v="418.96140000000003"/>
    <m/>
    <m/>
    <m/>
    <n v="602.92140000000006"/>
    <n v="3455.8186000000001"/>
    <n v="1000"/>
  </r>
  <r>
    <n v="5"/>
    <s v="DGPCYN - 031 - 1122 - 2022 "/>
    <n v="9901442805"/>
    <s v="ESTEBAN EVERARDO HOIL HEREDIA"/>
    <x v="0"/>
    <n v="31"/>
    <n v="72.540000000000006"/>
    <n v="2248.7400000000002"/>
    <n v="8704.8000000000011"/>
    <n v="4"/>
    <n v="75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n v="1770.67"/>
    <n v="2387.5514000000003"/>
    <n v="1696.1886"/>
    <n v="1000"/>
  </r>
  <r>
    <n v="6"/>
    <s v="DGPCYN - 031 - 1123 - 2022 "/>
    <n v="9901443598"/>
    <s v="GUMERSINDA ESTRADA ESTRADA"/>
    <x v="2"/>
    <n v="31"/>
    <n v="71.400000000000006"/>
    <n v="2213.4"/>
    <n v="8568"/>
    <n v="4"/>
    <n v="5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7"/>
    <s v="DGPCYN - 031 - 1124 - 2022 "/>
    <n v="9901443057"/>
    <s v="LUCRECIA ESTEFANÍA DUBÓN MORALES"/>
    <x v="2"/>
    <n v="31"/>
    <n v="71.400000000000006"/>
    <n v="2213.4"/>
    <n v="8568"/>
    <n v="4"/>
    <n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043.92"/>
    <n v="1223.76"/>
    <n v="2749.6400000000003"/>
    <n v="1000"/>
  </r>
  <r>
    <n v="8"/>
    <s v="DGPCYN - 031 - 1125 - 2022 "/>
    <n v="9901443717"/>
    <s v="NELSON WILFREDO RAMIREZ ALDANA"/>
    <x v="0"/>
    <n v="31"/>
    <n v="72.540000000000006"/>
    <n v="2248.7400000000002"/>
    <n v="8704.8000000000011"/>
    <n v="4"/>
    <n v="0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n v="1249.19"/>
    <n v="1430.74"/>
    <n v="2578"/>
    <n v="1000"/>
  </r>
  <r>
    <n v="9"/>
    <s v="DGPCYN - 031 - 1126 - 2022 "/>
    <n v="9901450832"/>
    <s v="ROMEO SAUL TRUJILLO ESTRADA"/>
    <x v="2"/>
    <n v="31"/>
    <n v="71.400000000000006"/>
    <n v="2213.4"/>
    <n v="8568"/>
    <n v="4"/>
    <n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m/>
    <m/>
    <n v="1786.07"/>
    <n v="2375.4839999999999"/>
    <n v="1597.9160000000002"/>
    <n v="1000"/>
  </r>
  <r>
    <n v="10"/>
    <s v="DGPCYN - 031 - 1127 - 2022 "/>
    <n v="9901442867"/>
    <s v="WILLY JOSUÉ POP PACAY "/>
    <x v="2"/>
    <n v="31"/>
    <n v="71.400000000000006"/>
    <n v="2213.4"/>
    <n v="8568"/>
    <n v="4"/>
    <n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">
  <r>
    <n v="1"/>
    <s v="DGPCYN - 031 - 1591 - 2022 "/>
    <n v="9901443854"/>
    <s v="DAVID ARTURO MADRID GUERRA"/>
    <x v="0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690.08"/>
    <n v="869.92000000000007"/>
    <n v="3103.48"/>
    <n v="1000"/>
  </r>
  <r>
    <n v="2"/>
    <s v="DGPCYN - 031 - 1592 - 2022 "/>
    <n v="9901443817"/>
    <s v="JOSSELINE CARINA TOC GARCÍA"/>
    <x v="1"/>
    <n v="31"/>
    <n v="80.86"/>
    <n v="2506.66"/>
    <n v="9703.2000000000007"/>
    <n v="4"/>
    <x v="0"/>
    <n v="1760"/>
    <n v="1510"/>
    <n v="250"/>
    <n v="4266.66"/>
    <n v="1311.9333333333334"/>
    <n v="1293.9616438356165"/>
    <n v="65.753424657534239"/>
    <n v="16743.2"/>
    <n v="19414.848401826486"/>
    <n v="194"/>
    <m/>
    <n v="10"/>
    <m/>
    <n v="1477.63"/>
    <n v="1681.63"/>
    <n v="2585.0299999999997"/>
    <n v="1000"/>
  </r>
  <r>
    <n v="3"/>
    <s v="DGPCYN - 031 - 1593 - 2022 "/>
    <n v="9901451047"/>
    <s v="MARIANA DE JESÚS AJÚ HERNÁNDEZ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4"/>
    <s v="DGPCYN - 031 - 1594 - 2022 "/>
    <n v="9901443544"/>
    <s v="MÁXIMO SOLIS RODAS"/>
    <x v="3"/>
    <n v="31"/>
    <n v="73.59"/>
    <n v="2281.29"/>
    <n v="8830.8000000000011"/>
    <n v="4"/>
    <x v="1"/>
    <n v="1760"/>
    <n v="1510"/>
    <n v="250"/>
    <n v="4091.29"/>
    <n v="1255.9000000000001"/>
    <n v="1238.695890410959"/>
    <n v="65.753424657534239"/>
    <n v="16070.800000000001"/>
    <n v="18631.149315068495"/>
    <n v="185.53"/>
    <m/>
    <m/>
    <m/>
    <m/>
    <n v="185.53"/>
    <n v="3905.7599999999998"/>
    <n v="1000"/>
  </r>
  <r>
    <n v="5"/>
    <s v="DGPCYN - 031 - 1595 - 2022 "/>
    <n v="9901443657"/>
    <s v="SERGIO GUILLERMO ROBLES BARILLAS"/>
    <x v="2"/>
    <n v="31"/>
    <n v="71.400000000000006"/>
    <n v="2213.4"/>
    <n v="8568"/>
    <n v="4"/>
    <x v="2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2781.02"/>
    <n v="2974.48"/>
    <n v="1073.92"/>
    <n v="1000"/>
  </r>
  <r>
    <n v="6"/>
    <s v="DGPCYN - 031 - 1596 - 2022 "/>
    <n v="9901442595"/>
    <s v="CARLOS MANUEL GARCÍA CRÚZ"/>
    <x v="0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7"/>
    <s v="DGPCYN - 031 - 1597 - 2022 "/>
    <n v="9901484074"/>
    <s v="LUIS FERNADO AQUINO AREVALO"/>
    <x v="0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598 - 2022 "/>
    <n v="9901443606"/>
    <s v="ABEL VIRGILIO CHÁVEZ JIMÉNEZ"/>
    <x v="4"/>
    <n v="31"/>
    <n v="78.25"/>
    <n v="2425.75"/>
    <n v="9390"/>
    <n v="4"/>
    <x v="2"/>
    <n v="1760"/>
    <n v="1510"/>
    <n v="250"/>
    <n v="4260.75"/>
    <n v="1310.8333333333333"/>
    <n v="1292.8767123287671"/>
    <n v="65.753424657534239"/>
    <n v="16730"/>
    <n v="19399.463470319632"/>
    <n v="193.72"/>
    <m/>
    <n v="10"/>
    <n v="1002.69"/>
    <n v="2006.26"/>
    <n v="3212.6699999999996"/>
    <n v="1048.0800000000004"/>
    <n v="1000"/>
  </r>
  <r>
    <n v="2"/>
    <s v="DGPCYN - 031 - 1599 - 2022 "/>
    <n v="9901443324"/>
    <s v="CARLOS ANTONIO CRUZ GÓMEZ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1155.75"/>
    <n v="1345.59"/>
    <n v="2627.8100000000004"/>
    <n v="1000"/>
  </r>
  <r>
    <n v="3"/>
    <s v="DGPCYN - 031 - 1600 - 2022 "/>
    <n v="9901443627"/>
    <s v="EVA MARÍA PEÑA VELA DE LIMA"/>
    <x v="2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n v="930.85"/>
    <n v="2727.71"/>
    <n v="3850.8199999999997"/>
    <n v="172.58000000000038"/>
    <n v="1000"/>
  </r>
  <r>
    <n v="4"/>
    <s v="DGPCYN - 031 - 1601 - 2022 "/>
    <n v="9901468701"/>
    <s v="ERIK GEOVANI HERNÁNDEZ MÉNDEZ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820.55"/>
    <n v="2000.3899999999999"/>
    <n v="1973.0100000000002"/>
    <n v="1000"/>
  </r>
  <r>
    <n v="5"/>
    <s v="DGPCYN - 031 - 1602 - 2022 "/>
    <n v="9901442465"/>
    <s v="LUCÍA ANTONIETA RODRÍGUEZ MELARA"/>
    <x v="5"/>
    <n v="31"/>
    <n v="74.63"/>
    <n v="2313.5299999999997"/>
    <n v="8955.5999999999985"/>
    <n v="4"/>
    <x v="2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n v="10"/>
    <m/>
    <m/>
    <n v="627.13829999999996"/>
    <n v="3521.3916999999997"/>
    <n v="1000"/>
  </r>
  <r>
    <n v="6"/>
    <s v="DGPCYN - 031 - 1603 - 2022 "/>
    <n v="9901442338"/>
    <s v="MARTA JULIA PÉREZ LUNA"/>
    <x v="4"/>
    <n v="31"/>
    <n v="78.25"/>
    <n v="2425.75"/>
    <n v="9390"/>
    <n v="4"/>
    <x v="2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7"/>
    <s v="DGPCYN - 031 - 1604 - 2022 "/>
    <n v="9901443545"/>
    <s v="RICARDO AGUILAR BOL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8"/>
    <s v="DGPCYN - 031 - 1605 - 2022 "/>
    <n v="9901443794"/>
    <s v="ROSARIO BELTRÁN GARCIA DE CARRERA"/>
    <x v="2"/>
    <n v="31"/>
    <n v="71.400000000000006"/>
    <n v="2213.4"/>
    <n v="8568"/>
    <n v="4"/>
    <x v="2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9"/>
    <s v="DGPCYN - 031 - 1606 - 2022 "/>
    <n v="9901442504"/>
    <s v="SARA ELIZABETH GÓMEZ ESPAÑA"/>
    <x v="6"/>
    <n v="31"/>
    <n v="72.540000000000006"/>
    <n v="2248.7400000000002"/>
    <n v="8704.8000000000011"/>
    <n v="4"/>
    <x v="1"/>
    <n v="1760"/>
    <n v="1510"/>
    <n v="250"/>
    <n v="4058.7400000000002"/>
    <n v="1245.4000000000001"/>
    <n v="1228.3397260273973"/>
    <n v="65.753424657534239"/>
    <n v="15944.800000000001"/>
    <n v="18484.293150684935"/>
    <n v="183.96"/>
    <n v="418.96140000000003"/>
    <n v="10"/>
    <m/>
    <n v="1254.5999999999999"/>
    <n v="1867.5214000000001"/>
    <n v="2191.2186000000002"/>
    <n v="1000"/>
  </r>
  <r>
    <n v="10"/>
    <s v="DGPCYN - 031 - 1607 - 2022 "/>
    <n v="9901443447"/>
    <s v="VERÓNICA BEATRÍZ CABRERA ARÉVALO"/>
    <x v="6"/>
    <n v="31"/>
    <n v="72.540000000000006"/>
    <n v="2248.7400000000002"/>
    <n v="8704.8000000000011"/>
    <n v="4"/>
    <x v="1"/>
    <n v="1760"/>
    <n v="1510"/>
    <n v="250"/>
    <n v="4058.7400000000002"/>
    <n v="1245.4000000000001"/>
    <n v="1228.3397260273973"/>
    <n v="65.753424657534239"/>
    <n v="15944.800000000001"/>
    <n v="18484.293150684935"/>
    <n v="183.96"/>
    <n v="418.96140000000003"/>
    <n v="10"/>
    <m/>
    <m/>
    <n v="612.92140000000006"/>
    <n v="3445.8186000000001"/>
    <n v="1000"/>
  </r>
  <r>
    <n v="11"/>
    <s v="DGPCYN - 031 - 1608 - 2022 "/>
    <n v="9901451055"/>
    <s v="JHONATTAN ARIEL LÓPEZ TOBAR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1158.03"/>
    <n v="1347.87"/>
    <n v="2625.53"/>
    <n v="1000"/>
  </r>
  <r>
    <n v="1"/>
    <s v="DGPCYN - 031 - 1609 - 2022 "/>
    <n v="9901482991"/>
    <s v="ANTONIO MONTEJO SIMÓN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2"/>
    <s v="DGPCYN - 031 - 1610 - 2022 "/>
    <n v="9901483019"/>
    <s v="ASUNCIÓN TIX IBOY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3"/>
    <s v="DGPCYN - 031 - 1611 - 2022 "/>
    <n v="9901482989"/>
    <s v="BLANCA PATRICIA CIFUENTES RODRÍGU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4"/>
    <s v="DGPCYN - 031 - 1612 - 2022 "/>
    <n v="9901484117"/>
    <s v="BRYAN GAMALIEL FUENTES LÓPEZ"/>
    <x v="7"/>
    <n v="31"/>
    <n v="72.540000000000006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n v="10"/>
    <m/>
    <m/>
    <n v="191.55"/>
    <n v="3817.19"/>
    <n v="1000"/>
  </r>
  <r>
    <n v="5"/>
    <s v="DGPCYN - 031 - 1613 - 2022 "/>
    <n v="9901483044"/>
    <s v="FIDEL RAXCACÓ LÓPEZ"/>
    <x v="8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6"/>
    <s v="DGPCYN - 031 - 1614 - 2022 "/>
    <n v="9901483024"/>
    <s v="FRANCISCO FELIPE LÁINEZ"/>
    <x v="8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7"/>
    <s v="DGPCYN - 031 - 1615 - 2022 "/>
    <n v="9901482995"/>
    <s v="ISRAEL JERÓNIMO CALMO"/>
    <x v="8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8"/>
    <s v="DGPCYN - 031 - 1616 - 2022 "/>
    <n v="9901483023"/>
    <s v="PASCUAL HIGINIO LÓPEZ GERÓNIMO"/>
    <x v="8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9"/>
    <s v="DGPCYN - 031 - 1617 - 2022 "/>
    <n v="9901484071"/>
    <s v="ERICK AMILCAR GUZMAN HERRERA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0"/>
    <s v="DGPCYN - 031 - 223 - 2022 "/>
    <n v="9901483344"/>
    <s v="CAROLINA ELIZABETH FERRER GIRÓN"/>
    <x v="1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11"/>
    <s v="DGPCYN - 031 - 225 - 2022 "/>
    <n v="9901483305"/>
    <s v="ENMA CAROLINA MARROQUIN BOROR "/>
    <x v="1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12"/>
    <s v="DGPCYN - 031 - 227 - 2022 "/>
    <n v="9901546113"/>
    <s v="DINA MERCEDES CUTZAL OTZOY"/>
    <x v="1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13"/>
    <m/>
    <n v="9901563353"/>
    <s v="RUBÍ MARGARITA VÁSQUEZ ORTEGA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83">
  <r>
    <n v="1"/>
    <s v="DGPCYN - 031 - 1128 - 2022 "/>
    <n v="9901442713"/>
    <s v="ABEL AMILCAR MONTERROSO GARCÍA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"/>
    <s v="DGPCYN - 031 - 1129 - 2022 "/>
    <n v="9901442460"/>
    <s v="ABNER OMAR ALVARADO AMÉZQUITA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313.63"/>
    <n v="1495.89"/>
    <n v="2527.5100000000002"/>
    <n v="1000"/>
  </r>
  <r>
    <n v="3"/>
    <s v="DGPCYN - 031 - 1130 - 2022 "/>
    <n v="9901442521"/>
    <s v="ALBERTO GÓMEZ VILLAGRÉS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485.14"/>
    <n v="1667.4"/>
    <n v="2356"/>
    <n v="1000"/>
  </r>
  <r>
    <n v="4"/>
    <s v="DGPCYN - 031 - 1131 - 2022 "/>
    <n v="9901442283"/>
    <s v="ALBERTO LÓPEZ LORENZO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439.78"/>
    <n v="1633.24"/>
    <n v="2415.16"/>
    <n v="1000"/>
  </r>
  <r>
    <n v="5"/>
    <s v="DGPCYN - 031 - 1132 - 2022 "/>
    <n v="9901442285"/>
    <s v="ALBERTO VAIL HUINIL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"/>
    <s v="DGPCYN - 031 - 1134 - 2022 "/>
    <n v="9901482005"/>
    <s v="ALVARO MYNOR ENRIQUE DE LEÓN ARANGO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"/>
    <s v="DGPCYN - 031 - 1135 - 2022 "/>
    <n v="9901442729"/>
    <s v="AMILCAR ESTUARDO JUÁREZ MÉNDEZ"/>
    <x v="0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m/>
    <m/>
    <m/>
    <n v="181.53"/>
    <n v="3826.87"/>
    <n v="1000"/>
  </r>
  <r>
    <n v="8"/>
    <s v="DGPCYN - 031 - 1136 - 2022 "/>
    <n v="9901442700"/>
    <s v="AMILCAR SILVESTRE PÉREZ CIGUENZA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9"/>
    <s v="DGPCYN - 031 - 1137 - 2022 "/>
    <n v="9901442732"/>
    <s v="ANAHÚ JEREMIAS GÓMEZ LÓP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0"/>
    <s v="DGPCYN - 031 - 1138 - 2022 "/>
    <n v="9901442455"/>
    <s v="ANGEL EDUARDO AMÉZQUITA RODAS 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589.76"/>
    <n v="1784.93"/>
    <n v="2298.8100000000004"/>
    <n v="1000"/>
  </r>
  <r>
    <n v="11"/>
    <s v="DGPCYN - 031 - 1139 - 2022 "/>
    <n v="9901442710"/>
    <s v="BAUDILIO MENCHÚ GÓM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2"/>
    <s v="DGPCYN - 031 - 1140 - 2022 "/>
    <n v="9901442722"/>
    <s v="BERNAVE NICOLÁS CASTAÑEDA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272.44"/>
    <n v="464.7"/>
    <n v="3558.7000000000003"/>
    <n v="1000"/>
  </r>
  <r>
    <n v="13"/>
    <s v="DGPCYN - 031 - 1141 - 2022 "/>
    <n v="9901442715"/>
    <s v="BLANCA MARIZOL CALDERÓN RAMÍREZ DE MALDONADO"/>
    <x v="2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14"/>
    <s v="DGPCYN - 031 - 1142 - 2022 "/>
    <n v="9901443229"/>
    <s v="BRIQUEL BREMEN CIFUENTES (ÚNICO APELLIDO)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677.19"/>
    <n v="1857.03"/>
    <n v="2116.37"/>
    <n v="1000"/>
  </r>
  <r>
    <n v="15"/>
    <s v="DGPCYN - 031 - 1143 - 2022 "/>
    <n v="9901442281"/>
    <s v="BUENAVENTURA SALES SÁNCHEZ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589.76"/>
    <n v="1784.93"/>
    <n v="2298.8100000000004"/>
    <n v="1000"/>
  </r>
  <r>
    <n v="16"/>
    <s v="DGPCYN - 031 - 1144 - 2022 "/>
    <n v="9901442286"/>
    <s v="CELESTINO LÓPEZ LORENZO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7"/>
    <s v="DGPCYN - 031 - 1145 - 2022 "/>
    <n v="9901442456"/>
    <s v="CÉSAR HUMBERTO REYNOSO CHIHUIL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n v="925.5"/>
    <n v="1330.14"/>
    <n v="2437.9000000000005"/>
    <n v="1585.4999999999995"/>
    <n v="1000"/>
  </r>
  <r>
    <n v="18"/>
    <s v="DGPCYN - 031 - 1146 - 2022 "/>
    <n v="9901443376"/>
    <s v="CESAR ORDOÑEZ PÉR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9"/>
    <s v="DGPCYN - 031 - 1147 - 2022 "/>
    <n v="9901442714"/>
    <s v="DAVID NEHEMIAS CLAUDIO MONTERROSO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0"/>
    <s v="DGPCYN - 031 - 1148 - 2022 "/>
    <n v="9901442697"/>
    <s v="DAVID PÉREZ MARROQUÍN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720.04"/>
    <n v="1915.21"/>
    <n v="2168.5300000000002"/>
    <n v="1000"/>
  </r>
  <r>
    <n v="21"/>
    <s v="DGPCYN - 031 - 1150 - 2022 "/>
    <n v="9901442730"/>
    <s v="EDWIN WALDEMAR MONTERROSO TUNCH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3632.16"/>
    <n v="3824.42"/>
    <n v="198.98000000000002"/>
    <n v="1000"/>
  </r>
  <r>
    <n v="22"/>
    <s v="DGPCYN - 031 - 1151 - 2022 "/>
    <n v="9901442695"/>
    <s v="EFRAÍN GUZMÁN CARRILLO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853.21"/>
    <n v="1048.3800000000001"/>
    <n v="3035.36"/>
    <n v="1000"/>
  </r>
  <r>
    <n v="23"/>
    <s v="DGPCYN - 031 - 1152 - 2022 "/>
    <n v="9901442705"/>
    <s v="ELSÍAS JONATHAN LÓPEZ DÍAZ"/>
    <x v="3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n v="10"/>
    <m/>
    <n v="1636.86"/>
    <n v="1835.1599999999999"/>
    <n v="2313.37"/>
    <n v="1000"/>
  </r>
  <r>
    <n v="24"/>
    <s v="DGPCYN - 031 - 1153 - 2022 "/>
    <n v="9901443768"/>
    <s v="ENRIQUE ISRAEL GONZÁLEZ JUÁR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25"/>
    <s v="DGPCYN - 031 - 1154 - 2022 "/>
    <n v="9901442711"/>
    <s v="ESTEBAN VÁSQUEZ GARCIA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6"/>
    <s v="DGPCYN - 031 - 1155 - 2022 "/>
    <n v="9901442282"/>
    <s v="GENARO LOPEZ LUCAS"/>
    <x v="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27"/>
    <s v="DGPCYN - 031 - 1156 - 2022 "/>
    <n v="9901442689"/>
    <s v="GEREMIAS CLAUDIO PEREZ 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m/>
    <m/>
    <m/>
    <n v="193.72"/>
    <n v="4067.03"/>
    <n v="1000"/>
  </r>
  <r>
    <n v="28"/>
    <s v="DGPCYN - 031 - 1157 - 2022 "/>
    <n v="9901442522"/>
    <s v="GONZÁLO DANILO MARROQUÍN MÉNDEZ"/>
    <x v="0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29"/>
    <s v="DGPCYN - 031 - 1158 - 2022 "/>
    <n v="9901442458"/>
    <s v="GONZALO RAMÓN RAMÍREZ LÓPEZ"/>
    <x v="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1962.94"/>
    <n v="2148.11"/>
    <n v="1935.63"/>
    <n v="1000"/>
  </r>
  <r>
    <n v="30"/>
    <s v="DGPCYN - 031 - 1159 - 2022 "/>
    <n v="9901442702"/>
    <s v="GUADALUPE GUTIERREZ MÉNDEZ"/>
    <x v="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634.62"/>
    <n v="1829.79"/>
    <n v="2253.9500000000003"/>
    <n v="1000"/>
  </r>
  <r>
    <n v="31"/>
    <s v="DGPCYN - 031 - 1160 - 2022 "/>
    <n v="9901443950"/>
    <s v="GUILLERMO SÁNCHEZ SÁNCH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751.52"/>
    <n v="1933.78"/>
    <n v="2089.62"/>
    <n v="1000"/>
  </r>
  <r>
    <n v="32"/>
    <s v="DGPCYN - 031 - 1161 - 2022 "/>
    <n v="9901443377"/>
    <s v="HEBER ELEAZAR CAMPOS VÁSQUEZ"/>
    <x v="0"/>
    <m/>
    <n v="71.400000000000006"/>
    <n v="0"/>
    <n v="8568"/>
    <n v="4"/>
    <x v="4"/>
    <n v="0"/>
    <m/>
    <m/>
    <n v="0"/>
    <n v="714"/>
    <n v="704.21917808219177"/>
    <n v="65.753424657534239"/>
    <n v="8568"/>
    <n v="10051.972602739726"/>
    <n v="0"/>
    <m/>
    <n v="10"/>
    <m/>
    <m/>
    <n v="10"/>
    <n v="-10"/>
    <n v="1000"/>
  </r>
  <r>
    <n v="33"/>
    <s v="DGPCYN - 031 - 1162 - 2022 "/>
    <n v="9901443228"/>
    <s v="HÉCTOR LEONEL MIRANDA MAZARIEGOS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m/>
    <m/>
    <m/>
    <n v="181.53"/>
    <n v="3826.87"/>
    <n v="1000"/>
  </r>
  <r>
    <n v="34"/>
    <s v="DGPCYN - 031 - 1163 - 2022 "/>
    <n v="9901442459"/>
    <s v="HÉCTOR RONNALDO ESCOBAR MARTÍNEZ"/>
    <x v="1"/>
    <n v="31"/>
    <n v="72.540000000000006"/>
    <n v="2248.7400000000002"/>
    <n v="8704.8000000000011"/>
    <n v="4"/>
    <x v="1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m/>
    <m/>
    <m/>
    <n v="183.96"/>
    <n v="3874.78"/>
    <n v="1000"/>
  </r>
  <r>
    <n v="35"/>
    <s v="DGPCYN - 031 - 1164 - 2022 "/>
    <n v="9901442703"/>
    <s v="HECTOR VALDEMAR DE LEÓN BARRIOS"/>
    <x v="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36"/>
    <s v="DGPCYN - 031 - 1165 - 2022 "/>
    <n v="9901442733"/>
    <s v="HENRY DARÍO DE LEÓN CALDERÓN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37"/>
    <s v="DGPCYN - 031 - 1166 - 2022 "/>
    <n v="9901443147"/>
    <s v="HEYDI YOJANA PÉREZ DE LEÓN"/>
    <x v="2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38"/>
    <s v="DGPCYN - 031 - 1167 - 2022 "/>
    <n v="9901442698"/>
    <s v="HUMBERTO VILLAGRÁN MARTÍNEZ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39"/>
    <s v="DGPCYN - 031 - 1168 - 2022 "/>
    <n v="9901442721"/>
    <s v="ISRRAEL SOTO PÉR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421.06"/>
    <n v="1613.32"/>
    <n v="2410.08"/>
    <n v="1000"/>
  </r>
  <r>
    <n v="40"/>
    <s v="DGPCYN - 031 - 1169 - 2022 "/>
    <n v="9901442688"/>
    <s v="JACOBO LÓPEZ GARCÍA"/>
    <x v="4"/>
    <n v="31"/>
    <n v="72.540000000000006"/>
    <n v="2248.7400000000002"/>
    <n v="8704.8000000000011"/>
    <n v="4"/>
    <x v="1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n v="934.05"/>
    <n v="1568.42"/>
    <n v="2696.4300000000003"/>
    <n v="1362.31"/>
    <n v="1000"/>
  </r>
  <r>
    <n v="41"/>
    <s v="DGPCYN - 031 - 1171 - 2022 "/>
    <n v="9901442704"/>
    <s v="JAIME EFRAÍN MONTERROSO GARCÍA"/>
    <x v="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662.47"/>
    <n v="1857.64"/>
    <n v="2226.1000000000004"/>
    <n v="1000"/>
  </r>
  <r>
    <n v="42"/>
    <s v="DGPCYN - 031 - 1172 - 2022 "/>
    <n v="9901443431"/>
    <s v="JORGE LUIS JUÁREZ MONZÓN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731.24"/>
    <n v="923.5"/>
    <n v="3099.9"/>
    <n v="1000"/>
  </r>
  <r>
    <n v="43"/>
    <s v="DGPCYN - 031 - 1173 - 2022 "/>
    <n v="9901442692"/>
    <s v="JOSÉ EMIGDIO PINEDA DE LEÓN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44"/>
    <s v="DGPCYN - 031 - 1174 - 2022 "/>
    <n v="9901442723"/>
    <s v="JOSÉ ESTUARDO VELÁSQUEZ PUÁC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n v="1886.7"/>
    <m/>
    <n v="2078.96"/>
    <n v="1944.44"/>
    <n v="1000"/>
  </r>
  <r>
    <n v="45"/>
    <s v="DGPCYN - 031 - 1175 - 2022 "/>
    <n v="9901442691"/>
    <s v="JOSÉ MIGUEL TIPÁZ MARROQUÍN"/>
    <x v="6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n v="10"/>
    <m/>
    <m/>
    <n v="198.3"/>
    <n v="3950.2299999999996"/>
    <n v="1000"/>
  </r>
  <r>
    <n v="46"/>
    <s v="DGPCYN - 031 - 1176 - 2022 "/>
    <n v="9901443766"/>
    <s v="JOSE RAMÍRO HERNANDEZ DE LEÓN"/>
    <x v="7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n v="10"/>
    <m/>
    <m/>
    <n v="198.3"/>
    <n v="3950.2299999999996"/>
    <n v="1000"/>
  </r>
  <r>
    <n v="47"/>
    <s v="DGPCYN - 031 - 1177 - 2022 "/>
    <n v="9901442727"/>
    <s v="JOSÉ TOMAS CHAPERNO TINES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769.99"/>
    <n v="1962.25"/>
    <n v="2061.15"/>
    <n v="1000"/>
  </r>
  <r>
    <n v="48"/>
    <s v="DGPCYN - 031 - 1178 - 2022 "/>
    <n v="9901442699"/>
    <s v="JUAN FEDERICO CHAPERNO TINEZ"/>
    <x v="8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782.81"/>
    <n v="1977.98"/>
    <n v="2105.7600000000002"/>
    <n v="1000"/>
  </r>
  <r>
    <n v="49"/>
    <s v="DGPCYN - 031 - 1179 - 2022 "/>
    <n v="9901442728"/>
    <s v="JUAN SAÚL JUÁREZ ORELLANA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50"/>
    <s v="DGPCYN - 031 - 1180 - 2022 "/>
    <n v="9901443949"/>
    <s v="JULIO PATROCINIO GARCÍA (ÚNICO APELLIDO)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51"/>
    <s v="DGPCYN - 031 - 1181 - 2022 "/>
    <n v="9901443429"/>
    <s v="LAURA DALILA ESCOBAR GARCÍA DE CASTILLO"/>
    <x v="9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m/>
    <m/>
    <m/>
    <n v="188.3"/>
    <n v="3960.2299999999996"/>
    <n v="1000"/>
  </r>
  <r>
    <n v="52"/>
    <s v="DGPCYN - 031 - 1182 - 2022 "/>
    <n v="9901442718"/>
    <s v="LEOCADIO ROMERO IXCOT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53"/>
    <s v="DGPCYN - 031 - 1183 - 2022 "/>
    <n v="9901442724"/>
    <s v="LEONZO CHAVEZ SALES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453.1"/>
    <n v="1645.36"/>
    <n v="2378.04"/>
    <n v="1000"/>
  </r>
  <r>
    <n v="54"/>
    <s v="DGPCYN - 031 - 1184 - 2022 "/>
    <n v="9901442731"/>
    <s v="LUIS ALFONZO RIVERA GARCÍA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55"/>
    <s v="DGPCYN - 031 - 1185 - 2022 "/>
    <n v="9901442734"/>
    <s v="LUIS ANTONIO VELIZ RIVERA"/>
    <x v="5"/>
    <n v="31"/>
    <n v="78.25"/>
    <n v="2425.75"/>
    <n v="9390"/>
    <n v="4"/>
    <x v="3"/>
    <n v="1760"/>
    <n v="1510"/>
    <n v="250"/>
    <n v="4220.75"/>
    <n v="1297.5"/>
    <n v="1279.7260273972604"/>
    <n v="65.753424657534239"/>
    <n v="16570"/>
    <n v="19212.979452054795"/>
    <n v="191.79"/>
    <m/>
    <m/>
    <m/>
    <m/>
    <n v="191.79"/>
    <n v="4028.96"/>
    <n v="1000"/>
  </r>
  <r>
    <n v="56"/>
    <s v="DGPCYN - 031 - 1186 - 2022 "/>
    <n v="9901442712"/>
    <s v="MARIO ROLANDO BARRIOS SIGUENZA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57"/>
    <s v="DGPCYN - 031 - 1187 - 2022 "/>
    <n v="9901442453"/>
    <s v="MARVIN ALFREDO CASTILLO VILLAGRÁN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m/>
    <m/>
    <m/>
    <n v="193.72"/>
    <n v="4067.03"/>
    <n v="1000"/>
  </r>
  <r>
    <n v="58"/>
    <s v="DGPCYN - 031 - 1188 - 2022 "/>
    <n v="9901442720"/>
    <s v="MILTON OMAR RAMÍREZ LORENZO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856.16"/>
    <n v="2038.42"/>
    <n v="1984.98"/>
    <n v="1000"/>
  </r>
  <r>
    <n v="59"/>
    <s v="DGPCYN - 031 - 1189 - 2022 "/>
    <n v="9901442454"/>
    <s v="NELTON ESTUARDO MONTERROSO TUNCHEZ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60"/>
    <s v="DGPCYN - 031 - 1190 - 2022 "/>
    <n v="9901442284"/>
    <s v="OSCAR ROMEO CABRERA JUÁR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457.36"/>
    <n v="1650.82"/>
    <n v="2397.58"/>
    <n v="1000"/>
  </r>
  <r>
    <n v="61"/>
    <s v="DGPCYN - 031 - 1191 - 2022 "/>
    <n v="9901442562"/>
    <s v="PABLO GÓMEZ SALES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n v="1898.88"/>
    <n v="2102.6"/>
    <n v="2158.15"/>
    <n v="1000"/>
  </r>
  <r>
    <n v="62"/>
    <s v="DGPCYN - 031 - 1192 - 2022 "/>
    <n v="9901442717"/>
    <s v="PEDRO DAVID GONZÁLEZ RIVERA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3"/>
    <s v="DGPCYN - 031 - 1193 - 2022 "/>
    <n v="9901443687"/>
    <s v="RAMÓN LÓPEZ LORENZO"/>
    <x v="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763.59"/>
    <n v="1958.76"/>
    <n v="2124.9800000000005"/>
    <n v="1000"/>
  </r>
  <r>
    <n v="64"/>
    <s v="DGPCYN - 031 - 1194 - 2022 "/>
    <n v="9901443227"/>
    <s v="RAMÓN MÉNDEZ BARRIOS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306.3"/>
    <n v="1488.56"/>
    <n v="2534.84"/>
    <n v="1000"/>
  </r>
  <r>
    <n v="65"/>
    <s v="DGPCYN - 031 - 1195 - 2022 "/>
    <n v="9901442725"/>
    <s v="ROBERTO ALEJANDRO CHANCHAVAC ORTEGA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726.44"/>
    <n v="1918.7"/>
    <n v="2104.6999999999998"/>
    <n v="1000"/>
  </r>
  <r>
    <n v="66"/>
    <s v="DGPCYN - 031 - 1196 - 2022 "/>
    <n v="9901443698"/>
    <s v="ROBIN KINSIÑO DE LEÓN DE LEÓN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67"/>
    <s v="DGPCYN - 031 - 1197 - 2022 "/>
    <n v="9901443688"/>
    <s v="RUDY SÁNCHEZ Y SÁNCH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8"/>
    <s v="DGPCYN - 031 - 1198 - 2022 "/>
    <n v="9901442457"/>
    <s v="SANDRA NOHEMÍ TORRES ESTRADA"/>
    <x v="1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700.2"/>
    <n v="1882.46"/>
    <n v="2140.94"/>
    <n v="1000"/>
  </r>
  <r>
    <n v="69"/>
    <s v="DGPCYN - 031 - 1199 - 2022 "/>
    <n v="9901442693"/>
    <s v="SANTIAGO DELGADO VICENTE"/>
    <x v="7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n v="10"/>
    <m/>
    <m/>
    <n v="198.3"/>
    <n v="3950.2299999999996"/>
    <n v="1000"/>
  </r>
  <r>
    <n v="70"/>
    <s v="DGPCYN - 031 - 1200 - 2022 "/>
    <n v="9901443767"/>
    <s v="SANTIAGO LÓPEZ Y LÓP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n v="1570.54"/>
    <n v="1754"/>
    <n v="2294.4"/>
    <n v="1000"/>
  </r>
  <r>
    <n v="71"/>
    <s v="DGPCYN - 031 - 1201 - 2022 "/>
    <n v="9901443742"/>
    <s v="STEFFANY CONCEPCIÓN SEGURA DE LEÓN"/>
    <x v="2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2"/>
    <s v="DGPCYN - 031 - 1202 - 2022 "/>
    <n v="9901443430"/>
    <s v="WILLIAM PAZ DOMINGO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n v="943.35"/>
    <n v="1793.49"/>
    <n v="2919.1000000000004"/>
    <n v="1104.2999999999997"/>
    <n v="1000"/>
  </r>
  <r>
    <n v="73"/>
    <s v="DGPCYN - 031 - 1203 - 2022 "/>
    <s v="9901502423"/>
    <s v="CARMELINO IBARRA ORTEGA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4"/>
    <s v="DGPCYN - 031 - 1204 - 2022 "/>
    <n v="9901502412"/>
    <s v="LUIS ALFREDO CALEL LÓPEZ 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5"/>
    <s v="DGPCYN - 031 - 1205 - 2022 "/>
    <n v="9901502287"/>
    <s v="JOSÉ ANGEL RAMÍREZ VALLE"/>
    <x v="4"/>
    <n v="31"/>
    <n v="72.540000000000006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n v="10"/>
    <m/>
    <m/>
    <n v="191.55"/>
    <n v="3817.19"/>
    <n v="1000"/>
  </r>
  <r>
    <n v="76"/>
    <s v="DGPCYN - 031 - 1206 - 2022 "/>
    <s v="9901502284"/>
    <s v="LUZ ELENA LÓPEZ RECINOS"/>
    <x v="11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77"/>
    <s v="DGPCYN - 031 - 1207 - 2022 "/>
    <n v="9901502428"/>
    <s v="MIGUEL ANGEL TIPAZ ORTEGA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8"/>
    <s v="DGPCYN - 031 - 1208 - 2022 "/>
    <n v="9901510254"/>
    <s v="LLEMALDI AGUSTIN AMEZQUITA ESPAÑA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9"/>
    <s v="DGPCYN - 031 - 617 - 2022 "/>
    <n v="9901552768"/>
    <s v="BAYRON EGIDIO GÓMEZ GODÍNEZ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80"/>
    <s v="DGPCYN - 031 - 618 - 2022 "/>
    <n v="9901552770"/>
    <s v="ERWIN DONIS SOC ALONZO"/>
    <x v="12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81"/>
    <s v="DGPCYN - 031 - 627 - 2022 "/>
    <n v="9901552773"/>
    <s v="WALTER SALVADOR ZEA DE LA CRUZ"/>
    <x v="1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82"/>
    <m/>
    <n v="9901567306"/>
    <s v="DARLIN JANETH ARGUETA DUQUE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83"/>
    <m/>
    <n v="9901576016"/>
    <s v="JOAQUÍN ANTONIO MACAL VÁSQUEZ"/>
    <x v="14"/>
    <n v="31"/>
    <n v="71.400000000000006"/>
    <n v="2213.4"/>
    <n v="8568"/>
    <n v="4"/>
    <x v="4"/>
    <m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209 - 2022 "/>
    <n v="9901442677"/>
    <s v="ADELFINO LÓPEZ UMU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2"/>
    <s v="DGPCYN - 031 - 1210 - 2022 "/>
    <n v="9901442373"/>
    <s v="AMILTON AMADO CIFUENTES DE LEÓ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845.72"/>
    <n v="1037.98"/>
    <n v="2985.42"/>
    <n v="1000"/>
  </r>
  <r>
    <n v="3"/>
    <s v="DGPCYN - 031 - 1211 - 2022 "/>
    <n v="9901443724"/>
    <s v="ARMANDO REYES ORTÍ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4"/>
    <s v="DGPCYN - 031 - 1212 - 2022 "/>
    <n v="9901442578"/>
    <s v="AUREDIN RAMIRO ROSA PINEDA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n v="10"/>
    <m/>
    <m/>
    <n v="644.90250000000003"/>
    <n v="3615.8474999999999"/>
    <n v="1000"/>
  </r>
  <r>
    <n v="5"/>
    <s v="DGPCYN - 031 - 1213 - 2022 "/>
    <n v="9901442780"/>
    <s v="AURELIO JUAREZ COJO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6"/>
    <s v="DGPCYN - 031 - 1214 - 2022 "/>
    <n v="9901443143"/>
    <s v="CESAR MANUEL SUNTECÚN RAMO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3706.14"/>
    <n v="3898.3999999999996"/>
    <n v="125.00000000000045"/>
    <n v="1000"/>
  </r>
  <r>
    <n v="7"/>
    <s v="DGPCYN - 031 - 1215 - 2022 "/>
    <n v="9901442887"/>
    <s v="CESAR OCTAVIO RAYMUNDO (ÚNICO APELLIDO)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n v="10"/>
    <m/>
    <m/>
    <n v="627.13829999999996"/>
    <n v="3521.3916999999997"/>
    <n v="1000"/>
  </r>
  <r>
    <n v="8"/>
    <s v="DGPCYN - 031 - 1216 - 2022 "/>
    <n v="9901443999"/>
    <s v="CLELIA IRAYSA DE JESÚS CONTRERAS LÓPEZ DE MANES"/>
    <x v="2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9"/>
    <s v="DGPCYN - 031 - 1217 - 2022 "/>
    <n v="9901442684"/>
    <s v="DOMINGO DE JESÚS MORALES PINTO"/>
    <x v="1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m/>
    <m/>
    <m/>
    <n v="589.41399999999999"/>
    <n v="3383.9859999999999"/>
    <n v="1000"/>
  </r>
  <r>
    <n v="10"/>
    <s v="DGPCYN - 031 - 1218 - 2022 "/>
    <n v="9901442376"/>
    <s v="EDGAR GIOVANY SANDOVAL Y SANDOVA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1"/>
    <s v="DGPCYN - 031 - 1219 - 2022 "/>
    <n v="9901442380"/>
    <s v="EDVIN ORLANDO SALAZAR DE LOS SANTOS"/>
    <x v="16"/>
    <n v="31"/>
    <n v="73.59"/>
    <n v="2281.29"/>
    <n v="8830.8000000000011"/>
    <n v="4"/>
    <x v="1"/>
    <n v="1760"/>
    <n v="1510"/>
    <n v="250"/>
    <n v="4091.29"/>
    <n v="1255.9000000000001"/>
    <n v="1238.695890410959"/>
    <n v="65.753424657534239"/>
    <n v="16070.800000000001"/>
    <n v="18631.149315068495"/>
    <n v="185.53"/>
    <m/>
    <n v="10"/>
    <m/>
    <m/>
    <n v="195.53"/>
    <n v="3895.7599999999998"/>
    <n v="1000"/>
  </r>
  <r>
    <n v="12"/>
    <s v="DGPCYN - 031 - 1220 - 2022 "/>
    <n v="9901443759"/>
    <s v="ERBIN LEONEL PEÑA REVOLORI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3"/>
    <s v="DGPCYN - 031 - 1221 - 2022 "/>
    <n v="9901442814"/>
    <s v="FRANCISCO CAAL CHUB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4"/>
    <s v="DGPCYN - 031 - 1222 - 2022 "/>
    <n v="9901443725"/>
    <s v="GILBERTO CHAVEZ ORREG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5"/>
    <s v="DGPCYN - 031 - 1223 - 2022 "/>
    <n v="9901442986"/>
    <s v="GILBERTO ESTEBAN OBANDO TIUL"/>
    <x v="5"/>
    <n v="31"/>
    <n v="78.25"/>
    <n v="2425.75"/>
    <n v="9390"/>
    <n v="4"/>
    <x v="1"/>
    <n v="1760"/>
    <n v="1510"/>
    <n v="250"/>
    <n v="4235.75"/>
    <n v="1302.5"/>
    <n v="1284.6575342465753"/>
    <n v="65.753424657534239"/>
    <n v="16630"/>
    <n v="19282.910958904111"/>
    <n v="192.51"/>
    <n v="438.4325"/>
    <n v="10"/>
    <m/>
    <m/>
    <n v="640.9425"/>
    <n v="3594.8074999999999"/>
    <n v="1000"/>
  </r>
  <r>
    <n v="16"/>
    <s v="DGPCYN - 031 - 1224 - 2022 "/>
    <n v="9901442429"/>
    <s v="GUILLERMO SAMUEL RAYMUNDO CUNIL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888.17"/>
    <n v="2499.4540000000002"/>
    <n v="1548.9459999999999"/>
    <n v="1000"/>
  </r>
  <r>
    <n v="17"/>
    <s v="DGPCYN - 031 - 1225 - 2022 "/>
    <n v="9901442383"/>
    <s v="HENIO HERNAN SALINAS CRU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8"/>
    <s v="DGPCYN - 031 - 1226 - 2022 "/>
    <n v="9901442641"/>
    <s v="HERONÍAS ABDIEL MEJÍA VIDAL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n v="10"/>
    <m/>
    <m/>
    <n v="196.74"/>
    <n v="3919.55"/>
    <n v="1000"/>
  </r>
  <r>
    <n v="19"/>
    <s v="DGPCYN - 031 - 1228 - 2022 "/>
    <n v="9901442427"/>
    <s v="JESÚS ACEITUNO OSORIO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n v="10"/>
    <m/>
    <m/>
    <n v="644.90250000000003"/>
    <n v="3615.8474999999999"/>
    <n v="1000"/>
  </r>
  <r>
    <n v="20"/>
    <s v="DGPCYN - 031 - 1229 - 2022 "/>
    <n v="9901442374"/>
    <s v="JHELSON MIZRRAÍN GUERRA MORALE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3680.02"/>
    <n v="3872.2799999999997"/>
    <n v="151.12000000000035"/>
    <n v="1000"/>
  </r>
  <r>
    <n v="21"/>
    <s v="DGPCYN - 031 - 1230 - 2022 "/>
    <n v="9901442646"/>
    <s v="JOSE LUIS  MEJIA SOZA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3706.14"/>
    <n v="3899.6"/>
    <n v="148.80000000000018"/>
    <n v="1000"/>
  </r>
  <r>
    <n v="22"/>
    <s v="DGPCYN - 031 - 1231 - 2022 "/>
    <n v="9901443130"/>
    <s v="JOSÉ LUIS CORTEZ SANTIAG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23"/>
    <s v="DGPCYN - 031 - 1232 - 2022 "/>
    <n v="9901442418"/>
    <s v="JUAN CARLOS CABRERA TURCIO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976.54"/>
    <n v="2168.8000000000002"/>
    <n v="1854.6"/>
    <n v="1000"/>
  </r>
  <r>
    <n v="24"/>
    <s v="DGPCYN - 031 - 1233 - 2022 "/>
    <n v="9901443895"/>
    <s v="JUAN JOSÉ PÉREZ LEMU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25"/>
    <s v="DGPCYN - 031 - 1234 - 2022 "/>
    <n v="9901442995"/>
    <s v="JUAN MANUEL RUANO MEDRAN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944.89"/>
    <n v="1552.2239999999999"/>
    <n v="2471.1760000000004"/>
    <n v="1000"/>
  </r>
  <r>
    <n v="26"/>
    <s v="DGPCYN - 031 - 1235 - 2022 "/>
    <n v="9901443166"/>
    <s v="LUIS ALBERTO CEBALLOS MENÉNDEZ"/>
    <x v="1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27"/>
    <s v="DGPCYN - 031 - 1236 - 2022 "/>
    <n v="9901442662"/>
    <s v="LUIS ALONZO BARDALES MOY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888.17"/>
    <n v="2080.4300000000003"/>
    <n v="1942.9699999999998"/>
    <n v="1000"/>
  </r>
  <r>
    <n v="28"/>
    <s v="DGPCYN - 031 - 1237 - 2022 "/>
    <n v="9901442885"/>
    <s v="MAIRO MOICES CHÁN CHATÁ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9"/>
    <s v="DGPCYN - 031 - 1238 - 2022 "/>
    <n v="9901442579"/>
    <s v="MARBIN YOBANI ROSA PINED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0"/>
    <s v="DGPCYN - 031 - 1239 - 2022 "/>
    <n v="9901442382"/>
    <s v="MARVIN BARRERA PIRIR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378.67"/>
    <n v="1570.93"/>
    <n v="2452.4700000000003"/>
    <n v="1000"/>
  </r>
  <r>
    <n v="31"/>
    <s v="DGPCYN - 031 - 1240 - 2022 "/>
    <n v="9901442379"/>
    <s v="MARVIN MISAEL MARQUEZ JUÁR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32"/>
    <s v="DGPCYN - 031 - 1241 - 2022 "/>
    <n v="9901442377"/>
    <s v="MAYNOR DANIEL FLORES AVIL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3"/>
    <s v="DGPCYN - 031 - 1242 - 2022 "/>
    <n v="9901442992"/>
    <s v="MOISES DANIEL PÉREZ DÍA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n v="943.35"/>
    <n v="2694.84"/>
    <n v="3830.45"/>
    <n v="192.95000000000027"/>
    <n v="1000"/>
  </r>
  <r>
    <n v="34"/>
    <s v="DGPCYN - 031 - 1243 - 2022 "/>
    <n v="9901442202"/>
    <s v="MOISES TEC MAQUÍ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5"/>
    <s v="DGPCYN - 031 - 1244 - 2022 "/>
    <n v="9901442886"/>
    <s v="ODILIO DE JESÚS RAMÍREZ MONROY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36"/>
    <s v="DGPCYN - 031 - 1246 - 2022 "/>
    <n v="9901443723"/>
    <s v="ORLANDO HERRARTE RODRÍGU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7"/>
    <s v="DGPCYN - 031 - 1247 - 2022 "/>
    <n v="9901442990"/>
    <s v="OSCAR ACEVEDO ALDAN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8"/>
    <s v="DGPCYN - 031 - 1248 - 2022 "/>
    <n v="9901442501"/>
    <s v="OSCAR GUTIÉRREZ PÉREZ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n v="10"/>
    <m/>
    <n v="1306.3"/>
    <n v="1951.2025000000001"/>
    <n v="2309.5474999999997"/>
    <n v="1000"/>
  </r>
  <r>
    <n v="39"/>
    <s v="DGPCYN - 031 - 1249 - 2022 "/>
    <n v="9901443131"/>
    <s v="PEDRO ANTONIO TESUCÚN LUNA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n v="1465.71"/>
    <n v="1669.43"/>
    <n v="2591.3199999999997"/>
    <n v="1000"/>
  </r>
  <r>
    <n v="40"/>
    <s v="DGPCYN - 031 - 1250 - 2022 "/>
    <n v="9901442622"/>
    <s v="QUENIS FRANCISCO SALAS CUJ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41"/>
    <s v="DGPCYN - 031 - 1251 - 2022 "/>
    <n v="9901442381"/>
    <s v="RICARDO DE JESÚS HERRERA MARROQUÍ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079.07"/>
    <n v="1271.33"/>
    <n v="2752.07"/>
    <n v="1000"/>
  </r>
  <r>
    <n v="42"/>
    <s v="DGPCYN - 031 - 1252 - 2022 "/>
    <n v="9901442660"/>
    <s v="RUBÉN ANTONIO SOLÓRZANO LUNA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n v="10"/>
    <m/>
    <m/>
    <n v="627.13829999999996"/>
    <n v="3521.3916999999997"/>
    <n v="1000"/>
  </r>
  <r>
    <n v="43"/>
    <s v="DGPCYN - 031 - 1253 - 2022 "/>
    <n v="9901484107"/>
    <s v="SELVIN ORLANDO CANTE HERRERA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44"/>
    <s v="DGPCYN - 031 - 1254 - 2022 "/>
    <n v="9901442567"/>
    <s v="UBALDO CANAHUÍ SANDOVA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45"/>
    <s v="DGPCYN - 031 - 1255 - 2022 "/>
    <n v="9901442375"/>
    <s v="VICTOR HUGO LÓPEZ SEGUR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e v="#REF!"/>
    <n v="10"/>
    <m/>
    <m/>
    <e v="#REF!"/>
    <e v="#REF!"/>
    <n v="1000"/>
  </r>
  <r>
    <n v="46"/>
    <s v="DGPCYN - 031 - 1256 - 2022 "/>
    <n v="9901443140"/>
    <s v="VICTOR MANUEL CARAVEO MENDOZA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962.94"/>
    <n v="2156.4"/>
    <n v="1892"/>
    <n v="1000"/>
  </r>
  <r>
    <n v="47"/>
    <s v="DGPCYN - 031 - 1257 - 2022 "/>
    <n v="9901442444"/>
    <s v="WEYNER AMILCAR QUIXCHÁN COHUOJ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672.47"/>
    <n v="1865.93"/>
    <n v="2182.4700000000003"/>
    <n v="1000"/>
  </r>
  <r>
    <n v="48"/>
    <m/>
    <n v="9901575940"/>
    <s v="WILLIAM HUMBERTO PALACIOS GUTIÉRREZ"/>
    <x v="1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49"/>
    <m/>
    <n v="9901576018"/>
    <s v="GILMER DARÍO CONTRERAS ESCOBAR"/>
    <x v="1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0"/>
    <m/>
    <n v="9901576022"/>
    <s v="JOSÉ ARNULFO PINEDA XIQUÉN"/>
    <x v="1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260 - 2022 "/>
    <n v="9901443677"/>
    <s v="ALFREDO CHOC TIU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990.7"/>
    <n v="2182.96"/>
    <n v="1840.44"/>
    <n v="1000"/>
  </r>
  <r>
    <n v="2"/>
    <s v="DGPCYN - 031 - 1261 - 2022 "/>
    <n v="9901442902"/>
    <s v="ARNOLDO BAUDILIO COLLI TESUCÚ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787.66"/>
    <n v="1979.92"/>
    <n v="2043.48"/>
    <n v="1000"/>
  </r>
  <r>
    <n v="3"/>
    <s v="DGPCYN - 031 - 1262 - 2022 "/>
    <n v="9901442362"/>
    <s v="ARNOLDO ENRIQUE JUAREZ PINEL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4"/>
    <s v="DGPCYN - 031 - 1263 - 2022 "/>
    <n v="9901443071"/>
    <s v="AUDENCIO MATEO ICÓ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962.94"/>
    <n v="2570.2740000000003"/>
    <n v="1453.1259999999997"/>
    <n v="1000"/>
  </r>
  <r>
    <n v="5"/>
    <s v="DGPCYN - 031 - 1264 - 2022 "/>
    <n v="9901443179"/>
    <s v="BAUDILIO CHOC TESUCÚ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6"/>
    <s v="DGPCYN - 031 - 1265 - 2022 "/>
    <n v="9901442901"/>
    <s v="BENIGNO ANTONIO LINARES MORALE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794.37"/>
    <n v="986.63"/>
    <n v="3036.77"/>
    <n v="1000"/>
  </r>
  <r>
    <n v="7"/>
    <s v="DGPCYN - 031 - 1266 - 2022 "/>
    <n v="9901442363"/>
    <s v="BRAULIO REVOLORIO MUÑO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8"/>
    <s v="DGPCYN - 031 - 1267 - 2022 "/>
    <n v="9901443056"/>
    <s v="BYRON OTTONIEL HERNÁNDEZ RIOS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m/>
    <n v="604.95400000000006"/>
    <n v="3403.4459999999999"/>
    <n v="1000"/>
  </r>
  <r>
    <n v="9"/>
    <s v="DGPCYN - 031 - 1268 - 2022 "/>
    <n v="9901442389"/>
    <s v="CARLOS DE JESUS TORRES FERNAND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990.7"/>
    <n v="2182.96"/>
    <n v="1840.44"/>
    <n v="1000"/>
  </r>
  <r>
    <n v="10"/>
    <s v="DGPCYN - 031 - 1269 - 2022 "/>
    <n v="9901442368"/>
    <s v="CARLOS ENRIQUE LÓPEZ CASTILL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n v="930.85"/>
    <n v="1367.68"/>
    <n v="2490.79"/>
    <n v="1532.6100000000001"/>
    <n v="1000"/>
  </r>
  <r>
    <n v="11"/>
    <s v="DGPCYN - 031 - 1270 - 2022 "/>
    <n v="9901442366"/>
    <s v="CÉSAR AUGUSTO DÍAZ LÓP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757.27"/>
    <n v="1939.53"/>
    <n v="2083.87"/>
    <n v="1000"/>
  </r>
  <r>
    <n v="12"/>
    <s v="DGPCYN - 031 - 1271 - 2022 "/>
    <n v="9901442448"/>
    <s v="CÉSAR AUGUSTO ESCALANTE FRANC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3"/>
    <s v="DGPCYN - 031 - 1272 - 2022 "/>
    <n v="9901442584"/>
    <s v="CÉSAR AUGUSTO GIRÓN MORALE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816.18"/>
    <n v="2423.5140000000001"/>
    <n v="1599.886"/>
    <n v="1000"/>
  </r>
  <r>
    <n v="14"/>
    <s v="DGPCYN - 031 - 1273 - 2022 "/>
    <n v="9901442896"/>
    <s v="CÉSAR OVIDIO ALONZO RAMO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559.88"/>
    <n v="2167.2139999999999"/>
    <n v="1856.1860000000001"/>
    <n v="1000"/>
  </r>
  <r>
    <n v="15"/>
    <s v="DGPCYN - 031 - 1274 - 2022 "/>
    <n v="9901442769"/>
    <s v="CRUZ OBED CUNIL OBAND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981.78"/>
    <n v="2589.1139999999996"/>
    <n v="1434.2860000000005"/>
    <n v="1000"/>
  </r>
  <r>
    <n v="16"/>
    <s v="DGPCYN - 031 - 1275 - 2022 "/>
    <n v="9901442271"/>
    <s v="DANIEL MESAC BOL TIU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819.16"/>
    <n v="2001.42"/>
    <n v="2021.98"/>
    <n v="1000"/>
  </r>
  <r>
    <n v="17"/>
    <s v="DGPCYN - 031 - 1276 - 2022 "/>
    <n v="9901442937"/>
    <s v="DAVID ENRIQUE NÁJERA (ÚNICO APELLIDO)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732.39"/>
    <n v="1925.8500000000001"/>
    <n v="2122.5500000000002"/>
    <n v="1000"/>
  </r>
  <r>
    <n v="18"/>
    <s v="DGPCYN - 031 - 1277 - 2022 "/>
    <n v="9901442953"/>
    <s v="EDGAR REYNALDO CASTAÑEDA VALENZUELA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9"/>
    <s v="DGPCYN - 031 - 1278 - 2022 "/>
    <n v="9901443173"/>
    <s v="EDY ALBERTO SAC CORT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347.17"/>
    <n v="1954.5040000000001"/>
    <n v="2068.8959999999997"/>
    <n v="1000"/>
  </r>
  <r>
    <n v="20"/>
    <s v="DGPCYN - 031 - 1279 - 2022 "/>
    <n v="9901443026"/>
    <s v="ELDER ALCÍDES MÉNDEZ NUFI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434.47"/>
    <n v="1626.73"/>
    <n v="2396.67"/>
    <n v="1000"/>
  </r>
  <r>
    <n v="21"/>
    <s v="DGPCYN - 031 - 1280 - 2022 "/>
    <n v="9901442947"/>
    <s v="EMERSON EDUARDO AJÚ GONZÁLE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2"/>
    <s v="DGPCYN - 031 - 1281 - 2022 "/>
    <n v="9901443177"/>
    <s v="EMILIO CETINA QUILKÁ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741.38"/>
    <n v="1923.64"/>
    <n v="2099.7600000000002"/>
    <n v="1000"/>
  </r>
  <r>
    <n v="23"/>
    <s v="DGPCYN - 031 - 1282 - 2022 "/>
    <n v="9901442581"/>
    <s v="FAUSTINO CORADO ZUÑIGA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342.04"/>
    <n v="1953.3240000000001"/>
    <n v="2095.076"/>
    <n v="1000"/>
  </r>
  <r>
    <n v="24"/>
    <s v="DGPCYN - 031 - 1283 - 2022 "/>
    <n v="9901442956"/>
    <s v="FERNANDO CORNELIO TURCIOS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5"/>
    <s v="DGPCYN - 031 - 1284 - 2022 "/>
    <n v="9901442897"/>
    <s v="FIDEL RAMÍREZ ARELLANO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26"/>
    <s v="DGPCYN - 031 - 1285 - 2022 "/>
    <n v="9901442566"/>
    <s v="FIDENCIO CHÓC (ÚNICO APELLIDO)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913.35"/>
    <n v="2106.81"/>
    <n v="1941.5900000000001"/>
    <n v="1000"/>
  </r>
  <r>
    <n v="27"/>
    <s v="DGPCYN - 031 - 1286 - 2022 "/>
    <n v="9901442204"/>
    <s v="GILBERTO BUTZ BOLÓ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877.52"/>
    <n v="2069.7799999999997"/>
    <n v="1953.6200000000003"/>
    <n v="1000"/>
  </r>
  <r>
    <n v="28"/>
    <s v="DGPCYN - 031 - 1287 - 2022 "/>
    <n v="9901442903"/>
    <s v="GILBERTO PACAYA (ÚNICO APELLIDO)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29"/>
    <s v="DGPCYN - 031 - 1288 - 2022 "/>
    <n v="9901443193"/>
    <s v="HIPOLITO RAMOS MARTIN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728.58"/>
    <n v="1920.84"/>
    <n v="2102.5600000000004"/>
    <n v="1000"/>
  </r>
  <r>
    <n v="30"/>
    <s v="DGPCYN - 031 - 1289 - 2022 "/>
    <n v="9901442898"/>
    <s v="HENRY DOMINGO RAMÍREZ RODRÍGU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31"/>
    <s v="DGPCYN - 031 - 1290 - 2022 "/>
    <n v="9901443021"/>
    <s v="HUGO VELARMINO MORO (ÚNICO APELLIDO)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192.67"/>
    <n v="1384.93"/>
    <n v="2638.4700000000003"/>
    <n v="1000"/>
  </r>
  <r>
    <n v="32"/>
    <s v="DGPCYN - 031 - 1291 - 2022 "/>
    <n v="9901442307"/>
    <s v="ISMAEL ROLANDO CHOC CUCU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527.84"/>
    <n v="2135.174"/>
    <n v="1888.2260000000001"/>
    <n v="1000"/>
  </r>
  <r>
    <n v="33"/>
    <s v="DGPCYN - 031 - 1292 - 2022 "/>
    <n v="9901443882"/>
    <s v="JESUS ENRIQUE REQUENA (ÚNICO APELLIDO)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649.18"/>
    <n v="1831.44"/>
    <n v="2191.96"/>
    <n v="1000"/>
  </r>
  <r>
    <n v="34"/>
    <s v="DGPCYN - 031 - 1293 - 2022 "/>
    <n v="9901451053"/>
    <s v="JOEL RAMOS CULAJAY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35"/>
    <s v="DGPCYN - 031 - 1294 - 2022 "/>
    <n v="9901442360"/>
    <s v="JOHEL ESAÚ QUIXCHÁN SINTURIÓ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36"/>
    <s v="DGPCYN - 031 - 1296 - 2022 "/>
    <n v="9901443380"/>
    <s v="JOSE AUGUSTO CAAL LARA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37"/>
    <s v="DGPCYN - 031 - 1297 - 2022 "/>
    <n v="9901442936"/>
    <s v="JOSÉ DIONICIO LECHUGA ZAC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935.31"/>
    <n v="2546.5940000000001"/>
    <n v="1501.806"/>
    <n v="1000"/>
  </r>
  <r>
    <n v="38"/>
    <s v="DGPCYN - 031 - 1298 - 2022 "/>
    <n v="9901442299"/>
    <s v="JOSÉ JOLOMNA CABNA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421.06"/>
    <n v="1613.32"/>
    <n v="2410.08"/>
    <n v="1000"/>
  </r>
  <r>
    <n v="39"/>
    <s v="DGPCYN - 031 - 1299 - 2022 "/>
    <n v="9901442958"/>
    <s v="JOSÉ MARÍA VÁSQUEZ TRINIDAD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816.18"/>
    <n v="2427.4639999999999"/>
    <n v="1620.9360000000001"/>
    <n v="1000"/>
  </r>
  <r>
    <n v="40"/>
    <s v="DGPCYN - 031 - 1301 - 2022 "/>
    <n v="9901442364"/>
    <s v="JUAN CARLOS PUGA BURGO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41"/>
    <s v="DGPCYN - 031 - 1302 - 2022 "/>
    <n v="9901442449"/>
    <s v="JULIAN AJU YOT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42"/>
    <s v="DGPCYN - 031 - 1303 - 2022 "/>
    <n v="9901443751"/>
    <s v="JULIAN FRANCISCO LÓPEZ CALLEJA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43"/>
    <s v="DGPCYN - 031 - 1304 - 2022 "/>
    <n v="9901442942"/>
    <s v="JULIO DAVID MEJÍA GARCÍA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399.72"/>
    <n v="1593.18"/>
    <n v="2455.2200000000003"/>
    <n v="1000"/>
  </r>
  <r>
    <n v="44"/>
    <s v="DGPCYN - 031 - 1305 - 2022 "/>
    <n v="9901443174"/>
    <s v="LEONEL QUETZAL TZU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388.61"/>
    <n v="1995.944"/>
    <n v="2027.4560000000001"/>
    <n v="1000"/>
  </r>
  <r>
    <n v="45"/>
    <s v="DGPCYN - 031 - 1306 - 2022 "/>
    <n v="9901442860"/>
    <s v="MAGDALENO FERMÍN TZIN ALVARAD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46"/>
    <s v="DGPCYN - 031 - 1307 - 2022 "/>
    <n v="9901442303"/>
    <s v="MANUEL DE JESUS YOJ (ÚNICO APELLIDO)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423.21"/>
    <n v="2030.5440000000001"/>
    <n v="1992.856"/>
    <n v="1000"/>
  </r>
  <r>
    <n v="47"/>
    <s v="DGPCYN - 031 - 1308 - 2022 "/>
    <n v="9901442370"/>
    <s v="MARCO ANTONIO EFRAIN PUGA MANZANER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527.84"/>
    <n v="2135.174"/>
    <n v="1888.2260000000001"/>
    <n v="1000"/>
  </r>
  <r>
    <n v="48"/>
    <s v="DGPCYN - 031 - 1309 - 2022 "/>
    <n v="9901442306"/>
    <s v="MARIO CHOC (ÚNICO APELLIDO)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326.51"/>
    <n v="1933.8440000000001"/>
    <n v="2089.556"/>
    <n v="1000"/>
  </r>
  <r>
    <n v="49"/>
    <s v="DGPCYN - 031 - 1311 - 2022 "/>
    <n v="9901443099"/>
    <s v="MARVIN GEOVANY QUINTEROS MARROQUI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760.06"/>
    <n v="1952.32"/>
    <n v="2071.08"/>
    <n v="1000"/>
  </r>
  <r>
    <n v="50"/>
    <s v="DGPCYN - 031 - 1312 - 2022 "/>
    <n v="9901442895"/>
    <s v="MARVIN LEONEL VILLEDA (ÚNICO APELLIDO)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51"/>
    <s v="DGPCYN - 031 - 1313 - 2022 "/>
    <n v="9901442899"/>
    <s v="MARVIN YOVANY GIRÓN ENRIQUE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52"/>
    <s v="DGPCYN - 031 - 1314 - 2022 "/>
    <n v="9901442862"/>
    <s v="MERY GERMÁN ALVARADO MUZU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7.82400000000001"/>
    <n v="10"/>
    <m/>
    <n v="1611.71"/>
    <n v="2221.7939999999999"/>
    <n v="1801.6060000000002"/>
    <n v="1000"/>
  </r>
  <r>
    <n v="53"/>
    <s v="DGPCYN - 031 - 1315 - 2022 "/>
    <n v="9901442272"/>
    <s v="MIGUEL CHOC PA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695.26"/>
    <n v="1887.52"/>
    <n v="2135.88"/>
    <n v="1000"/>
  </r>
  <r>
    <n v="54"/>
    <s v="DGPCYN - 031 - 1316 - 2022 "/>
    <n v="9901442949"/>
    <s v="NÉLSON FELIPE VANEGAS COCÓN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55"/>
    <s v="DGPCYN - 031 - 1317 - 2022 "/>
    <n v="9901451566"/>
    <s v="NELWIN RAÚL RAYMUNDO HEREDIA 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17.82400000000001"/>
    <n v="10"/>
    <m/>
    <m/>
    <n v="607.66399999999999"/>
    <n v="3365.7359999999999"/>
    <n v="1000"/>
  </r>
  <r>
    <n v="56"/>
    <s v="DGPCYN - 031 - 1318 - 2022 "/>
    <n v="9901442861"/>
    <s v="NOÉ ALBERTO CORTÉZ PÉR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533.69"/>
    <n v="1725.95"/>
    <n v="2297.4499999999998"/>
    <n v="1000"/>
  </r>
  <r>
    <n v="57"/>
    <s v="DGPCYN - 031 - 1319 - 2022 "/>
    <n v="9901442585"/>
    <s v="NOÉ EFRAIN RIVAS DURÁ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826.88"/>
    <n v="2019.14"/>
    <n v="2004.26"/>
    <n v="1000"/>
  </r>
  <r>
    <n v="58"/>
    <s v="DGPCYN - 031 - 1320 - 2022 "/>
    <n v="9901442320"/>
    <s v="PAULINO XITUMUL IXPATAC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913.35"/>
    <n v="2524.634"/>
    <n v="1523.7660000000001"/>
    <n v="1000"/>
  </r>
  <r>
    <n v="59"/>
    <s v="DGPCYN - 031 - 1321 - 2022 "/>
    <n v="9901442230"/>
    <s v="PEDRO CUCUL COC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637.46"/>
    <n v="829.72"/>
    <n v="3193.6800000000003"/>
    <n v="1000"/>
  </r>
  <r>
    <n v="60"/>
    <s v="DGPCYN - 031 - 1322 - 2022 "/>
    <n v="9901442951"/>
    <s v="PIOQUINTO DE LA CRUZ CUJUY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1"/>
    <s v="DGPCYN - 031 - 1323 - 2022 "/>
    <n v="9901451057"/>
    <s v="RIGOBERTO ASIG COC "/>
    <x v="1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n v="907.63"/>
    <n v="1507.0439999999999"/>
    <n v="2466.3560000000002"/>
    <n v="1000"/>
  </r>
  <r>
    <n v="62"/>
    <s v="DGPCYN - 031 - 1324 - 2022 "/>
    <n v="9901442944"/>
    <s v="RIGOBERTO HUMBERTO CORTÉZ PÉRE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3"/>
    <s v="DGPCYN - 031 - 1325 - 2022 "/>
    <n v="9901443381"/>
    <s v="ROGER GIOVANNI MATUS GÓM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821.86"/>
    <n v="2004.12"/>
    <n v="2019.2800000000002"/>
    <n v="1000"/>
  </r>
  <r>
    <n v="64"/>
    <s v="DGPCYN - 031 - 1326 - 2022 "/>
    <n v="9901442934"/>
    <s v="RUFO LEONEL ALVARADO OBANDO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096.83"/>
    <n v="1290.29"/>
    <n v="2758.11"/>
    <n v="1000"/>
  </r>
  <r>
    <n v="65"/>
    <s v="DGPCYN - 031 - 1327 - 2022 "/>
    <n v="9901442900"/>
    <s v="SANTOS DOMINGO DONIS LORENZ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774.53"/>
    <n v="1381.864"/>
    <n v="2641.5360000000001"/>
    <n v="1000"/>
  </r>
  <r>
    <n v="66"/>
    <s v="DGPCYN - 031 - 1328 - 2022 "/>
    <n v="9901442356"/>
    <s v="SANTOS RAMÓN LORENZO MUÑO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837.08"/>
    <n v="2029.34"/>
    <n v="1994.0600000000002"/>
    <n v="1000"/>
  </r>
  <r>
    <n v="67"/>
    <s v="DGPCYN - 031 - 1329 - 2022 "/>
    <n v="9901442358"/>
    <s v="SATURNINO CARRETO ALMARÁ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68"/>
    <s v="DGPCYN - 031 - 1330 - 2022 "/>
    <n v="9901443378"/>
    <s v="TERESO DE JESÚS GONZÁLEZ LÓPE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69"/>
    <s v="DGPCYN - 031 - 1331 - 2022 "/>
    <n v="9901443101"/>
    <s v="TOMAS FÉLIPE MORALE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950.12"/>
    <n v="2557.4539999999997"/>
    <n v="1465.9460000000004"/>
    <n v="1000"/>
  </r>
  <r>
    <n v="70"/>
    <s v="DGPCYN - 031 - 1332 - 2022 "/>
    <n v="9901442587"/>
    <s v="ULISES MORO ROSALE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71"/>
    <s v="DGPCYN - 031 - 1333 - 2022 "/>
    <n v="9901442957"/>
    <s v="VERÓNICO SINTÚ HERNÁNDE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877.52"/>
    <n v="2488.8040000000001"/>
    <n v="1559.596"/>
    <n v="1000"/>
  </r>
  <r>
    <n v="72"/>
    <s v="DGPCYN - 031 - 1334 - 2022 "/>
    <n v="9901443750"/>
    <s v="WILIAN OMÉR LATÍN BARILLA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73"/>
    <s v="DGPCYN - 031 - 1335 - 2022 "/>
    <n v="9901442683"/>
    <s v="ABEL RODOLFO TISTA BALCARCE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74"/>
    <s v="DGPCYN - 031 - 1336 - 2022 "/>
    <n v="9901442665"/>
    <s v="ADALBERTO RECINOS DARDÓ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739.43"/>
    <n v="1346.7639999999999"/>
    <n v="2676.6360000000004"/>
    <n v="1000"/>
  </r>
  <r>
    <n v="75"/>
    <s v="DGPCYN - 031 - 1337 - 2022 "/>
    <n v="9901442948"/>
    <s v="ALDO NOEL CHI CAMAL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76"/>
    <s v="DGPCYN - 031 - 1338 - 2022 "/>
    <n v="9901442565"/>
    <s v="CANDELARIO PAAÚ LOPÉ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854.29"/>
    <n v="2047.75"/>
    <n v="2000.65"/>
    <n v="1000"/>
  </r>
  <r>
    <n v="77"/>
    <s v="DGPCYN - 031 - 1339 - 2022 "/>
    <n v="950109478"/>
    <s v="CARLOS CAAL MAX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78"/>
    <s v="DGPCYN - 031 - 1340 - 2022 "/>
    <n v="9901442945"/>
    <s v="CESAR AUGUSTO GIRÓN (ÚNICO APELLIDO)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79"/>
    <s v="DGPCYN - 031 - 1341 - 2022 "/>
    <n v="9901443889"/>
    <s v="EDUARDO LÓPEZ PÉR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2055.5"/>
    <n v="2248.96"/>
    <n v="1799.44"/>
    <n v="1000"/>
  </r>
  <r>
    <n v="80"/>
    <s v="DGPCYN - 031 - 1342 - 2022 "/>
    <n v="9901450998"/>
    <s v="FRANKLIN ALEXIS HERNÁNDEZ AJU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1888.28"/>
    <n v="2078.12"/>
    <n v="1895.2800000000002"/>
    <n v="1000"/>
  </r>
  <r>
    <n v="81"/>
    <s v="DGPCYN - 031 - 1343 - 2022 "/>
    <n v="9901442582"/>
    <s v="FRANCISCO ORTIZ (ÚNICO APELLIDO)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82"/>
    <s v="DGPCYN - 031 - 1344 - 2022 "/>
    <n v="9901442171"/>
    <s v="GUILLERMO CAAL CAC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83"/>
    <s v="DGPCYN - 031 - 1345 - 2022 "/>
    <n v="9901443155"/>
    <s v="JOEL BÁ BUT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791.36"/>
    <n v="1983.62"/>
    <n v="2039.7800000000002"/>
    <n v="1000"/>
  </r>
  <r>
    <n v="84"/>
    <s v="DGPCYN - 031 - 1346 - 2022 "/>
    <n v="9901442941"/>
    <s v="JOSÉ MANUEL ALFARO QUEVEDO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85"/>
    <s v="DGPCYN - 031 - 1347 - 2022 "/>
    <n v="9901442943"/>
    <s v="JOSUÉ MISAEL CHÍ MUÑO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86"/>
    <s v="DGPCYN - 031 - 1348 - 2022 "/>
    <n v="9901443379"/>
    <s v="LISANDRO HERNANDEZ (ÚNICO APELLIDO)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87"/>
    <s v="DGPCYN - 031 - 1349 - 2022 "/>
    <n v="9901442168"/>
    <s v="LUCAS BÁ CHUB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758.19"/>
    <n v="1951.65"/>
    <n v="2096.75"/>
    <n v="1000"/>
  </r>
  <r>
    <n v="88"/>
    <s v="DGPCYN - 031 - 1350 - 2022 "/>
    <n v="9901442950"/>
    <s v="MANUEL DE JESUS TUT CETIN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794.95"/>
    <n v="1987.21"/>
    <n v="2036.19"/>
    <n v="1000"/>
  </r>
  <r>
    <n v="89"/>
    <s v="DGPCYN - 031 - 1351 - 2022 "/>
    <n v="9901442649"/>
    <s v="MARVIN SOTO PÉR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367.13"/>
    <n v="1559.39"/>
    <n v="2464.0100000000002"/>
    <n v="1000"/>
  </r>
  <r>
    <n v="90"/>
    <s v="DGPCYN - 031 - 1352 - 2022 "/>
    <n v="9901442682"/>
    <s v="MIGUEL ANGEL LÉMUS FLORE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393.74"/>
    <n v="1576"/>
    <n v="2447.4"/>
    <n v="1000"/>
  </r>
  <r>
    <n v="91"/>
    <s v="DGPCYN - 031 - 1353 - 2022 "/>
    <n v="9901442669"/>
    <s v="MYNOR ESAÚ OLIVEROS PERALT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92"/>
    <s v="DGPCYN - 031 - 1354 - 2022 "/>
    <n v="9901442668"/>
    <s v="MYNOR ROBERTO VENTURA FRANC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986.42"/>
    <n v="2593.7539999999999"/>
    <n v="1429.6460000000002"/>
    <n v="1000"/>
  </r>
  <r>
    <n v="93"/>
    <s v="DGPCYN - 031 - 1355 - 2022 "/>
    <n v="9901442954"/>
    <s v="OCTAVIANO AMBROSIO PECH LOBOS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637.76"/>
    <n v="1249.0440000000001"/>
    <n v="2799.3559999999998"/>
    <n v="1000"/>
  </r>
  <r>
    <n v="94"/>
    <s v="DGPCYN - 031 - 1356 - 2022 "/>
    <n v="9901443764"/>
    <s v="OSWALDO ARÉVALO GARCÍA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n v="1089.81"/>
    <n v="1694.7639999999999"/>
    <n v="2313.6360000000004"/>
    <n v="1000"/>
  </r>
  <r>
    <n v="95"/>
    <s v="DGPCYN - 031 - 1357 - 2022 "/>
    <n v="9901442961"/>
    <s v="SERGIO DAVID SALAS CHATÁ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824.92"/>
    <n v="2436.2040000000002"/>
    <n v="1612.1959999999999"/>
    <n v="1000"/>
  </r>
  <r>
    <n v="96"/>
    <s v="DGPCYN - 031 - 207 - 2022 "/>
    <n v="9901546005"/>
    <s v="WESLEY GUÉNADI HERNÁNDEZ AJÚ"/>
    <x v="1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97"/>
    <s v="DGPCYN - 031 - 208 - 2022 "/>
    <s v="_x0009_9901546006"/>
    <s v="EDGAR DEMETRIO IXCOPAL CORTEZ"/>
    <x v="1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98"/>
    <s v="DGPCYN - 031 - 209 - 2022 "/>
    <n v="9901469960"/>
    <s v="AMILCAR OSWALDO AJÚ GONZÁLEZ"/>
    <x v="1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99"/>
    <m/>
    <n v="9901563298"/>
    <s v="DARWIN GEOVANI FRANCO CHONAY"/>
    <x v="1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00"/>
    <m/>
    <n v="9901563299"/>
    <s v="JESUS GUALIM (ÚNICO APELLIDO)"/>
    <x v="1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359 - 2022 "/>
    <n v="9901418198"/>
    <s v="BLANCA MISHEL ANTILLON PÉREZ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388.53"/>
    <n v="1568.37"/>
    <n v="2405.0300000000002"/>
    <n v="1000"/>
  </r>
  <r>
    <n v="2"/>
    <s v="DGPCYN - 031 - 1360 - 2022 "/>
    <n v="9901443271"/>
    <s v="CARLOS HUMBERTO MONTERROSO DE LEÓN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m/>
    <m/>
    <m/>
    <n v="634.90250000000003"/>
    <n v="3625.8474999999999"/>
    <n v="1000"/>
  </r>
  <r>
    <n v="3"/>
    <s v="DGPCYN - 031 - 1361 - 2022 "/>
    <n v="9901442974"/>
    <s v="DAVID CAAL RAX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388.53"/>
    <n v="1570.79"/>
    <n v="2452.61"/>
    <n v="1000"/>
  </r>
  <r>
    <n v="4"/>
    <s v="DGPCYN - 031 - 1362 - 2022 "/>
    <n v="9901442339"/>
    <s v="HÉCTOR ROLANDO AGUSTÍN MARROQUÍ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634.62"/>
    <n v="2241.9539999999997"/>
    <n v="1781.4460000000004"/>
    <n v="1000"/>
  </r>
  <r>
    <n v="5"/>
    <s v="DGPCYN - 031 - 1365 - 2022 "/>
    <n v="9901443548"/>
    <s v="MARIA RENEÉ JEREZ GARCÍA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6"/>
    <s v="DGPCYN - 031 - 1366 - 2022 "/>
    <n v="9901443436"/>
    <s v="MARTA CONSTANCIA LÓPEZ"/>
    <x v="11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7"/>
    <s v="DGPCYN - 031 - 1367 - 2022 "/>
    <n v="9901442977"/>
    <s v="SANTIAGO CHUB ICA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388.53"/>
    <n v="1570.79"/>
    <n v="2452.61"/>
    <n v="1000"/>
  </r>
  <r>
    <n v="1"/>
    <s v="DGPCYN - 031 - 1375 - 2022 "/>
    <n v="9901442369"/>
    <s v="CARLOS HUMBERTO CHÁVEZ (ÚNICO APELLIDO)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964.31"/>
    <n v="2156.5699999999997"/>
    <n v="1866.8300000000004"/>
    <n v="1000"/>
  </r>
  <r>
    <n v="2"/>
    <s v="DGPCYN - 031 - 1376 - 2022 "/>
    <n v="9901442624"/>
    <s v="FIDELINO DÍAZ (ÚNICO APELLIDO)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3"/>
    <s v="DGPCYN - 031 - 1377 - 2022 "/>
    <n v="9901443394"/>
    <s v="HUGO LEONEL ORREGO MENESES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m/>
    <n v="604.95400000000006"/>
    <n v="3403.4459999999999"/>
    <n v="1000"/>
  </r>
  <r>
    <n v="4"/>
    <s v="DGPCYN - 031 - 1378 - 2022 "/>
    <n v="9901443266"/>
    <s v="JOSÉ ABEL CASTELLANOS ESTRAD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5"/>
    <s v="DGPCYN - 031 - 1379 - 2022 "/>
    <n v="9901443396"/>
    <s v="JOSÉ MARÍA MARTÍNEZ NÁJERA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m/>
    <m/>
    <n v="3258.99"/>
    <n v="3853.944"/>
    <n v="154.45600000000013"/>
    <n v="1000"/>
  </r>
  <r>
    <n v="6"/>
    <s v="DGPCYN - 031 - 1380 - 2022 "/>
    <n v="9901442859"/>
    <s v="JUAN MORALE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391.35"/>
    <n v="1998.684"/>
    <n v="2024.7160000000001"/>
    <n v="1000"/>
  </r>
  <r>
    <n v="7"/>
    <s v="DGPCYN - 031 - 1381 - 2022 "/>
    <n v="9901442270"/>
    <s v="JULIO ABRAHÁM LÓPEZ AVIL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8"/>
    <s v="DGPCYN - 031 - 1382 - 2022 "/>
    <n v="9901442359"/>
    <s v="LUIS ALONZO RAMO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734.21"/>
    <n v="1926.47"/>
    <n v="2096.9300000000003"/>
    <n v="1000"/>
  </r>
  <r>
    <n v="9"/>
    <s v="DGPCYN - 031 - 1383 - 2022 "/>
    <n v="9901442319"/>
    <s v="LUÍS CUZ CAAL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764.37"/>
    <n v="1957.83"/>
    <n v="2090.5700000000002"/>
    <n v="1000"/>
  </r>
  <r>
    <n v="10"/>
    <s v="DGPCYN - 031 - 1384 - 2022 "/>
    <n v="9901443920"/>
    <s v="MIGUEL ANGEL TESUCÚN VITZIL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990.7"/>
    <n v="2182.96"/>
    <n v="1840.44"/>
    <n v="1000"/>
  </r>
  <r>
    <n v="11"/>
    <s v="DGPCYN - 031 - 1385 - 2022 "/>
    <n v="9901442328"/>
    <s v="PABLO TÉ CUCUL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n v="930.85"/>
    <n v="1274.26"/>
    <n v="2810.0640000000003"/>
    <n v="1198.3359999999998"/>
    <n v="1000"/>
  </r>
  <r>
    <n v="12"/>
    <s v="DGPCYN - 031 - 1386 - 2022 "/>
    <n v="9901443175"/>
    <s v="PEDRO LOPEZ GODOY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956.52"/>
    <n v="2148.7799999999997"/>
    <n v="1874.6200000000003"/>
    <n v="1000"/>
  </r>
  <r>
    <n v="13"/>
    <s v="DGPCYN - 031 - 1387 - 2022 "/>
    <n v="9901442365"/>
    <s v="PILAR SERAFÍN GONZÁLEZ MENDOZA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n v="10"/>
    <m/>
    <n v="1874.17"/>
    <n v="2066.4300000000003"/>
    <n v="1956.9699999999998"/>
    <n v="1000"/>
  </r>
  <r>
    <n v="14"/>
    <s v="DGPCYN - 031 - 1388 - 2022 "/>
    <n v="9901442938"/>
    <s v="SANTIAGO RAFAEL ACOSTA PANTÍ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049.9100000000001"/>
    <n v="1243.3700000000001"/>
    <n v="2805.0299999999997"/>
    <n v="1000"/>
  </r>
  <r>
    <n v="15"/>
    <s v="DGPCYN - 031 - 1389 - 2022 "/>
    <n v="9901442371"/>
    <s v="VICTOR MANUEL GUZMÁN DUBÓ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340.61"/>
    <n v="1947.944"/>
    <n v="2075.4560000000001"/>
    <n v="1000"/>
  </r>
  <r>
    <n v="16"/>
    <s v="DGPCYN - 031 - 1390 - 2022 "/>
    <n v="9901443123"/>
    <s v="JORGE ALFREDO GÓMEZ PINELO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n v="944.51"/>
    <n v="1549.4639999999999"/>
    <n v="2458.9360000000001"/>
    <n v="1000"/>
  </r>
  <r>
    <n v="17"/>
    <s v="DGPCYN - 031 - 1391 - 2022 "/>
    <n v="9901442354"/>
    <s v="JOSÉ RAMÓN MORENO VÁSQUEZ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n v="1242.4000000000001"/>
    <n v="1433.93"/>
    <n v="2574.4700000000003"/>
    <n v="1000"/>
  </r>
  <r>
    <n v="18"/>
    <s v="DGPCYN - 031 - 1392 - 2022 "/>
    <n v="9901443176"/>
    <s v="MAURO DE JESÚS GARCÍA PORTILL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956.52"/>
    <n v="2138.7799999999997"/>
    <n v="1884.6200000000003"/>
    <n v="1000"/>
  </r>
  <r>
    <n v="19"/>
    <s v="DGPCYN - 031 - 1393 - 2022 "/>
    <n v="9901442361"/>
    <s v="RAUL GARCÍA MAQUÍN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826.39"/>
    <n v="2008.65"/>
    <n v="2014.75"/>
    <n v="1000"/>
  </r>
  <r>
    <n v="20"/>
    <s v="DGPCYN - 031 - 1394 - 2022 "/>
    <n v="9901443397"/>
    <s v="RONY DANILO ALVAREZ LÓPEZ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21"/>
    <s v="DGPCYN - 031 - 1395 - 2022 "/>
    <n v="9901442863"/>
    <s v="SANTOS JULIAN SAGASTUME CANO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m/>
    <n v="604.95400000000006"/>
    <n v="3403.4459999999999"/>
    <n v="1000"/>
  </r>
  <r>
    <n v="22"/>
    <s v="DGPCYN - 031 - 1396 - 2022 "/>
    <n v="9901443399"/>
    <s v="ERWIN AROLDO SAC CORTÉS"/>
    <x v="13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m/>
    <m/>
    <n v="885.95"/>
    <n v="1067.48"/>
    <n v="2940.92"/>
    <n v="1000"/>
  </r>
  <r>
    <n v="23"/>
    <s v="DGPCYN - 031 - 1397 - 2022 "/>
    <n v="9901351637"/>
    <s v="HELEN SUSANA ENRIQUEZ LÓPEZ"/>
    <x v="17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24"/>
    <s v="DGPCYN - 031 - 1398 - 2022 "/>
    <n v="9901443395"/>
    <s v="ABNER ADONIAS SÁNCHEZ LÓPEZ"/>
    <x v="1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1747.65"/>
    <n v="1937.49"/>
    <n v="2035.91"/>
    <n v="1000"/>
  </r>
  <r>
    <n v="25"/>
    <s v="DGPCYN - 031 - 1399 - 2022 "/>
    <n v="9901482120"/>
    <s v="BERTHA ESTHER ALDANA ESPINO DE GONZALEZ"/>
    <x v="17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n v="10"/>
    <m/>
    <m/>
    <n v="204"/>
    <n v="4062.66"/>
    <n v="1000"/>
  </r>
  <r>
    <n v="1"/>
    <s v="DGPCYN - 031 - 743 - 2022 "/>
    <n v="9901563250"/>
    <s v="RUFINO CHÁVEZ HERNÁNDEZ"/>
    <x v="5"/>
    <n v="31"/>
    <n v="78.25"/>
    <n v="2425.75"/>
    <n v="9390"/>
    <n v="4"/>
    <x v="4"/>
    <n v="1760"/>
    <n v="1510"/>
    <n v="250"/>
    <n v="4185.75"/>
    <n v="1285.8333333333333"/>
    <n v="1268.2191780821918"/>
    <n v="65.753424657534239"/>
    <n v="16430"/>
    <n v="19049.805936073059"/>
    <n v="190.1"/>
    <m/>
    <m/>
    <m/>
    <m/>
    <n v="190.1"/>
    <n v="3995.65"/>
    <n v="1000"/>
  </r>
  <r>
    <n v="2"/>
    <s v="DGPCYN - 031 - 744 - 2022 "/>
    <n v="9901563251"/>
    <s v="DERVIN OSWALDO CHÁN CHATÁ"/>
    <x v="5"/>
    <n v="31"/>
    <n v="78.25"/>
    <n v="2425.75"/>
    <n v="9390"/>
    <n v="4"/>
    <x v="4"/>
    <n v="1760"/>
    <n v="1510"/>
    <n v="250"/>
    <n v="4185.75"/>
    <n v="1285.8333333333333"/>
    <n v="1268.2191780821918"/>
    <n v="65.753424657534239"/>
    <n v="16430"/>
    <n v="19049.805936073059"/>
    <n v="190.1"/>
    <m/>
    <m/>
    <m/>
    <m/>
    <n v="190.1"/>
    <n v="3995.65"/>
    <n v="1000"/>
  </r>
  <r>
    <n v="3"/>
    <s v="DGPCYN - 031 - 745 - 2022 "/>
    <n v="9901563253"/>
    <s v="LUIS ARIEL MÁRQUEZ MAZÁ"/>
    <x v="5"/>
    <n v="31"/>
    <n v="78.25"/>
    <n v="2425.75"/>
    <n v="9390"/>
    <n v="4"/>
    <x v="4"/>
    <n v="1760"/>
    <n v="1510"/>
    <n v="250"/>
    <n v="4185.75"/>
    <n v="1285.8333333333333"/>
    <n v="1268.2191780821918"/>
    <n v="65.753424657534239"/>
    <n v="16430"/>
    <n v="19049.805936073059"/>
    <n v="190.1"/>
    <m/>
    <m/>
    <m/>
    <m/>
    <n v="190.1"/>
    <n v="3995.65"/>
    <n v="1000"/>
  </r>
  <r>
    <n v="4"/>
    <s v="DGPCYN - 031 - 746 - 2022 "/>
    <n v="9901469957"/>
    <s v="ALEX ALONSO QUIXCHÁN CHÁN"/>
    <x v="5"/>
    <n v="31"/>
    <n v="78.25"/>
    <n v="2425.75"/>
    <n v="9390"/>
    <n v="4"/>
    <x v="4"/>
    <n v="1760"/>
    <n v="1510"/>
    <n v="250"/>
    <n v="4185.75"/>
    <n v="1285.8333333333333"/>
    <n v="1268.2191780821918"/>
    <n v="65.753424657534239"/>
    <n v="16430"/>
    <n v="19049.805936073059"/>
    <n v="190.1"/>
    <m/>
    <m/>
    <m/>
    <m/>
    <n v="190.1"/>
    <n v="3995.65"/>
    <n v="1000"/>
  </r>
  <r>
    <n v="5"/>
    <s v="DGPCYN - 031 - 747 - 2022 "/>
    <n v="9901563256"/>
    <s v="MARIO ALFONSO PINEDA SIN"/>
    <x v="5"/>
    <n v="31"/>
    <n v="78.25"/>
    <n v="2425.75"/>
    <n v="9390"/>
    <n v="4"/>
    <x v="4"/>
    <n v="1760"/>
    <n v="1510"/>
    <n v="250"/>
    <n v="4185.75"/>
    <n v="1285.8333333333333"/>
    <n v="1268.2191780821918"/>
    <n v="65.753424657534239"/>
    <n v="16430"/>
    <n v="19049.805936073059"/>
    <n v="190.1"/>
    <m/>
    <m/>
    <m/>
    <m/>
    <n v="190.1"/>
    <n v="3995.65"/>
    <n v="1000"/>
  </r>
  <r>
    <n v="6"/>
    <s v="DGPCYN - 031 - 748 - 2022 "/>
    <n v="9901563257"/>
    <s v="HERSON RONALDO LÓPEZ CÓRDOVA"/>
    <x v="18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7"/>
    <s v="DGPCYN - 031 - 749 - 2022 "/>
    <n v="9901563263"/>
    <s v="EVER SAGASTUME LEON"/>
    <x v="18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8"/>
    <s v="DGPCYN - 031 - 750 - 2022 "/>
    <n v="9901553134"/>
    <s v="DANIEL ALEXANDER GONZÁLEZ PÉREZ"/>
    <x v="18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9"/>
    <s v="DGPCYN - 031 - 751 - 2022 "/>
    <n v="9901563265"/>
    <s v="JOSÉ ALBERTO CORDERO BOL"/>
    <x v="18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0"/>
    <s v="DGPCYN - 031 - 752 - 2022 "/>
    <n v="9901563266"/>
    <s v="HAINER OSIELY GALLARDO REYES"/>
    <x v="19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11"/>
    <s v="DGPCYN - 031 - 753 - 2022 "/>
    <n v="9901469567"/>
    <s v="FLORIAN GARCÍA ORTÍZ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2"/>
    <s v="DGPCYN - 031 - 754 - 2022 "/>
    <n v="9901469592"/>
    <s v="HENRY ANDERSON MELÉNDRES GARCÍA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3"/>
    <s v="DGPCYN - 031 - 755 - 2022 "/>
    <n v="9901469300"/>
    <s v="WALTER ESTUARDO MATEO GARCÍA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4"/>
    <s v="DGPCYN - 031 - 756 - 2022 "/>
    <n v="9901469514"/>
    <s v="JOSÉ CHOC RAX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5"/>
    <s v="DGPCYN - 031 - 757 - 2022 "/>
    <n v="9901469485"/>
    <s v="DIEGO ARMANDO HERNÁNDEZ MIRANDA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6"/>
    <s v="DGPCYN - 031 - 758 - 2022 "/>
    <n v="9901563271"/>
    <s v="MELVIN ALFONSO LÓPEZ CASÚN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7"/>
    <s v="DGPCYN - 031 - 759 - 2022 "/>
    <n v="9901469969"/>
    <s v="MILSÓN ADIEL SALAZAR DE LOS SANTOS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8"/>
    <s v="DGPCYN - 031 - 760 - 2022 "/>
    <n v="9901563273"/>
    <s v="WILMER GILFREDO LÓPEZ ALDANA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19"/>
    <s v="DGPCYN - 031 - 761 - 2022 "/>
    <n v="9901469598"/>
    <s v="ISRAEL DELGADO ROSALES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0"/>
    <s v="DGPCYN - 031 - 762 - 2022 "/>
    <n v="9901563626"/>
    <s v="EDGAR JEOVANNY MENDOZA REYES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1"/>
    <s v="DGPCYN - 031 - 763 - 2022 "/>
    <n v="9901469505"/>
    <s v="CRISTIÁN SALOMÓN POMA ZECEÑA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2"/>
    <s v="DGPCYN - 031 - 764 - 2022 "/>
    <n v="9901501070"/>
    <s v="GENNER ABDIEL BÁ FRANCO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3"/>
    <s v="DGPCYN - 031 - 765 - 2022 "/>
    <n v="9901563303"/>
    <s v="ANIBAL ALEXANDER PINELO TUN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4"/>
    <s v="DGPCYN - 031 - 766 - 2022 "/>
    <n v="9901469576"/>
    <s v="ELAM UBITER HERNÁNDEZ CIFUENTES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5"/>
    <s v="DGPCYN - 031 - 768 - 2022 "/>
    <n v="9901469312"/>
    <s v="WILSON OTONIEL ALVARADO ANDRÉS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6"/>
    <s v="DGPCYN - 031 - 769 - 2022 "/>
    <n v="9901563304"/>
    <s v="VICTOR MANUEL SAQUIL (ÚNICO APELLIDO)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7"/>
    <s v="DGPCYN - 031 - 770 - 2022 "/>
    <n v="9901563305"/>
    <s v="RONAL GUSTAVO PADILLA GARCÍA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8"/>
    <s v="DGPCYN - 031 - 771 - 2022 "/>
    <n v="9901469971"/>
    <s v="ISAIAS PÉREZ PORTILLO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9"/>
    <s v="DGPCYN - 031 - 772 - 2022 "/>
    <n v="9901563274"/>
    <s v="WILIAN RENÉ PACHECO MORALES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30"/>
    <s v="DGPCYN - 031 - 774 - 2022 "/>
    <n v="9901563276"/>
    <s v="JUAN CARLOS MORALES HERNÁNDEZ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31"/>
    <s v="DGPCYN - 031 - 776 - 2022 "/>
    <n v="9901563278"/>
    <s v="OSCAR ARNOLDO AX MAQUÍN"/>
    <x v="20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32"/>
    <s v="DGPCYN - 031 - 777 - 2022 "/>
    <n v="9901563306"/>
    <s v="MARTÍN EDUARDO CHUB CHOC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33"/>
    <s v="DGPCYN - 031 - 778 - 2022 "/>
    <n v="9901563280"/>
    <s v="DENNIS ALEXANDER COC RAX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34"/>
    <s v="DGPCYN - 031 - 779 - 2022 "/>
    <n v="9901563281"/>
    <s v="VICTOR MANUEL TECU RODRÍGUEZ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35"/>
    <s v="DGPCYN - 031 - 780 - 2022 "/>
    <n v="9901563283"/>
    <s v="MIGUEL ANGEL ICAL COC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36"/>
    <s v="DGPCYN - 031 - 781 - 2022 "/>
    <n v="9901563284"/>
    <s v="ENDY ARIEL CUCA MORALES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37"/>
    <s v="DGPCYN - 031 - 782 - 2022 "/>
    <n v="9901563285"/>
    <s v="ADELMO ALDANA ESPINO 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38"/>
    <s v="DGPCYN - 031 - 783 - 2022 "/>
    <n v="9901563286"/>
    <s v="OSVIN DAVID TOBAR ESCOBAR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39"/>
    <s v="DGPCYN - 031 - 784 - 2022 "/>
    <n v="9901563287"/>
    <s v="ESVIN ARNOLDO COOCH (ÚNICO APELLIDO)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40"/>
    <s v="DGPCYN - 031 - 786 - 2022 "/>
    <n v="9901563290"/>
    <s v="DANIEL HERNÁNDEZ RAMÍREZ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41"/>
    <s v="DGPCYN - 031 - 787 - 2022 "/>
    <n v="9901563291"/>
    <s v="JEYVIN ADALÍ NÁJERA RODRÍGUEZ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42"/>
    <s v="DGPCYN - 031 - 788 - 2022 "/>
    <n v="9901563293"/>
    <s v="CÁRMEN MAYÉN GARCÍA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43"/>
    <s v="DGPCYN - 031 - 789 - 2022 "/>
    <n v="9901563295"/>
    <s v="EDYN JEHOVANI CÓRDOVA BEDOYA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44"/>
    <s v="DGPCYN - 031 - 790 - 2022 "/>
    <n v="9901563307"/>
    <s v="SANTOS AVALOS (ÚNICO APELLIDO)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45"/>
    <s v="DGPCYN - 031 - 791 - 2022 "/>
    <n v="9901563308"/>
    <s v="YONY ISMAEL HERNÁNDEZ COL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46"/>
    <s v="DGPCYN - 031 - 792 - 2022 "/>
    <n v="9901563309"/>
    <s v="ELMER DANILO PÉREZ REYES"/>
    <x v="21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47"/>
    <s v="DGPCYN - 031 - 793 - 2022 "/>
    <n v="9901563310"/>
    <s v="MANUEL ALEXANDER HERNANDEZ ANTÓN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48"/>
    <s v="DGPCYN - 031 - 794 - 2022 "/>
    <n v="9901563311"/>
    <s v="JOSÉ ALFREDO CUC CAAL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49"/>
    <s v="DGPCYN - 031 - 795 - 2022 "/>
    <n v="9901563312"/>
    <s v="CARLOS RADUEL POLANCO ALVARADO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0"/>
    <s v="DGPCYN - 031 - 796 - 2022 "/>
    <n v="9901563313"/>
    <s v="PEDRO MANUEL PORTILLO MORALES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1"/>
    <s v="DGPCYN - 031 - 797 - 2022 "/>
    <n v="9901563314"/>
    <s v="MARVIN EMANUEL MORALES SAMOS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2"/>
    <s v="DGPCYN - 031 - 798 - 2022 "/>
    <n v="9901563315"/>
    <s v="YUDY LEONEL LÓPEZ MORALES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3"/>
    <s v="DGPCYN - 031 - 799 - 2022 "/>
    <n v="9901488894"/>
    <s v="GERMAN CHOC (ÚNICO APELLIDO)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4"/>
    <s v="DGPCYN - 031 - 800 - 2022 "/>
    <n v="9901563316"/>
    <s v="MARVIN GEOVANNY CETINA DURÁN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5"/>
    <s v="DGPCYN - 031 - 801 - 2022 "/>
    <n v="9901563317"/>
    <s v="SAMUEL TUN CAAL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6"/>
    <s v="DGPCYN - 031 - 802 - 2022 "/>
    <n v="9901563332"/>
    <s v="EDY ARNULFO PECHE PINELO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7"/>
    <s v="DGPCYN - 031 - 803 - 2022 "/>
    <n v="9901563333"/>
    <s v="CELEDONIO EFRAÍN RODRÍGUEZ QUETZAL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8"/>
    <s v="DGPCYN - 031 - 804 - 2022 "/>
    <n v="9901563337"/>
    <s v="WALFRE HOMERO CHÍ DUBÓN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9"/>
    <s v="DGPCYN - 031 - 805 - 2022 "/>
    <n v="9901563339"/>
    <s v="NOHE ANIBAL CHACÓN ROMERO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0"/>
    <s v="DGPCYN - 031 - 806 - 2022 "/>
    <n v="9901469906"/>
    <s v="SELVIN OLIVERIO BÁ FRANCO 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1"/>
    <s v="DGPCYN - 031 - 807 - 2022 "/>
    <n v="9901563341"/>
    <s v="MARVIN RAMIRO TOBAR MORATAYA"/>
    <x v="22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62"/>
    <s v="DGPCYN - 031 - 808 - 2022 "/>
    <n v="9901563343"/>
    <s v="MELVIN MAURICIO ALVARADO OBANDO"/>
    <x v="22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63"/>
    <m/>
    <n v="9901563348"/>
    <s v="WILMER MOISÉS TEC ORREGO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4"/>
    <m/>
    <n v="9901563349"/>
    <s v="GUILLERMO MELÉNDEZ CABRERA"/>
    <x v="19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65"/>
    <m/>
    <s v=" 9901575942"/>
    <s v="ERICK JAVIER SUÁREZ ENRIQUEZ"/>
    <x v="5"/>
    <n v="31"/>
    <n v="78.25"/>
    <n v="2425.75"/>
    <n v="9390"/>
    <n v="4"/>
    <x v="4"/>
    <n v="1760"/>
    <n v="1510"/>
    <n v="250"/>
    <n v="4185.75"/>
    <n v="1285.8333333333333"/>
    <n v="1268.2191780821918"/>
    <n v="65.753424657534239"/>
    <n v="16430"/>
    <n v="19049.805936073059"/>
    <n v="190.1"/>
    <m/>
    <m/>
    <m/>
    <m/>
    <n v="190.1"/>
    <n v="3995.65"/>
    <n v="1000"/>
  </r>
  <r>
    <n v="66"/>
    <m/>
    <n v="9901430604"/>
    <s v="JOSSELINE ANDREA MADRID MELÉNDEZ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7"/>
    <m/>
    <n v="9901576038"/>
    <s v="CRISTIAN ESTUARDO MEDRANO LÓPEZ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8"/>
    <m/>
    <n v="9901576027"/>
    <s v="WILMER NOÉ VÁSQUEZ MAYÉN"/>
    <x v="1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926 - 2022 "/>
    <n v="9901442782"/>
    <s v="ABELARDO SANDOVAL GARCÍA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n v="425.2919"/>
    <m/>
    <m/>
    <n v="189"/>
    <n v="801.03189999999995"/>
    <n v="3315.2581"/>
    <n v="1000"/>
  </r>
  <r>
    <n v="2"/>
    <s v="DGPCYN - 031 - 1927 - 2022 "/>
    <n v="9901443760"/>
    <s v="ABELINO GARCIA NUFIO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3"/>
    <s v="DGPCYN - 031 - 1928 - 2022 "/>
    <n v="9901442772"/>
    <s v="ABRAHÁN JIMENEZ DUBÓN"/>
    <x v="12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750.77"/>
    <n v="944.23"/>
    <n v="3104.17"/>
    <n v="1000"/>
  </r>
  <r>
    <n v="4"/>
    <s v="DGPCYN - 031 - 1929 - 2022 "/>
    <n v="9901443734"/>
    <s v="ALBARO ENRIQUE MARTÍNEZ RAMOS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n v="425.2919"/>
    <m/>
    <m/>
    <m/>
    <n v="612.03189999999995"/>
    <n v="3504.2581"/>
    <n v="1000"/>
  </r>
  <r>
    <n v="5"/>
    <s v="DGPCYN - 031 - 1930 - 2022 "/>
    <n v="9901442644"/>
    <s v="ALEX ESTUARDO RIVERA TUT"/>
    <x v="23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796.97"/>
    <n v="982.14"/>
    <n v="3101.6000000000004"/>
    <n v="1000"/>
  </r>
  <r>
    <n v="6"/>
    <s v="DGPCYN - 031 - 1931 - 2022 "/>
    <n v="9901442424"/>
    <s v="ALFREDO ROLANDO ESTRADA RAMÓN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n v="425.2919"/>
    <m/>
    <m/>
    <m/>
    <n v="612.03189999999995"/>
    <n v="3504.2581"/>
    <n v="1000"/>
  </r>
  <r>
    <n v="7"/>
    <s v="DGPCYN - 031 - 1932 - 2022 "/>
    <n v="9901442638"/>
    <s v="ANDRES LÓPEZ PÉR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n v="1230.67"/>
    <n v="1414.13"/>
    <n v="2634.27"/>
    <n v="1000"/>
  </r>
  <r>
    <n v="8"/>
    <s v="DGPCYN - 031 - 1933 - 2022 "/>
    <n v="9901443706"/>
    <s v="ANDRES POP CUCUL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m/>
    <m/>
    <n v="1442.42"/>
    <n v="1629.16"/>
    <n v="2487.13"/>
    <n v="1000"/>
  </r>
  <r>
    <n v="9"/>
    <s v="DGPCYN - 031 - 1934 - 2022 "/>
    <n v="9901442988"/>
    <s v="ANGEL ARTURO ALVARADO TZIN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n v="10"/>
    <m/>
    <m/>
    <n v="196.74"/>
    <n v="3919.55"/>
    <n v="1000"/>
  </r>
  <r>
    <n v="10"/>
    <s v="DGPCYN - 031 - 1935 - 2022 "/>
    <n v="9901442889"/>
    <s v="ANGEL JACOBO MANZANERO ALDANA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11"/>
    <s v="DGPCYN - 031 - 1936 - 2022 "/>
    <n v="9901442773"/>
    <s v="ANSELMO GALEANO XAC CHOC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12"/>
    <s v="DGPCYN - 031 - 1937 - 2022 "/>
    <n v="9901442997"/>
    <s v="ANTONIO RODAS VALENZUELA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n v="10"/>
    <m/>
    <n v="1388.43"/>
    <n v="1585.17"/>
    <n v="2531.12"/>
    <n v="1000"/>
  </r>
  <r>
    <n v="13"/>
    <s v="DGPCYN - 031 - 1938 - 2022 "/>
    <n v="9901442440"/>
    <s v="ANTONIO YAT YAT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m/>
    <m/>
    <n v="1199.52"/>
    <n v="1386.26"/>
    <n v="2730.0299999999997"/>
    <n v="1000"/>
  </r>
  <r>
    <n v="14"/>
    <s v="DGPCYN - 031 - 1939 - 2022 "/>
    <n v="9901442778"/>
    <s v="ARMANDO DE JESÚS LEMUS FERNÁNDEZ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m/>
    <m/>
    <m/>
    <n v="634.90250000000003"/>
    <n v="3625.8474999999999"/>
    <n v="1000"/>
  </r>
  <r>
    <n v="15"/>
    <s v="DGPCYN - 031 - 1940 - 2022 "/>
    <n v="9901442849"/>
    <s v="ARNULFO AGUSTÍN OCHAETA SALINAS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m/>
    <m/>
    <m/>
    <n v="634.90250000000003"/>
    <n v="3625.8474999999999"/>
    <n v="1000"/>
  </r>
  <r>
    <n v="16"/>
    <s v="DGPCYN - 031 - 1941 - 2022 "/>
    <n v="9901443178"/>
    <s v="ARNULFO WILFREDO OCHAETA LÓP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532.35"/>
    <n v="1714.61"/>
    <n v="2308.79"/>
    <n v="1000"/>
  </r>
  <r>
    <n v="17"/>
    <s v="DGPCYN - 031 - 1942 - 2022 "/>
    <n v="9901443710"/>
    <s v="ASISCLO MERCEDES ALVARADO RODRÍGUEZ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n v="1463.59"/>
    <n v="1667.31"/>
    <n v="2593.44"/>
    <n v="1000"/>
  </r>
  <r>
    <n v="18"/>
    <s v="DGPCYN - 031 - 1943 - 2022 "/>
    <n v="9901442652"/>
    <s v="AUGUSTIN GERONIMO (ÚNICO APELLIDO)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m/>
    <m/>
    <m/>
    <n v="606.88139999999999"/>
    <n v="3476.8586000000005"/>
    <n v="1000"/>
  </r>
  <r>
    <n v="19"/>
    <s v="DGPCYN - 031 - 1944 - 2022 "/>
    <n v="9901443761"/>
    <s v="AUNER FIDEL TEO PINEDA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m/>
    <m/>
    <n v="1655.96"/>
    <n v="2273.0983000000001"/>
    <n v="1875.4316999999996"/>
    <n v="1000"/>
  </r>
  <r>
    <n v="20"/>
    <s v="DGPCYN - 031 - 1945 - 2022 "/>
    <n v="9901442672"/>
    <s v="AUNER ISAU TEO RODRÍGU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2012.61"/>
    <n v="2194.87"/>
    <n v="1828.5300000000002"/>
    <n v="1000"/>
  </r>
  <r>
    <n v="21"/>
    <s v="DGPCYN - 031 - 1946 - 2022 "/>
    <n v="9901443703"/>
    <s v="AVINAEL GIRÓN SÁNCHEZ"/>
    <x v="22"/>
    <n v="31"/>
    <n v="75.64"/>
    <n v="2344.84"/>
    <n v="9076.7999999999993"/>
    <n v="4"/>
    <x v="0"/>
    <n v="1760"/>
    <n v="1510"/>
    <n v="250"/>
    <n v="4179.84"/>
    <n v="1284.7333333333333"/>
    <n v="1267.1342465753423"/>
    <n v="65.753424657534239"/>
    <n v="16416.8"/>
    <n v="19034.421004566208"/>
    <n v="189.81"/>
    <n v="432.2824"/>
    <m/>
    <m/>
    <m/>
    <n v="622.0924"/>
    <n v="3557.7476000000001"/>
    <n v="1000"/>
  </r>
  <r>
    <n v="22"/>
    <s v="DGPCYN - 031 - 1947 - 2022 "/>
    <n v="9901442416"/>
    <s v="BARTOLO RAMON LÓPEZ CHAN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m/>
    <m/>
    <m/>
    <n v="606.88139999999999"/>
    <n v="3476.8586000000005"/>
    <n v="1000"/>
  </r>
  <r>
    <n v="23"/>
    <s v="DGPCYN - 031 - 1948 - 2022 "/>
    <n v="9901442989"/>
    <s v="BENJAMÍN GRANADOS XO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m/>
    <m/>
    <n v="1382.43"/>
    <n v="1999.5682999999999"/>
    <n v="2148.9616999999998"/>
    <n v="1000"/>
  </r>
  <r>
    <n v="24"/>
    <s v="DGPCYN - 031 - 1949 - 2022 "/>
    <n v="9901443142"/>
    <s v="BERNARDO ALEJANDRO QUIXCHÁN COHUOJ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812.5"/>
    <n v="1994.76"/>
    <n v="2028.64"/>
    <n v="1000"/>
  </r>
  <r>
    <n v="25"/>
    <s v="DGPCYN - 031 - 1950 - 2022 "/>
    <n v="9901443893"/>
    <s v="CARLOS CHOC (ÚNICO APELLIDO)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n v="1888.58"/>
    <n v="2092.2999999999997"/>
    <n v="2168.4500000000003"/>
    <n v="1000"/>
  </r>
  <r>
    <n v="26"/>
    <s v="DGPCYN - 031 - 1951 - 2022 "/>
    <n v="9901442621"/>
    <s v="CARLOS ENRIQUES HERNÁNDEZ SUCUB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420.93"/>
    <n v="1603.19"/>
    <n v="2420.21"/>
    <n v="1000"/>
  </r>
  <r>
    <n v="27"/>
    <s v="DGPCYN - 031 - 1953 - 2022 "/>
    <n v="9901442853"/>
    <s v="CARLOS MODESTO OBANDO ALVARADO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m/>
    <m/>
    <n v="1484.34"/>
    <n v="2101.4782999999998"/>
    <n v="2047.0517"/>
    <n v="1000"/>
  </r>
  <r>
    <n v="28"/>
    <s v="DGPCYN - 031 - 1954 - 2022 "/>
    <n v="9901442438"/>
    <s v="CÁRMEN ALBERTO LIMA LORENZO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29"/>
    <s v="DGPCYN - 031 - 1955 - 2022 "/>
    <n v="9901442993"/>
    <s v="CECILIO CASTRO PÉREZ"/>
    <x v="9"/>
    <n v="31"/>
    <n v="74.63"/>
    <n v="2313.5299999999997"/>
    <n v="8955.5999999999985"/>
    <n v="4"/>
    <x v="1"/>
    <n v="1760"/>
    <n v="1510"/>
    <n v="250"/>
    <n v="4123.53"/>
    <n v="1266.3"/>
    <n v="1248.9534246575342"/>
    <n v="65.753424657534239"/>
    <n v="16195.599999999999"/>
    <n v="18776.606849315067"/>
    <n v="187.09"/>
    <n v="426.08829999999995"/>
    <m/>
    <m/>
    <n v="1905.26"/>
    <n v="2518.4383000000003"/>
    <n v="1605.0916999999995"/>
    <n v="1000"/>
  </r>
  <r>
    <n v="30"/>
    <s v="DGPCYN - 031 - 1956 - 2022 "/>
    <n v="9901442892"/>
    <s v="CELSO ALBERTO CAZÚN MEJÍA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31"/>
    <s v="DGPCYN - 031 - 1957 - 2022 "/>
    <n v="9901443136"/>
    <s v="CESAR AMILCAR CHAYAX SACAL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n v="425.2919"/>
    <m/>
    <m/>
    <n v="1485.77"/>
    <n v="2097.8018999999999"/>
    <n v="2018.4881"/>
    <n v="1000"/>
  </r>
  <r>
    <n v="32"/>
    <s v="DGPCYN - 031 - 1958 - 2022 "/>
    <n v="9901442421"/>
    <s v="CESAR AUGUSTO ACUÑA (ÚNICO APELLIDO)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n v="425.2919"/>
    <m/>
    <m/>
    <n v="1364.81"/>
    <n v="1976.8418999999999"/>
    <n v="2139.4481000000001"/>
    <n v="1000"/>
  </r>
  <r>
    <n v="33"/>
    <s v="DGPCYN - 031 - 1959 - 2022 "/>
    <n v="9901443132"/>
    <s v="DANILO CHABLÉ QUIXCHÁN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1921.83"/>
    <n v="2107"/>
    <n v="1976.7400000000002"/>
    <n v="1000"/>
  </r>
  <r>
    <n v="34"/>
    <s v="DGPCYN - 031 - 1961 - 2022 "/>
    <n v="9901442422"/>
    <s v="DAVID ESTUARDO OCHAETA SIN"/>
    <x v="2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m/>
    <m/>
    <m/>
    <n v="606.88139999999999"/>
    <n v="3476.8586000000005"/>
    <n v="1000"/>
  </r>
  <r>
    <n v="35"/>
    <s v="DGPCYN - 031 - 1962 - 2022 "/>
    <n v="9901451051"/>
    <s v="DAYRIN ESTEFANY ORDOÑEZ CASTAÑEDA 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36"/>
    <s v="DGPCYN - 031 - 1963 - 2022 "/>
    <n v="9901442784"/>
    <s v="DOMINGO DUBON REYES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n v="3691.06"/>
    <n v="3874.52"/>
    <n v="173.88000000000011"/>
    <n v="1000"/>
  </r>
  <r>
    <n v="37"/>
    <s v="DGPCYN - 031 - 1964 - 2022 "/>
    <n v="9901442425"/>
    <s v="EDELMIRO REGINALDO COHUOJ GÁLVEZ"/>
    <x v="25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m/>
    <m/>
    <n v="2005.64"/>
    <n v="2192.38"/>
    <n v="1923.9099999999999"/>
    <n v="1000"/>
  </r>
  <r>
    <n v="38"/>
    <s v="DGPCYN - 031 - 1965 - 2022 "/>
    <n v="9901442879"/>
    <s v="EDGAR AUGUSTO RAMOS (ÚNICO APELLIDO)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39"/>
    <s v="DGPCYN - 031 - 1966 - 2022 "/>
    <n v="9901442415"/>
    <s v="EDUARDO PABLO CALO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m/>
    <m/>
    <m/>
    <n v="617.13829999999996"/>
    <n v="3531.3916999999997"/>
    <n v="1000"/>
  </r>
  <r>
    <n v="40"/>
    <s v="DGPCYN - 031 - 1967 - 2022 "/>
    <n v="9901442659"/>
    <s v="ELADIO URÍZAR ARÉVALO 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41"/>
    <s v="DGPCYN - 031 - 1968 - 2022 "/>
    <n v="9901442674"/>
    <s v="ELFEDO ELIÚ ABZÚN ASENCI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2005.64"/>
    <n v="2187.9"/>
    <n v="1835.5"/>
    <n v="1000"/>
  </r>
  <r>
    <n v="42"/>
    <s v="DGPCYN - 031 - 1969 - 2022 "/>
    <n v="9901442850"/>
    <s v="ELIO ENEHI SORTO DIAZ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1850.64"/>
    <n v="2035.8100000000002"/>
    <n v="2047.93"/>
    <n v="1000"/>
  </r>
  <r>
    <n v="43"/>
    <s v="DGPCYN - 031 - 1970 - 2022 "/>
    <n v="9901442637"/>
    <s v="EMILIANO RAMIREZ SÚCHITE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m/>
    <n v="185.17"/>
    <n v="3898.57"/>
    <n v="1000"/>
  </r>
  <r>
    <n v="44"/>
    <s v="DGPCYN - 031 - 1971 - 2022 "/>
    <n v="9901442441"/>
    <s v="ERASMO ALBERTO MARTINEZ GÓME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n v="1527.84"/>
    <n v="1711.3"/>
    <n v="2337.1000000000004"/>
    <n v="1000"/>
  </r>
  <r>
    <n v="45"/>
    <s v="DGPCYN - 031 - 1972 - 2022 "/>
    <n v="9901442647"/>
    <s v="ERLOS BINICIO SALINAS LÓP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46"/>
    <s v="DGPCYN - 031 - 1973 - 2022 "/>
    <n v="9901442812"/>
    <s v="ERNESTO RECINOS PÉREZ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m/>
    <m/>
    <m/>
    <n v="188.3"/>
    <n v="3960.2299999999996"/>
    <n v="1000"/>
  </r>
  <r>
    <n v="47"/>
    <s v="DGPCYN - 031 - 1974 - 2022 "/>
    <n v="9901442655"/>
    <s v="ERWIN BELTRÁN GONZÁLEZ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m/>
    <m/>
    <m/>
    <n v="606.88139999999999"/>
    <n v="3476.8586000000005"/>
    <n v="1000"/>
  </r>
  <r>
    <n v="48"/>
    <s v="DGPCYN - 031 - 1975 - 2022 "/>
    <n v="9901443137"/>
    <s v="ESTUARDO ERLÍNDES TESUCÚN TZUL"/>
    <x v="25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n v="10"/>
    <m/>
    <n v="2016.32"/>
    <n v="2213.06"/>
    <n v="1903.23"/>
    <n v="1000"/>
  </r>
  <r>
    <n v="49"/>
    <s v="DGPCYN - 031 - 1976 - 2022 "/>
    <n v="9901442777"/>
    <s v="FELIPE PÉREZ PELÁEZ 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m/>
    <m/>
    <m/>
    <n v="186.74"/>
    <n v="3929.55"/>
    <n v="1000"/>
  </r>
  <r>
    <n v="50"/>
    <s v="DGPCYN - 031 - 1977 - 2022 "/>
    <n v="9901442640"/>
    <s v="FERMIN LÓPEZ UMUL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n v="758.25"/>
    <n v="941.71"/>
    <n v="3106.69"/>
    <n v="1000"/>
  </r>
  <r>
    <n v="51"/>
    <s v="DGPCYN - 031 - 1978 - 2022 "/>
    <n v="9901443858"/>
    <s v="FERNANDO LUTIN HERRARTE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m/>
    <n v="604.95400000000006"/>
    <n v="3403.4459999999999"/>
    <n v="1000"/>
  </r>
  <r>
    <n v="52"/>
    <s v="DGPCYN - 031 - 1979 - 2022 "/>
    <n v="9901442639"/>
    <s v="FIDENCIO RAMÍREZ SEGURA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698.68"/>
    <n v="1893.8500000000001"/>
    <n v="2189.8900000000003"/>
    <n v="1000"/>
  </r>
  <r>
    <n v="53"/>
    <s v="DGPCYN - 031 - 1980 - 2022 "/>
    <n v="9901442858"/>
    <s v="FLABIO BELTRÁN HERNÁNDEZ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54"/>
    <s v="DGPCYN - 031 - 1981 - 2022 "/>
    <n v="9901442854"/>
    <s v="FLORENCIO ANASTACIO ALVARO ALVARADO RODRÍGUEZ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m/>
    <m/>
    <n v="542.77"/>
    <n v="1159.9082999999998"/>
    <n v="2988.6216999999997"/>
    <n v="1000"/>
  </r>
  <r>
    <n v="55"/>
    <s v="DGPCYN - 031 - 1982 - 2022 "/>
    <n v="9901442809"/>
    <s v="FLORENCIO MELGAR GONZÁLEZ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m/>
    <m/>
    <m/>
    <n v="188.3"/>
    <n v="3960.2299999999996"/>
    <n v="1000"/>
  </r>
  <r>
    <n v="56"/>
    <s v="DGPCYN - 031 - 1983 - 2022 "/>
    <n v="9901442848"/>
    <s v="FREDDY IZIDRO JIMENEZ AGUIRRE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1713.32"/>
    <n v="1898.49"/>
    <n v="2185.25"/>
    <n v="1000"/>
  </r>
  <r>
    <n v="57"/>
    <s v="DGPCYN - 031 - 1984 - 2022 "/>
    <n v="990086673"/>
    <s v="FREDY ANTONIO RAMÍREZ BALDIZÓN"/>
    <x v="26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e v="#REF!"/>
    <m/>
    <m/>
    <m/>
    <e v="#REF!"/>
    <e v="#REF!"/>
    <n v="1000"/>
  </r>
  <r>
    <n v="58"/>
    <s v="DGPCYN - 031 - 1985 - 2022 "/>
    <n v="9901442661"/>
    <s v="FREDY ANTONIO ZACARÍAS PÉRE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59"/>
    <s v="DGPCYN - 031 - 1986 - 2022 "/>
    <n v="9901442419"/>
    <s v="FREDY ISMAEL FUENTES REYES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865.38"/>
    <n v="2060.5500000000002"/>
    <n v="2023.19"/>
    <n v="1000"/>
  </r>
  <r>
    <n v="60"/>
    <s v="DGPCYN - 031 - 1987 - 2022 "/>
    <n v="9901442433"/>
    <s v="HAROLDO VENERANDO TESUCÚN VITZIL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m/>
    <m/>
    <m/>
    <n v="193.72"/>
    <n v="4067.03"/>
    <n v="1000"/>
  </r>
  <r>
    <n v="61"/>
    <s v="DGPCYN - 031 - 1988 - 2022 "/>
    <n v="9901443727"/>
    <s v="HECTOR ANTONIO NÁJERA ALONZO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2"/>
    <s v="DGPCYN - 031 - 1989 - 2022 "/>
    <n v="9901443774"/>
    <s v="HECTOR GABRIEL HURTARTE GÓMEZ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63"/>
    <s v="DGPCYN - 031 - 1990 - 2022 "/>
    <n v="9901443915"/>
    <s v="HELIO ESTALÍ COHUOJ ZACAL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n v="2005.64"/>
    <n v="2209.36"/>
    <n v="2051.39"/>
    <n v="1000"/>
  </r>
  <r>
    <n v="64"/>
    <s v="DGPCYN - 031 - 1991 - 2022 "/>
    <n v="9901442774"/>
    <s v="HERMELINDO JUÁREZ COJÓN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65"/>
    <s v="DGPCYN - 031 - 1992 - 2022 "/>
    <n v="9901442779"/>
    <s v="HIGINIO PELAES DE LEÓN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66"/>
    <s v="DGPCYN - 031 - 1993 - 2022 "/>
    <n v="9901443732"/>
    <s v="HORACIO PALACIOS DÍAZ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n v="10"/>
    <m/>
    <m/>
    <n v="644.90250000000003"/>
    <n v="3615.8474999999999"/>
    <n v="1000"/>
  </r>
  <r>
    <n v="67"/>
    <s v="DGPCYN - 031 - 1994 - 2022 "/>
    <n v="9901442891"/>
    <s v="HUBER RUDEL LÓPEZ MARTÍNEZ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n v="428.83829999999995"/>
    <m/>
    <m/>
    <n v="1453.77"/>
    <n v="2070.9083000000001"/>
    <n v="2077.6216999999997"/>
    <n v="1000"/>
  </r>
  <r>
    <n v="68"/>
    <s v="DGPCYN - 031 - 1995 - 2022 "/>
    <n v="9901443709"/>
    <s v="HUGO ISMAEL CORZO SAQUIJ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m/>
    <m/>
    <m/>
    <n v="606.88139999999999"/>
    <n v="3476.8586000000005"/>
    <n v="1000"/>
  </r>
  <r>
    <n v="69"/>
    <s v="DGPCYN - 031 - 1996 - 2022 "/>
    <n v="9901442643"/>
    <s v="ISAÍAS GARCÍA AGUILAR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70"/>
    <s v="DGPCYN - 031 - 1997 - 2022 "/>
    <n v="9901442775"/>
    <s v="ISAIAS GARCIA DIA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71"/>
    <s v="DGPCYN - 031 - 1998 - 2022 "/>
    <n v="9901443721"/>
    <s v="ISIDRO ESQUIVEL Y ESQUIVEL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72"/>
    <s v="DGPCYN - 031 - 1999 - 2022 "/>
    <n v="9901442445"/>
    <s v="ISMAEL SANABRIA (ÚNICO APELLIDO)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997.12"/>
    <n v="2192.29"/>
    <n v="1891.4500000000003"/>
    <n v="1000"/>
  </r>
  <r>
    <n v="73"/>
    <s v="DGPCYN - 031 - 2000 - 2022 "/>
    <n v="9901442417"/>
    <s v="ISRAEL ROQUE CASTILLO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74"/>
    <s v="DGPCYN - 031 - 2001 - 2022 "/>
    <n v="9901442666"/>
    <s v="JAIME SANTIAGO CARÍAS FLORES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576.89"/>
    <n v="1759.15"/>
    <n v="2264.25"/>
    <n v="1000"/>
  </r>
  <r>
    <n v="75"/>
    <s v="DGPCYN - 031 - 2002 - 2022 "/>
    <n v="9901443232"/>
    <s v="JAIRO ARNOLDO QUIXCHÁN GARRIDO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n v="1174.99"/>
    <n v="1779.944"/>
    <n v="2228.4560000000001"/>
    <n v="1000"/>
  </r>
  <r>
    <n v="76"/>
    <s v="DGPCYN - 031 - 2003 - 2022 "/>
    <n v="9901442852"/>
    <s v="JOEL PÉREZ PÉR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n v="943.5"/>
    <n v="1871.88"/>
    <n v="2997.6400000000003"/>
    <n v="1025.7599999999998"/>
    <n v="1000"/>
  </r>
  <r>
    <n v="77"/>
    <s v="DGPCYN - 031 - 2004 - 2022 "/>
    <n v="9901442856"/>
    <s v="JORGE ALBERTO ALDANA QUIXCHÁN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m/>
    <m/>
    <n v="1119.78"/>
    <n v="1754.6825000000001"/>
    <n v="2506.0675000000001"/>
    <n v="1000"/>
  </r>
  <r>
    <n v="78"/>
    <s v="DGPCYN - 031 - 2005 - 2022 "/>
    <n v="9901442407"/>
    <s v="JORGE ALFREDO CANTÉ MEJIA"/>
    <x v="12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79"/>
    <s v="DGPCYN - 031 - 2007 - 2022 "/>
    <n v="9901442670"/>
    <s v="JORGE HUMBERTO ORANTES DEL CID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80"/>
    <s v="DGPCYN - 031 - 2008 - 2022 "/>
    <n v="9901442880"/>
    <s v="JORGE ORLANDO GARCÍA LORENZO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81"/>
    <s v="DGPCYN - 031 - 2009 - 2022 "/>
    <n v="9901442783"/>
    <s v="JORGE ORLANDO REYES RUÍ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82"/>
    <s v="DGPCYN - 031 - 2010 - 2022 "/>
    <n v="9901442435"/>
    <s v="JORGE PINEDA JULIÁN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802.78"/>
    <n v="1985.04"/>
    <n v="2038.3600000000001"/>
    <n v="1000"/>
  </r>
  <r>
    <n v="83"/>
    <s v="DGPCYN - 031 - 2011 - 2022 "/>
    <n v="9901442882"/>
    <s v="JOSÉ ALFREDO GONZÁLEZ VÁSQU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84"/>
    <s v="DGPCYN - 031 - 2012 - 2022 "/>
    <n v="9901443138"/>
    <s v="JOSÉ ARMANDO SUNTECÚN ZACAL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m/>
    <m/>
    <n v="1886.06"/>
    <n v="2074.36"/>
    <n v="2074.1699999999996"/>
    <n v="1000"/>
  </r>
  <r>
    <n v="85"/>
    <s v="DGPCYN - 031 - 2013 - 2022 "/>
    <n v="9901442810"/>
    <s v="JOSÉ CAAL COC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m/>
    <n v="185.17"/>
    <n v="3898.57"/>
    <n v="1000"/>
  </r>
  <r>
    <n v="86"/>
    <s v="DGPCYN - 031 - 2014 - 2022 "/>
    <n v="9901442816"/>
    <s v="JOSÉ ELEODORO OBANDO ALVARADO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87"/>
    <s v="DGPCYN - 031 - 2015 - 2022 "/>
    <n v="9901442386"/>
    <s v="JOSE GUILLERMO BORJAS (ÚNICO APELLIDO)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n v="10"/>
    <m/>
    <n v="801.11"/>
    <n v="1446.0125"/>
    <n v="2814.7375000000002"/>
    <n v="1000"/>
  </r>
  <r>
    <n v="88"/>
    <s v="DGPCYN - 031 - 2016 - 2022 "/>
    <n v="9901443894"/>
    <s v="JOSÉ LUIS DIAZ PAREDE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682.8"/>
    <n v="1865.06"/>
    <n v="2158.34"/>
    <n v="1000"/>
  </r>
  <r>
    <n v="89"/>
    <s v="DGPCYN - 031 - 2017 - 2022 "/>
    <n v="9901442420"/>
    <s v="JOSÉ MATÍAS CHÁN PA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90"/>
    <s v="DGPCYN - 031 - 2018 - 2022 "/>
    <n v="9901442673"/>
    <s v="JOSÉ NESTOR ROQUE RAMOS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698.68"/>
    <n v="1880.94"/>
    <n v="2142.46"/>
    <n v="1000"/>
  </r>
  <r>
    <n v="91"/>
    <s v="DGPCYN - 031 - 2019 - 2022 "/>
    <n v="9901442411"/>
    <s v="JOSÉ RODRIGO CENTENO MANZANERO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n v="10"/>
    <m/>
    <m/>
    <n v="196.74"/>
    <n v="3919.55"/>
    <n v="1000"/>
  </r>
  <r>
    <n v="92"/>
    <s v="DGPCYN - 031 - 2020 - 2022 "/>
    <n v="9901442636"/>
    <s v="JOSÉ SANTOS SOZA MUÑOZ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m/>
    <m/>
    <n v="1442.09"/>
    <n v="1630.3899999999999"/>
    <n v="2518.14"/>
    <n v="1000"/>
  </r>
  <r>
    <n v="93"/>
    <s v="DGPCYN - 031 - 2021 - 2022 "/>
    <n v="9901443731"/>
    <s v="JOSÉ VICTOR RAMÍREZ DÍA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n v="1630.34"/>
    <n v="1813.8"/>
    <n v="2234.6000000000004"/>
    <n v="1000"/>
  </r>
  <r>
    <n v="94"/>
    <s v="DGPCYN - 031 - 2022 - 2022 "/>
    <n v="9901443100"/>
    <s v="JUAN ANTONIO DAMIAN MENDEZ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905.26"/>
    <n v="2087.52"/>
    <n v="1935.88"/>
    <n v="1000"/>
  </r>
  <r>
    <n v="95"/>
    <s v="DGPCYN - 031 - 2024 - 2022 "/>
    <n v="9901442203"/>
    <s v="JUAN CÚ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m/>
    <m/>
    <m/>
    <n v="186.74"/>
    <n v="3929.55"/>
    <n v="1000"/>
  </r>
  <r>
    <n v="96"/>
    <s v="DGPCYN - 031 - 2025 - 2022 "/>
    <n v="9901442442"/>
    <s v="JUAN JUÁREZ ROMER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1698.68"/>
    <n v="2296.0140000000001"/>
    <n v="1727.386"/>
    <n v="1000"/>
  </r>
  <r>
    <n v="97"/>
    <s v="DGPCYN - 031 - 2026 - 2022 "/>
    <n v="9901442635"/>
    <s v="JULIO ROBERTO GÓMEZ DIAZ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n v="425.2919"/>
    <m/>
    <m/>
    <n v="1682.8"/>
    <n v="2294.8319000000001"/>
    <n v="1821.4580999999998"/>
    <n v="1000"/>
  </r>
  <r>
    <n v="98"/>
    <s v="DGPCYN - 031 - 2027 - 2022 "/>
    <n v="9901442815"/>
    <s v="LAZARO CESILIO RODRÍGUEZ TZIN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2005.64"/>
    <n v="2190.81"/>
    <n v="1892.9300000000003"/>
    <n v="1000"/>
  </r>
  <r>
    <n v="99"/>
    <s v="DGPCYN - 031 - 2028 - 2022 "/>
    <n v="9901442648"/>
    <s v="LUIS ALONZO FLORES MENJIVAR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100"/>
    <s v="DGPCYN - 031 - 2029 - 2022 "/>
    <n v="9901442651"/>
    <s v="LUIS ANTEMIO SOZA MUÑOZ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m/>
    <n v="185.17"/>
    <n v="3898.57"/>
    <n v="1000"/>
  </r>
  <r>
    <n v="101"/>
    <s v="DGPCYN - 031 - 2030 - 2022 "/>
    <n v="9901443729"/>
    <s v="LUIS ENRIQUE SUNTECÚN ZACAL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448.97"/>
    <n v="642.43000000000006"/>
    <n v="3405.9700000000003"/>
    <n v="1000"/>
  </r>
  <r>
    <n v="102"/>
    <s v="DGPCYN - 031 - 2031 - 2022 "/>
    <n v="9901443139"/>
    <s v="LUIS FERNANDO LÓPEZ GUZMÁN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n v="1268.0899999999999"/>
    <n v="1471.81"/>
    <n v="2788.94"/>
    <n v="1000"/>
  </r>
  <r>
    <n v="103"/>
    <s v="DGPCYN - 031 - 2032 - 2022 "/>
    <n v="9901443129"/>
    <s v="LUIS NEXTALI COHUOJ CHAYAX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n v="10"/>
    <m/>
    <n v="1959.95"/>
    <n v="2156.69"/>
    <n v="1959.6"/>
    <n v="1000"/>
  </r>
  <r>
    <n v="104"/>
    <s v="DGPCYN - 031 - 2033 - 2022 "/>
    <n v="9901442430"/>
    <s v="LUIS ROBERTO CHÍ LAINEZ"/>
    <x v="25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n v="425.2919"/>
    <n v="10"/>
    <m/>
    <m/>
    <n v="622.03189999999995"/>
    <n v="3494.2581"/>
    <n v="1000"/>
  </r>
  <r>
    <n v="105"/>
    <s v="DGPCYN - 031 - 2034 - 2022 "/>
    <n v="9901443916"/>
    <s v="LUPERCIO FRANCISCO QUIXCHÁN GÉ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883.27"/>
    <n v="1480.604"/>
    <n v="2542.7960000000003"/>
    <n v="1000"/>
  </r>
  <r>
    <n v="106"/>
    <s v="DGPCYN - 031 - 2035 - 2022 "/>
    <n v="9901442650"/>
    <s v="MARCO ANTONIO ESQUIVEL ESPINO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m/>
    <m/>
    <m/>
    <n v="634.90250000000003"/>
    <n v="3625.8474999999999"/>
    <n v="1000"/>
  </r>
  <r>
    <n v="107"/>
    <s v="DGPCYN - 031 - 2036 - 2022 "/>
    <n v="9901442987"/>
    <s v="MARCO TULIO MÉNDEZ VELÁSQUEZ"/>
    <x v="12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108"/>
    <s v="DGPCYN - 031 - 2037 - 2022 "/>
    <n v="9901442996"/>
    <s v="MARIANO ANTONIO CATALÁN (ÚNICO APELLIDO)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09"/>
    <s v="DGPCYN - 031 - 2039 - 2022 "/>
    <n v="9901442431"/>
    <s v="MARIO RENÉ CACHE SALAZAR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1997.12"/>
    <n v="2182.29"/>
    <n v="1901.4500000000003"/>
    <n v="1000"/>
  </r>
  <r>
    <n v="110"/>
    <s v="DGPCYN - 031 - 2040 - 2022 "/>
    <n v="9901443881"/>
    <s v="MARVIN ALVARENGA PORTILLO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2005.64"/>
    <n v="2602.9740000000002"/>
    <n v="1420.4259999999999"/>
    <n v="1000"/>
  </r>
  <r>
    <n v="111"/>
    <s v="DGPCYN - 031 - 2041 - 2022 "/>
    <n v="9901442675"/>
    <s v="MARVIN OTONIEL MEDINA HERNAND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962.94"/>
    <n v="2145.1999999999998"/>
    <n v="1878.2000000000003"/>
    <n v="1000"/>
  </r>
  <r>
    <n v="112"/>
    <s v="DGPCYN - 031 - 2042 - 2022 "/>
    <n v="9901442401"/>
    <s v="MELVIN ENRIQUE LÓPEZ MORALES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463.78"/>
    <n v="1657.24"/>
    <n v="2391.16"/>
    <n v="1000"/>
  </r>
  <r>
    <n v="113"/>
    <s v="DGPCYN - 031 - 2043 - 2022 "/>
    <n v="9901442620"/>
    <s v="MIGUEL ANGEL DE JESÚS VALENTÍN ALVARADO"/>
    <x v="27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114"/>
    <s v="DGPCYN - 031 - 2044 - 2022 "/>
    <n v="9901442642"/>
    <s v="MIGUEL ANGEL ORANTES GONZÁLEZ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115"/>
    <s v="DGPCYN - 031 - 2045 - 2022 "/>
    <n v="9901443134"/>
    <s v="MIGUEL ARTURO MEX CHAYAX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m/>
    <m/>
    <m/>
    <n v="1963.92"/>
    <n v="2152.2200000000003"/>
    <n v="1996.3099999999995"/>
    <n v="1000"/>
  </r>
  <r>
    <n v="116"/>
    <s v="DGPCYN - 031 - 2046 - 2022 "/>
    <n v="9901442423"/>
    <s v="MIGUEL ESTUARDO GÓMEZ PINELO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n v="448.97"/>
    <n v="1050.2540000000001"/>
    <n v="2998.1459999999997"/>
    <n v="1000"/>
  </r>
  <r>
    <n v="117"/>
    <s v="DGPCYN - 031 - 2047 - 2022 "/>
    <n v="9901442893"/>
    <s v="MIZAEL SALAZAR MONTESFLORES"/>
    <x v="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m/>
    <n v="185.17"/>
    <n v="3898.57"/>
    <n v="1000"/>
  </r>
  <r>
    <n v="118"/>
    <s v="DGPCYN - 031 - 2048 - 2022 "/>
    <n v="9901442656"/>
    <s v="NERY LEONEL MARROQUÍN TOBAR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119"/>
    <s v="DGPCYN - 031 - 2049 - 2022 "/>
    <n v="9901442813"/>
    <s v="NOÉ ISAIAS ZARAX OBANDO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m/>
    <m/>
    <m/>
    <n v="193.72"/>
    <n v="4067.03"/>
    <n v="1000"/>
  </r>
  <r>
    <n v="120"/>
    <s v="DGPCYN - 031 - 2050 - 2022 "/>
    <n v="9901442888"/>
    <s v="NOEL REYES QUIXCHÁN GÉ"/>
    <x v="25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n v="10"/>
    <m/>
    <n v="1243.28"/>
    <n v="1440.02"/>
    <n v="2676.27"/>
    <n v="1000"/>
  </r>
  <r>
    <n v="121"/>
    <s v="DGPCYN - 031 - 2051 - 2022 "/>
    <n v="9901443480"/>
    <s v="OLGA LIDIA LOPEZ RAMOS"/>
    <x v="11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22"/>
    <s v="DGPCYN - 031 - 2052 - 2022 "/>
    <n v="9901442569"/>
    <s v="OSCAR ARNOLDO AGUILAR JUÁREZ"/>
    <x v="13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662.23"/>
    <n v="1844.49"/>
    <n v="2178.91"/>
    <n v="1000"/>
  </r>
  <r>
    <n v="123"/>
    <s v="DGPCYN - 031 - 2053 - 2022 "/>
    <n v="9901442391"/>
    <s v="OSCAR ORLANDO QUIXCHÁN CHATÁ"/>
    <x v="5"/>
    <n v="31"/>
    <n v="78.25"/>
    <n v="2425.75"/>
    <n v="9390"/>
    <n v="4"/>
    <x v="1"/>
    <n v="1760"/>
    <n v="1510"/>
    <n v="250"/>
    <n v="4235.75"/>
    <n v="1302.5"/>
    <n v="1284.6575342465753"/>
    <n v="65.753424657534239"/>
    <n v="16630"/>
    <n v="19282.910958904111"/>
    <n v="192.51"/>
    <m/>
    <m/>
    <m/>
    <n v="1847.75"/>
    <n v="2040.26"/>
    <n v="2195.4899999999998"/>
    <n v="1000"/>
  </r>
  <r>
    <n v="124"/>
    <s v="DGPCYN - 031 - 2054 - 2022 "/>
    <n v="9901443070"/>
    <s v="PAULO ANDRES NAJERA AGUSTÍN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1980.02"/>
    <n v="2165.19"/>
    <n v="1918.5500000000002"/>
    <n v="1000"/>
  </r>
  <r>
    <n v="125"/>
    <s v="DGPCYN - 031 - 2055 - 2022 "/>
    <n v="9901442878"/>
    <s v="PRUDENCIO ESPINO TOBAR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561.97"/>
    <n v="2173.2539999999999"/>
    <n v="1875.1460000000002"/>
    <n v="1000"/>
  </r>
  <r>
    <n v="126"/>
    <s v="DGPCYN - 031 - 2056 - 2022 "/>
    <n v="9901442388"/>
    <s v="RAMÓN VICTORIANO CANTÉ COHUOJ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m/>
    <n v="964.38"/>
    <n v="2977.65"/>
    <n v="4135.75"/>
    <n v="125"/>
    <n v="1000"/>
  </r>
  <r>
    <n v="127"/>
    <s v="DGPCYN - 031 - 2057 - 2022 "/>
    <n v="9901442580"/>
    <s v="RENÉ LUCERO DONIS"/>
    <x v="24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m/>
    <n v="185.17"/>
    <n v="3898.57"/>
    <n v="1000"/>
  </r>
  <r>
    <n v="128"/>
    <s v="DGPCYN - 031 - 2058 - 2022 "/>
    <n v="9901442991"/>
    <s v="REY DAVID GIRÓN GODOY"/>
    <x v="12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n v="741.64"/>
    <n v="1342.924"/>
    <n v="2705.4760000000001"/>
    <n v="1000"/>
  </r>
  <r>
    <n v="129"/>
    <s v="DGPCYN - 031 - 2059 - 2022 "/>
    <n v="9901443133"/>
    <s v="RICARDO ICAL POP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m/>
    <m/>
    <n v="1462.84"/>
    <n v="1649.58"/>
    <n v="2466.71"/>
    <n v="1000"/>
  </r>
  <r>
    <n v="130"/>
    <s v="DGPCYN - 031 - 2060 - 2022 "/>
    <n v="9901442439"/>
    <s v="RIGOBERTO CHOC BÓ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m/>
    <m/>
    <n v="1900.11"/>
    <n v="2535.0124999999998"/>
    <n v="1725.7375000000002"/>
    <n v="1000"/>
  </r>
  <r>
    <n v="131"/>
    <s v="DGPCYN - 031 - 2061 - 2022 "/>
    <n v="9901442568"/>
    <s v="RIGOBERTO PAN YAT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n v="1530.69"/>
    <n v="2131.9740000000002"/>
    <n v="1916.4259999999999"/>
    <n v="1000"/>
  </r>
  <r>
    <n v="132"/>
    <s v="DGPCYN - 031 - 2062 - 2022 "/>
    <n v="9901442654"/>
    <s v="ROBERTO OSORIO JIMÉNEZ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m/>
    <m/>
    <m/>
    <n v="1354.71"/>
    <n v="1541.45"/>
    <n v="2574.84"/>
    <n v="1000"/>
  </r>
  <r>
    <n v="133"/>
    <s v="DGPCYN - 031 - 2063 - 2022 "/>
    <n v="9901442436"/>
    <s v="RODIO ELIU SUCHITE SOLIS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134"/>
    <s v="DGPCYN - 031 - 2064 - 2022 "/>
    <n v="9901443762"/>
    <s v="RONALDO MARROQUÍN TOBAR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m/>
    <m/>
    <m/>
    <n v="193.72"/>
    <n v="4067.03"/>
    <n v="1000"/>
  </r>
  <r>
    <n v="135"/>
    <s v="DGPCYN - 031 - 2065 - 2022 "/>
    <n v="9901442412"/>
    <s v="RONY ALBERTO GUERRA JUÁREZ"/>
    <x v="12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n v="1883.17"/>
    <n v="2066.63"/>
    <n v="1981.77"/>
    <n v="1000"/>
  </r>
  <r>
    <n v="136"/>
    <s v="DGPCYN - 031 - 2066 - 2022 "/>
    <n v="9901442785"/>
    <s v="RUBÉN OXLAJ COC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919.41"/>
    <n v="2112.87"/>
    <n v="1935.5300000000002"/>
    <n v="1000"/>
  </r>
  <r>
    <n v="137"/>
    <s v="DGPCYN - 031 - 2067 - 2022 "/>
    <n v="9901442658"/>
    <s v="RUDI VITELIO ARÍAS OSORIO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m/>
    <m/>
    <m/>
    <n v="193.72"/>
    <n v="4067.03"/>
    <n v="1000"/>
  </r>
  <r>
    <n v="138"/>
    <s v="DGPCYN - 031 - 2068 - 2022 "/>
    <n v="9901442645"/>
    <s v="SAMUEL BÁ CUCUL"/>
    <x v="13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139"/>
    <s v="DGPCYN - 031 - 2069 - 2022 "/>
    <n v="9901442413"/>
    <s v="SANTIAGO RAMÓN CHOC MAZÁ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m/>
    <n v="185.17"/>
    <n v="3898.57"/>
    <n v="1000"/>
  </r>
  <r>
    <n v="140"/>
    <s v="DGPCYN - 031 - 2070 - 2022 "/>
    <n v="9901442857"/>
    <s v="SANTOS ISABEL GARCÍA DEL VALLE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e v="#REF!"/>
    <m/>
    <m/>
    <m/>
    <e v="#REF!"/>
    <e v="#REF!"/>
    <n v="1000"/>
  </r>
  <r>
    <n v="141"/>
    <s v="DGPCYN - 031 - 2071 - 2022 "/>
    <n v="9901443756"/>
    <s v="SERGIO ALBERTO RUBIO TURCIOS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n v="943.35"/>
    <n v="1670.79"/>
    <n v="2796.3999999999996"/>
    <n v="1227.0000000000005"/>
    <n v="1000"/>
  </r>
  <r>
    <n v="142"/>
    <s v="DGPCYN - 031 - 2072 - 2022 "/>
    <n v="9901442414"/>
    <s v="TEÓFILO HONORIO CUNIL CHÍ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143"/>
    <s v="DGPCYN - 031 - 2073 - 2022 "/>
    <n v="9901442446"/>
    <s v="VICTOR HUGO LOPEZ SANDOVAL"/>
    <x v="16"/>
    <n v="31"/>
    <n v="73.59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e v="#REF!"/>
    <m/>
    <m/>
    <m/>
    <e v="#REF!"/>
    <e v="#REF!"/>
    <n v="1000"/>
  </r>
  <r>
    <n v="144"/>
    <s v="DGPCYN - 031 - 2074 - 2022 "/>
    <n v="9901443711"/>
    <s v="VÍCTOR MANUEL RAMOS CUCA"/>
    <x v="1"/>
    <n v="31"/>
    <n v="72.540000000000006"/>
    <n v="2248.7400000000002"/>
    <n v="8704.8000000000011"/>
    <n v="4"/>
    <x v="1"/>
    <n v="1760"/>
    <n v="1510"/>
    <n v="250"/>
    <n v="4058.7400000000002"/>
    <n v="1245.4000000000001"/>
    <n v="1228.3397260273973"/>
    <n v="65.753424657534239"/>
    <n v="15944.800000000001"/>
    <n v="18484.293150684935"/>
    <n v="183.96"/>
    <e v="#REF!"/>
    <m/>
    <m/>
    <m/>
    <e v="#REF!"/>
    <e v="#REF!"/>
    <n v="1000"/>
  </r>
  <r>
    <n v="145"/>
    <s v="DGPCYN - 031 - 2075 - 2022 "/>
    <n v="9901443705"/>
    <s v="VICTORIANO GARCÍA GONZÁLEZ"/>
    <x v="1"/>
    <n v="31"/>
    <n v="72.540000000000006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m/>
    <m/>
    <n v="1574.47"/>
    <n v="1759.64"/>
    <n v="2324.1000000000004"/>
    <n v="1000"/>
  </r>
  <r>
    <n v="146"/>
    <s v="DGPCYN - 031 - 2076 - 2022 "/>
    <n v="9901442437"/>
    <s v="VIRGILIO ARGUETA ARTEAGA"/>
    <x v="0"/>
    <n v="31"/>
    <n v="71.400000000000006"/>
    <n v="2213.4"/>
    <n v="8568"/>
    <n v="4"/>
    <x v="1"/>
    <n v="1760"/>
    <n v="1510"/>
    <n v="250"/>
    <n v="4023.4"/>
    <n v="1234"/>
    <n v="1217.0958904109589"/>
    <n v="65.753424657534239"/>
    <n v="15808"/>
    <n v="18324.849315068492"/>
    <n v="182.26"/>
    <m/>
    <m/>
    <m/>
    <n v="1527.84"/>
    <n v="1710.1"/>
    <n v="2313.3000000000002"/>
    <n v="1000"/>
  </r>
  <r>
    <n v="147"/>
    <s v="DGPCYN - 031 - 2077 - 2022 "/>
    <n v="9901442781"/>
    <s v="VITALINO GARCIA TORRES"/>
    <x v="5"/>
    <n v="31"/>
    <n v="78.25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m/>
    <m/>
    <m/>
    <n v="193.72"/>
    <n v="4067.03"/>
    <n v="1000"/>
  </r>
  <r>
    <n v="148"/>
    <s v="DGPCYN - 031 - 2079 - 2022 "/>
    <n v="9901442653"/>
    <s v="WILFREDO ALBEÑO HERNÁNDEZ"/>
    <x v="0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m/>
    <n v="183.46"/>
    <n v="3864.94"/>
    <n v="1000"/>
  </r>
  <r>
    <n v="149"/>
    <s v="DGPCYN - 031 - 2080 - 2022 "/>
    <n v="9901442443"/>
    <s v="YERIX NIX BARRERA SALINAS"/>
    <x v="15"/>
    <n v="31"/>
    <n v="74.63"/>
    <n v="2313.5299999999997"/>
    <n v="8955.5999999999985"/>
    <n v="4"/>
    <x v="0"/>
    <n v="1760"/>
    <n v="1510"/>
    <n v="250"/>
    <n v="4148.53"/>
    <n v="1274.6333333333332"/>
    <n v="1257.172602739726"/>
    <n v="65.753424657534239"/>
    <n v="16295.599999999999"/>
    <n v="18893.159360730591"/>
    <n v="188.3"/>
    <e v="#REF!"/>
    <m/>
    <m/>
    <m/>
    <e v="#REF!"/>
    <e v="#REF!"/>
    <n v="1000"/>
  </r>
  <r>
    <n v="150"/>
    <s v="DGPCYN - 031 - 2081 - 2022 "/>
    <n v="9901443481"/>
    <s v="YULISA ISABEL LÓPEZ RAMOS"/>
    <x v="11"/>
    <n v="31"/>
    <n v="71.400000000000006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m/>
    <m/>
    <n v="1962.94"/>
    <n v="2146.4"/>
    <n v="1902"/>
    <n v="1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6">
  <r>
    <n v="1"/>
    <s v="DGPCYN - 031 - 1821 - 2022 "/>
    <n v="9901442293"/>
    <s v="AUGUSTO COYOY OROZCO 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2"/>
    <s v="DGPCYN - 031 - 1822 - 2022 "/>
    <n v="9901443342"/>
    <s v="ALFONSO AJANEL CORTÉS"/>
    <x v="1"/>
    <n v="31"/>
    <x v="1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3"/>
    <s v="DGPCYN - 031 - 1823 - 2022 "/>
    <n v="9901443691"/>
    <s v="ANDRÉS AVELINO AVILA SIMAJ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4"/>
    <s v="DGPCYN - 031 - 1824 - 2022 "/>
    <n v="9901442559"/>
    <s v="ANDRES RAXTÚN PIC"/>
    <x v="3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5"/>
    <s v="DGPCYN - 031 - 1825 - 2022 "/>
    <n v="9901443432"/>
    <s v="ANDRÉS SOLIS GALLINA"/>
    <x v="4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"/>
    <s v="DGPCYN - 031 - 1826 - 2022 "/>
    <n v="9901191034"/>
    <s v="ANGEL SINTO CÚN"/>
    <x v="2"/>
    <n v="31"/>
    <x v="2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1719.26"/>
    <n v="1909.1"/>
    <n v="2064.3000000000002"/>
    <n v="1000"/>
  </r>
  <r>
    <n v="7"/>
    <s v="DGPCYN - 031 - 1827 - 2022 "/>
    <n v="9901443408"/>
    <s v="ANGEL TUN SABAN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8"/>
    <s v="DGPCYN - 031 - 1828 - 2022 "/>
    <n v="9901451071"/>
    <s v="ANSER DENIS CRISTAL MILIÁN"/>
    <x v="5"/>
    <n v="31"/>
    <x v="2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9"/>
    <s v="DGPCYN - 031 - 1829 - 2022 "/>
    <n v="9901443267"/>
    <s v="BALDOMERO ARANA RODAS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0"/>
    <s v="DGPCYN - 031 - 1830 - 2022 "/>
    <n v="9901443472"/>
    <s v="BARTOLOME CHUNCHUN AJUCHAN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1"/>
    <s v="DGPCYN - 031 - 1831 - 2022 "/>
    <n v="9901442343"/>
    <s v="BYRON RENÉ MAYORGA CORTEZ"/>
    <x v="2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2"/>
    <s v="DGPCYN - 031 - 1832 - 2022 "/>
    <n v="9901443292"/>
    <s v="CARLOS BARÁN AJÚ "/>
    <x v="6"/>
    <m/>
    <x v="3"/>
    <n v="0"/>
    <m/>
    <n v="4"/>
    <x v="1"/>
    <m/>
    <m/>
    <m/>
    <m/>
    <n v="735.90000000000009"/>
    <n v="725.81917808219191"/>
    <n v="65.753424657534239"/>
    <n v="8830.8000000000011"/>
    <n v="10358.272602739728"/>
    <n v="0"/>
    <m/>
    <n v="10"/>
    <m/>
    <m/>
    <n v="10"/>
    <n v="-10"/>
    <n v="1000"/>
  </r>
  <r>
    <n v="13"/>
    <s v="DGPCYN - 031 - 1833 - 2022 "/>
    <n v="9901442314"/>
    <s v="CARLOS CHALÍ RAXJAL"/>
    <x v="1"/>
    <n v="31"/>
    <x v="1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14"/>
    <s v="DGPCYN - 031 - 1834 - 2022 "/>
    <n v="9901443426"/>
    <s v="CARLOS ENRIQUE MARROQUIN ZULETA"/>
    <x v="1"/>
    <n v="31"/>
    <x v="1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15"/>
    <s v="DGPCYN - 031 - 1835 - 2022 "/>
    <n v="9901442452"/>
    <s v="CARLOS HUMBERTO CHUNCHUN RAMIREZ "/>
    <x v="3"/>
    <n v="31"/>
    <x v="0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m/>
    <n v="193.96"/>
    <n v="3864.78"/>
    <n v="1000"/>
  </r>
  <r>
    <n v="16"/>
    <s v="DGPCYN - 031 - 1836 - 2022 "/>
    <n v="9901443410"/>
    <s v="CEFERINO PAZ CÚMEZ 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m/>
    <n v="616.88139999999999"/>
    <n v="3466.8586000000005"/>
    <n v="1000"/>
  </r>
  <r>
    <n v="17"/>
    <s v="DGPCYN - 031 - 1837 - 2022 "/>
    <n v="9901442277"/>
    <s v="CEFERINO SEGURA SIRIN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18"/>
    <s v="DGPCYN - 031 - 1838 - 2022 "/>
    <n v="9901442471"/>
    <s v="CESAR AUGUSTO MONROY PICHOLÁ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19"/>
    <s v="DGPCYN - 031 - 1839 - 2022 "/>
    <n v="9901443405"/>
    <s v="CLEMENTINO TACATÍC RAXÓN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20"/>
    <s v="DGPCYN - 031 - 1841 - 2022 "/>
    <n v="9901443965"/>
    <s v="CRISTOBAL CHOGUIX QUINÁ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21"/>
    <s v="DGPCYN - 031 - 1842 - 2022 "/>
    <n v="9901443343"/>
    <s v="DOMINGO GUZMÁN MAXÍA OTZOY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22"/>
    <s v="DGPCYN - 031 - 1844 - 2022 "/>
    <n v="9901443162"/>
    <s v="EDGAR MATEO GODOY"/>
    <x v="7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986.76"/>
    <n v="1179.02"/>
    <n v="2844.38"/>
    <n v="1000"/>
  </r>
  <r>
    <n v="23"/>
    <s v="DGPCYN - 031 - 1845 - 2022 "/>
    <n v="9901443341"/>
    <s v="EFRE ANTONIO GARCÍA TUN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4"/>
    <s v="DGPCYN - 031 - 1846 - 2022 "/>
    <n v="9901443491"/>
    <s v="ELIGIO ANIBAL PABLO MALDONADO 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25"/>
    <s v="DGPCYN - 031 - 1847 - 2022 "/>
    <n v="9901443508"/>
    <s v="ERICSSON JOSÉ RODRÍGUEZ LÓPEZ"/>
    <x v="5"/>
    <n v="31"/>
    <x v="2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m/>
    <m/>
    <m/>
    <n v="181.53"/>
    <n v="3826.87"/>
    <n v="1000"/>
  </r>
  <r>
    <n v="26"/>
    <s v="DGPCYN - 031 - 1848 - 2022 "/>
    <n v="9901442315"/>
    <s v="ESTEBAN MUX APÉN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27"/>
    <s v="DGPCYN - 031 - 1849 - 2022 "/>
    <n v="9901443476"/>
    <s v="ESTUARDO MAXIMILIANO ESTACUY MENDOZA"/>
    <x v="1"/>
    <n v="31"/>
    <x v="1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28"/>
    <s v="DGPCYN - 031 - 1850 - 2022 "/>
    <n v="9901442287"/>
    <s v="EUSEBIO LEÓN ALVAREZ"/>
    <x v="1"/>
    <n v="31"/>
    <x v="1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29"/>
    <s v="DGPCYN - 031 - 1851 - 2022 "/>
    <n v="9901442294"/>
    <s v="FEDERICO GARCÍA (ÚNICO APELLIDO)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30"/>
    <s v="DGPCYN - 031 - 1852 - 2022 "/>
    <n v="9901442312"/>
    <s v="FELIPE DE JESÚS BAJXAC CHILE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31"/>
    <s v="DGPCYN - 031 - 1853 - 2022 "/>
    <n v="9901443956"/>
    <s v="FLORENCIA QUISQUINAY XETEY"/>
    <x v="8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2"/>
    <s v="DGPCYN - 031 - 1854 - 2022 "/>
    <n v="9901442333"/>
    <s v="FRANCISCO ALVARO RAMIREZ SANDOVAL "/>
    <x v="2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3"/>
    <s v="DGPCYN - 031 - 1855 - 2022 "/>
    <n v="9901443538"/>
    <s v="FRANCISCO JAVIER MARROQUIN (ÚNICO APELLIDO)"/>
    <x v="0"/>
    <n v="31"/>
    <x v="0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m/>
    <n v="193.96"/>
    <n v="3864.78"/>
    <n v="1000"/>
  </r>
  <r>
    <n v="34"/>
    <s v="DGPCYN - 031 - 1856 - 2022 "/>
    <n v="9901443993"/>
    <s v="FRANCISCO JAVIER MENDOZA LAINES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880.73"/>
    <n v="2075.9"/>
    <n v="2007.8400000000001"/>
    <n v="1000"/>
  </r>
  <r>
    <n v="35"/>
    <s v="DGPCYN - 031 - 1857 - 2022 "/>
    <n v="9901443694"/>
    <s v="FREDY MAYORGA PÉREZ "/>
    <x v="2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6"/>
    <s v="DGPCYN - 031 - 1858 - 2022 "/>
    <n v="9901443244"/>
    <s v="GABRIEL ANGEL CUXIL XOCOP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37"/>
    <s v="DGPCYN - 031 - 1859 - 2022 "/>
    <n v="9901442342"/>
    <s v="GILBERTO ESAÚ MORALES HICHO"/>
    <x v="1"/>
    <n v="31"/>
    <x v="1"/>
    <n v="2425.75"/>
    <n v="9390"/>
    <n v="4"/>
    <x v="2"/>
    <n v="1760"/>
    <n v="1510"/>
    <n v="250"/>
    <n v="4235.75"/>
    <n v="1302.5"/>
    <n v="1284.6575342465753"/>
    <n v="65.753424657534239"/>
    <n v="16630"/>
    <n v="19282.910958904111"/>
    <n v="192.51"/>
    <n v="438.4325"/>
    <n v="10"/>
    <m/>
    <m/>
    <n v="640.9425"/>
    <n v="3594.8074999999999"/>
    <n v="1000"/>
  </r>
  <r>
    <n v="38"/>
    <s v="DGPCYN - 031 - 1860 - 2022 "/>
    <n v="9901442473"/>
    <s v="HÉCTOR VIAIL ALVAREZ GARAY "/>
    <x v="5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9"/>
    <s v="DGPCYN - 031 - 1861 - 2022 "/>
    <n v="9901443470"/>
    <s v="HUGO DIONEL CHALÍ VALLE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741.38"/>
    <n v="1934.8400000000001"/>
    <n v="2113.56"/>
    <n v="1000"/>
  </r>
  <r>
    <n v="40"/>
    <s v="DGPCYN - 031 - 1862 - 2022 "/>
    <n v="9901443567"/>
    <s v="HUGO WILFREDO ESCOBAR MEJÍA"/>
    <x v="8"/>
    <n v="31"/>
    <x v="2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m/>
    <m/>
    <m/>
    <n v="594.95400000000006"/>
    <n v="3413.4459999999999"/>
    <n v="1000"/>
  </r>
  <r>
    <n v="41"/>
    <s v="DGPCYN - 031 - 1863 - 2022 "/>
    <n v="9901443901"/>
    <s v="INGRES YANET GARCÍA CARRERA"/>
    <x v="5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626.73"/>
    <n v="1818.99"/>
    <n v="2204.41"/>
    <n v="1000"/>
  </r>
  <r>
    <n v="42"/>
    <s v="DGPCYN - 031 - 1864 - 2022 "/>
    <n v="9901443161"/>
    <s v="INGRID ROCIO VEGA LÓPEZ"/>
    <x v="8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92.1"/>
    <n v="1984.36"/>
    <n v="2039.0400000000002"/>
    <n v="1000"/>
  </r>
  <r>
    <n v="43"/>
    <s v="DGPCYN - 031 - 1865 - 2022 "/>
    <n v="9901442288"/>
    <s v="JACINTO GRIJALVA TOÑO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44"/>
    <s v="DGPCYN - 031 - 1866 - 2022 "/>
    <n v="9901442558"/>
    <s v="JESUS VELASQUEZ GUITZ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45"/>
    <s v="DGPCYN - 031 - 1868 - 2022 "/>
    <n v="9901442341"/>
    <s v="JOSÉ INÉS BARILLAS TISTA"/>
    <x v="2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46"/>
    <s v="DGPCYN - 031 - 1869 - 2022 "/>
    <n v="9901443404"/>
    <s v="JOSÉ MANUEL ORDÓÑEZ BEN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104.03"/>
    <n v="1297.49"/>
    <n v="2750.91"/>
    <n v="1000"/>
  </r>
  <r>
    <n v="47"/>
    <s v="DGPCYN - 031 - 1870 - 2022 "/>
    <n v="9901443338"/>
    <s v="JOSÉ MARCOS ACUAL CHIQUITÓ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613.51"/>
    <n v="808.68"/>
    <n v="3275.0600000000004"/>
    <n v="1000"/>
  </r>
  <r>
    <n v="48"/>
    <s v="DGPCYN - 031 - 1871 - 2022 "/>
    <n v="9901443407"/>
    <s v="JOSÉ NEMECIO XULÚ OLCOT"/>
    <x v="2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49"/>
    <s v="DGPCYN - 031 - 1872 - 2022 "/>
    <n v="9901443867"/>
    <s v="JOSÉ RODOLFO ORTÍZ MELARA"/>
    <x v="9"/>
    <n v="31"/>
    <x v="0"/>
    <n v="2248.7400000000002"/>
    <n v="8704.8000000000011"/>
    <n v="4"/>
    <x v="1"/>
    <n v="1760"/>
    <n v="1510"/>
    <n v="250"/>
    <n v="4008.7400000000002"/>
    <n v="1228.7333333333333"/>
    <n v="1211.9013698630138"/>
    <n v="65.753424657534239"/>
    <n v="15744.800000000001"/>
    <n v="18251.188127853882"/>
    <n v="181.55"/>
    <n v="413.46140000000003"/>
    <m/>
    <m/>
    <m/>
    <n v="595.01140000000009"/>
    <n v="3413.7286000000004"/>
    <n v="1000"/>
  </r>
  <r>
    <n v="50"/>
    <s v="DGPCYN - 031 - 1873 - 2022 "/>
    <n v="9901443953"/>
    <s v="JUAN COCÓN YAQUI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51"/>
    <s v="DGPCYN - 031 - 1874 - 2022 "/>
    <n v="9901443337"/>
    <s v="JUAN EUGENIO CAP MUCÍA"/>
    <x v="6"/>
    <n v="31"/>
    <x v="3"/>
    <n v="2281.29"/>
    <n v="8830.8000000000011"/>
    <n v="4"/>
    <x v="0"/>
    <n v="1760"/>
    <n v="1510"/>
    <n v="250"/>
    <n v="4116.29"/>
    <n v="1264.2333333333333"/>
    <n v="1246.9150684931508"/>
    <n v="65.753424657534239"/>
    <n v="16170.800000000001"/>
    <n v="18747.701826484019"/>
    <n v="186.74"/>
    <n v="425.2919"/>
    <n v="10"/>
    <m/>
    <m/>
    <n v="622.03189999999995"/>
    <n v="3494.2581"/>
    <n v="1000"/>
  </r>
  <r>
    <n v="52"/>
    <s v="DGPCYN - 031 - 1875 - 2022 "/>
    <n v="9901443293"/>
    <s v="JUAN TOMAS SOLIS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53"/>
    <s v="DGPCYN - 031 - 1877 - 2022 "/>
    <n v="9901443490"/>
    <s v="KARINA MARGOTH MONZÓN CABRERA DE SÁNCHEZ"/>
    <x v="8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54"/>
    <s v="DGPCYN - 031 - 1878 - 2022 "/>
    <n v="990104139"/>
    <s v="KEVIN ISAÍ MIJANGOS SANTOS"/>
    <x v="10"/>
    <n v="31"/>
    <x v="4"/>
    <n v="2506.66"/>
    <n v="9703.2000000000007"/>
    <n v="4"/>
    <x v="3"/>
    <n v="1760"/>
    <n v="1510"/>
    <n v="250"/>
    <n v="4301.66"/>
    <n v="1323.6000000000001"/>
    <n v="1305.4684931506852"/>
    <n v="65.753424657534239"/>
    <n v="16883.2"/>
    <n v="19578.021917808219"/>
    <n v="195.7"/>
    <m/>
    <n v="10"/>
    <m/>
    <n v="342.13"/>
    <n v="547.82999999999993"/>
    <n v="3753.83"/>
    <n v="1000"/>
  </r>
  <r>
    <n v="55"/>
    <s v="DGPCYN - 031 - 1879 - 2022 "/>
    <n v="9901442279"/>
    <s v="LEONARDO EDWIN BEN GARCÍA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56"/>
    <s v="DGPCYN - 031 - 1880 - 2022 "/>
    <n v="9901442264"/>
    <s v="LORENZO MORALES CHOCOJ 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57"/>
    <s v="DGPCYN - 031 - 1881 - 2022 "/>
    <n v="9901443437"/>
    <s v="LOURDES DEL ROSARIO HERRERA MARROQUIN"/>
    <x v="1"/>
    <n v="31"/>
    <x v="1"/>
    <n v="2425.75"/>
    <n v="9390"/>
    <n v="4"/>
    <x v="2"/>
    <n v="1760"/>
    <n v="1510"/>
    <n v="250"/>
    <n v="4235.75"/>
    <n v="1302.5"/>
    <n v="1284.6575342465753"/>
    <n v="65.753424657534239"/>
    <n v="16630"/>
    <n v="19282.910958904111"/>
    <n v="192.51"/>
    <n v="438.4325"/>
    <n v="10"/>
    <m/>
    <m/>
    <n v="640.9425"/>
    <n v="3594.8074999999999"/>
    <n v="1000"/>
  </r>
  <r>
    <n v="58"/>
    <s v="DGPCYN - 031 - 1882 - 2022 "/>
    <n v="9901442263"/>
    <s v="LUIS FERNANDO PICHIYÁ SIRÍN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59"/>
    <s v="DGPCYN - 031 - 1883 - 2022 "/>
    <n v="9901442311"/>
    <s v="LUIS FLORENCIO RAXÓN RAXÓN 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60"/>
    <s v="DGPCYN - 031 - 1885 - 2022 "/>
    <n v="9901442292"/>
    <s v="MARCOS GARCIA NOLASCO 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61"/>
    <s v="DGPCYN - 031 - 1886 - 2022 "/>
    <n v="9901443344"/>
    <s v="MARIO AUSBERTO MAXIA OTZOY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62"/>
    <s v="DGPCYN - 031 - 1887 - 2022 "/>
    <n v="9901443815"/>
    <s v="MARIO DANIEL MÉNDEZ  (ÚNICO APELLIDO)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63"/>
    <s v="DGPCYN - 031 - 1889 - 2022 "/>
    <n v="9901443748"/>
    <s v="MARTÍN IBATE BOCEL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64"/>
    <s v="DGPCYN - 031 - 1890 - 2022 "/>
    <n v="9901442220"/>
    <s v="MATEO ABRAHAM PELICÓ ZAPETA"/>
    <x v="0"/>
    <n v="31"/>
    <x v="0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m/>
    <m/>
    <m/>
    <n v="183.96"/>
    <n v="3874.78"/>
    <n v="1000"/>
  </r>
  <r>
    <n v="65"/>
    <s v="DGPCYN - 031 - 1891 - 2022 "/>
    <n v="9901443406"/>
    <s v="NARCISO YOS SIPAC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6"/>
    <s v="DGPCYN - 031 - 1892 - 2022 "/>
    <n v="9901443280"/>
    <s v="NIDIA MARICELA LUCERO AGUILAR"/>
    <x v="5"/>
    <n v="31"/>
    <x v="2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5.07400000000001"/>
    <n v="10"/>
    <m/>
    <m/>
    <n v="606.60400000000004"/>
    <n v="3401.7960000000003"/>
    <n v="1000"/>
  </r>
  <r>
    <n v="67"/>
    <s v="DGPCYN - 031 - 1893 - 2022 "/>
    <n v="990058350"/>
    <s v="OSCAR MANUEL SENTE ZET"/>
    <x v="11"/>
    <n v="31"/>
    <x v="0"/>
    <n v="2248.7400000000002"/>
    <n v="8704.8000000000011"/>
    <n v="4"/>
    <x v="1"/>
    <n v="1760"/>
    <n v="1510"/>
    <n v="250"/>
    <n v="4008.7400000000002"/>
    <n v="1228.7333333333333"/>
    <n v="1211.9013698630138"/>
    <n v="65.753424657534239"/>
    <n v="15744.800000000001"/>
    <n v="18251.188127853882"/>
    <n v="181.55"/>
    <n v="413.46140000000003"/>
    <n v="10"/>
    <m/>
    <m/>
    <n v="605.01140000000009"/>
    <n v="3403.7286000000004"/>
    <n v="1000"/>
  </r>
  <r>
    <n v="68"/>
    <s v="DGPCYN - 031 - 1894 - 2022 "/>
    <n v="9901443735"/>
    <s v="OTTO RENE GUZMAN RIOS"/>
    <x v="12"/>
    <n v="31"/>
    <x v="5"/>
    <n v="2344.84"/>
    <n v="9076.7999999999993"/>
    <n v="4"/>
    <x v="3"/>
    <n v="1760"/>
    <n v="1510"/>
    <n v="250"/>
    <n v="4139.84"/>
    <n v="1271.3999999999999"/>
    <n v="1253.9835616438356"/>
    <n v="65.753424657534239"/>
    <n v="16256.8"/>
    <n v="18847.936986301371"/>
    <n v="187.88"/>
    <n v="427.88240000000002"/>
    <n v="10"/>
    <m/>
    <m/>
    <n v="625.76240000000007"/>
    <n v="3514.0776000000001"/>
    <n v="1000"/>
  </r>
  <r>
    <n v="69"/>
    <s v="DGPCYN - 031 - 1895 - 2022 "/>
    <n v="9901443780"/>
    <s v="OVIDIO DE JESÚS PÉREZ GAROZ "/>
    <x v="8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70"/>
    <s v="DGPCYN - 031 - 1896 - 2022 "/>
    <n v="9901443821"/>
    <s v="PATRICIA DE LOS ANGELES ALEGRIA (ÚNICO APELLIDO)"/>
    <x v="8"/>
    <n v="31"/>
    <x v="2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92.1"/>
    <n v="1984.36"/>
    <n v="2039.0400000000002"/>
    <n v="1000"/>
  </r>
  <r>
    <n v="71"/>
    <s v="DGPCYN - 031 - 1897 - 2022 "/>
    <n v="9901443473"/>
    <s v="PEDRO GONZALO CURUCHICH CHUTÁ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72"/>
    <s v="DGPCYN - 031 - 1898 - 2022 "/>
    <n v="9901443964"/>
    <s v="RAYMUNDO MATEO CHAN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73"/>
    <s v="DGPCYN - 031 - 1899 - 2022 "/>
    <n v="9901443336"/>
    <s v="RICARDO CHAN LEIVA "/>
    <x v="9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74"/>
    <s v="DGPCYN - 031 - 1900 - 2022 "/>
    <n v="9901442297"/>
    <s v="RIGOBERTO CHOPOX XEP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75"/>
    <s v="DGPCYN - 031 - 1901 - 2022 "/>
    <n v="9901443820"/>
    <s v="RIGOBERTO SALVADOR PINEDA MARTÍNEZ"/>
    <x v="13"/>
    <n v="31"/>
    <x v="5"/>
    <n v="2344.84"/>
    <n v="9076.7999999999993"/>
    <n v="4"/>
    <x v="3"/>
    <n v="1760"/>
    <n v="1510"/>
    <n v="250"/>
    <n v="4139.84"/>
    <n v="1271.3999999999999"/>
    <n v="1253.9835616438356"/>
    <n v="65.753424657534239"/>
    <n v="16256.8"/>
    <n v="18847.936986301371"/>
    <n v="187.88"/>
    <m/>
    <n v="10"/>
    <m/>
    <m/>
    <n v="197.88"/>
    <n v="3941.96"/>
    <n v="1000"/>
  </r>
  <r>
    <n v="76"/>
    <s v="DGPCYN - 031 - 1902 - 2022 "/>
    <n v="9901443696"/>
    <s v="ROBERTO YAXCAL (ÚNICO APELLIDO)"/>
    <x v="0"/>
    <n v="31"/>
    <x v="0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m/>
    <n v="193.96"/>
    <n v="3864.78"/>
    <n v="1000"/>
  </r>
  <r>
    <n v="77"/>
    <s v="DGPCYN - 031 - 1903 - 2022 "/>
    <n v="9901442296"/>
    <s v="RODOLFO MAJTZUL YOS"/>
    <x v="9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597.59"/>
    <n v="792.76"/>
    <n v="3290.9800000000005"/>
    <n v="1000"/>
  </r>
  <r>
    <n v="78"/>
    <s v="DGPCYN - 031 - 1905 - 2022 "/>
    <n v="9901443403"/>
    <s v="RUFINO CHIYAL CHIROY "/>
    <x v="3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986.57"/>
    <n v="2181.7399999999998"/>
    <n v="1902.0000000000005"/>
    <n v="1000"/>
  </r>
  <r>
    <n v="79"/>
    <s v="DGPCYN - 031 - 1906 - 2022 "/>
    <n v="9901442289"/>
    <s v="SABINO CALACHIJ GUTIERREZ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80"/>
    <s v="DGPCYN - 031 - 1907 - 2022 "/>
    <n v="9901443803"/>
    <s v="SANTOS AJCUC XUYÁ"/>
    <x v="1"/>
    <n v="31"/>
    <x v="1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n v="747.06"/>
    <n v="950.78"/>
    <n v="3309.9700000000003"/>
    <n v="1000"/>
  </r>
  <r>
    <n v="81"/>
    <s v="DGPCYN - 031 - 1908 - 2022 "/>
    <n v="9901443686"/>
    <s v="SIXSTO FILIBERTO CABRERA AGUILAR"/>
    <x v="1"/>
    <n v="31"/>
    <x v="1"/>
    <n v="2425.75"/>
    <n v="9390"/>
    <n v="4"/>
    <x v="0"/>
    <n v="1760"/>
    <n v="1510"/>
    <n v="250"/>
    <n v="4260.75"/>
    <n v="1310.8333333333333"/>
    <n v="1292.8767123287671"/>
    <n v="65.753424657534239"/>
    <n v="16730"/>
    <n v="19399.463470319632"/>
    <n v="193.72"/>
    <n v="441.1825"/>
    <n v="10"/>
    <m/>
    <m/>
    <n v="644.90250000000003"/>
    <n v="3615.8474999999999"/>
    <n v="1000"/>
  </r>
  <r>
    <n v="82"/>
    <s v="DGPCYN - 031 - 1909 - 2022 "/>
    <n v="9901443978"/>
    <s v="SOFIO ESTEBAN CUC SAPÓN "/>
    <x v="2"/>
    <m/>
    <x v="2"/>
    <n v="0"/>
    <n v="8568"/>
    <n v="4"/>
    <x v="1"/>
    <n v="0"/>
    <m/>
    <m/>
    <n v="0"/>
    <n v="714"/>
    <n v="704.21917808219177"/>
    <n v="65.753424657534239"/>
    <n v="8568"/>
    <n v="10051.972602739726"/>
    <n v="0"/>
    <m/>
    <n v="10"/>
    <m/>
    <m/>
    <n v="10"/>
    <n v="-10"/>
    <n v="1000"/>
  </r>
  <r>
    <n v="83"/>
    <s v="DGPCYN - 031 - 1910 - 2022 "/>
    <n v="9901442563"/>
    <s v="TOMAS OSORIO CHIVALAN"/>
    <x v="2"/>
    <m/>
    <x v="6"/>
    <n v="0"/>
    <n v="0"/>
    <n v="4"/>
    <x v="1"/>
    <m/>
    <m/>
    <m/>
    <n v="0"/>
    <n v="0"/>
    <n v="0"/>
    <n v="65.753424657534239"/>
    <n v="0"/>
    <n v="65.753424657534239"/>
    <n v="0"/>
    <m/>
    <n v="10"/>
    <m/>
    <n v="447.43"/>
    <n v="457.43"/>
    <n v="-457.43"/>
    <n v="1000"/>
  </r>
  <r>
    <n v="84"/>
    <s v="DGPCYN - 031 - 1911 - 2022 "/>
    <n v="9901442561"/>
    <s v="TRINIDAD COROXÓN CHIYAL "/>
    <x v="2"/>
    <n v="31"/>
    <x v="2"/>
    <n v="2213.4"/>
    <n v="8568"/>
    <n v="4"/>
    <x v="0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85"/>
    <s v="DGPCYN - 031 - 1912 - 2022 "/>
    <n v="9901443935"/>
    <s v="VÍCTOR HUGO TUN CRISTAL"/>
    <x v="14"/>
    <n v="31"/>
    <x v="2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m/>
    <m/>
    <m/>
    <n v="181.53"/>
    <n v="3826.87"/>
    <n v="1000"/>
  </r>
  <r>
    <n v="86"/>
    <s v="DGPCYN - 031 - 1914 - 2022 "/>
    <n v="9901442466"/>
    <s v="WILLIAMS BLADIMIRO ALVARADO MONTERROSO "/>
    <x v="0"/>
    <n v="31"/>
    <x v="0"/>
    <n v="2248.7400000000002"/>
    <n v="8704.8000000000011"/>
    <n v="4"/>
    <x v="0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m/>
    <n v="616.88139999999999"/>
    <n v="3466.8586000000005"/>
    <n v="1000"/>
  </r>
  <r>
    <n v="87"/>
    <s v="DGPCYN - 031 - 1915 - 2022 "/>
    <n v="9901443822"/>
    <s v="MARDOQUEO PETZ GARCIA "/>
    <x v="15"/>
    <n v="31"/>
    <x v="7"/>
    <n v="2405.29"/>
    <n v="9310.8000000000011"/>
    <n v="4"/>
    <x v="1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n v="3851.18"/>
    <n v="4040.29"/>
    <n v="125"/>
    <n v="1000"/>
  </r>
  <r>
    <n v="88"/>
    <s v="DGPCYN - 031 - 1916 - 2022 "/>
    <n v="9901502417"/>
    <s v="NOHELIA CARDONA MARROQUÍN"/>
    <x v="8"/>
    <n v="31"/>
    <x v="2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89"/>
    <s v="DGPCYN - 031 - 1918 - 2022 "/>
    <n v="9901532794"/>
    <s v="LESLI ANDREA SIAN CANIZ"/>
    <x v="16"/>
    <n v="31"/>
    <x v="2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90"/>
    <s v="DGPCYN - 031 - 232 - 2022 "/>
    <n v="9901546145"/>
    <s v="GILMAR ESTUARDO SALAZAR CARRILLO"/>
    <x v="17"/>
    <n v="31"/>
    <x v="2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91"/>
    <s v="DGPCYN - 031 - 233 - 2022 "/>
    <n v="9901546149"/>
    <s v="SAQ KOT MARVIN GUSTAVO LUX RODRÍGEZ"/>
    <x v="2"/>
    <n v="31"/>
    <x v="2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92"/>
    <s v="DGPCYN - 031 - 623 - 2022 "/>
    <n v="9901552695"/>
    <s v="JONATHÁN ULISES CHIYAL YAC"/>
    <x v="2"/>
    <n v="31"/>
    <x v="2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93"/>
    <s v="DGPCYN - 031 - 624 - 2022 "/>
    <n v="9901552697"/>
    <s v="EDVIN ALEJANDRO CUC GONZÁLES"/>
    <x v="0"/>
    <n v="31"/>
    <x v="0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94"/>
    <s v="DGPCYN - 031 - 625 - 2022 "/>
    <n v="9901552699"/>
    <s v="HELCÍAS MISAEL CUC PÉREZ"/>
    <x v="0"/>
    <n v="31"/>
    <x v="0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95"/>
    <s v="DGPCYN - 031 - 626 - 2022 "/>
    <n v="9901552701"/>
    <s v="WUILY ENRIQUE TZORÍN VELÁSQUEZ"/>
    <x v="0"/>
    <n v="31"/>
    <x v="0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96"/>
    <s v="DGPCYN - 031 - 628 - 2022 "/>
    <n v="9901552767"/>
    <s v="HÉCTOR MARIO CRÚZ ESTACUY"/>
    <x v="0"/>
    <n v="31"/>
    <x v="0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97"/>
    <m/>
    <n v="9901576099"/>
    <s v="OTTO PEREZ AGUILAR"/>
    <x v="0"/>
    <n v="31"/>
    <x v="0"/>
    <n v="2248.7400000000002"/>
    <n v="8704.8000000000011"/>
    <n v="4"/>
    <x v="1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98"/>
    <m/>
    <n v="9901576580"/>
    <s v="MAX GREGORIO RUÍZ ROSALES"/>
    <x v="0"/>
    <n v="31"/>
    <x v="0"/>
    <n v="2248.7400000000002"/>
    <n v="8704.8000000000011"/>
    <n v="4"/>
    <x v="1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99"/>
    <m/>
    <n v="9901576583"/>
    <s v="EDDY SANTIAGO PEREZ TELLEZ"/>
    <x v="0"/>
    <n v="31"/>
    <x v="0"/>
    <n v="2248.7400000000002"/>
    <n v="8704.8000000000011"/>
    <n v="4"/>
    <x v="1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1"/>
    <s v="DGPCYN - 031 - 1919 - 2022 "/>
    <n v="9901443940"/>
    <s v="GILMAR ASDRUVAL MENDEZ PAZ"/>
    <x v="9"/>
    <n v="31"/>
    <x v="0"/>
    <n v="2248.7400000000002"/>
    <n v="8704.8000000000011"/>
    <n v="4"/>
    <x v="3"/>
    <n v="1760"/>
    <n v="1510"/>
    <n v="250"/>
    <n v="4043.7400000000002"/>
    <n v="1240.4000000000001"/>
    <n v="1223.4082191780822"/>
    <n v="65.753424657534239"/>
    <n v="15884.800000000001"/>
    <n v="18414.361643835618"/>
    <n v="183.24"/>
    <m/>
    <n v="10"/>
    <m/>
    <m/>
    <n v="193.24"/>
    <n v="3850.5"/>
    <n v="1000"/>
  </r>
  <r>
    <n v="2"/>
    <s v="DGPCYN - 031 - 1920 - 2022 "/>
    <n v="9901510063"/>
    <s v="DANIEL ANTONIO DE LEÓN RUÍZ"/>
    <x v="10"/>
    <n v="31"/>
    <x v="4"/>
    <n v="2506.66"/>
    <n v="9703.2000000000007"/>
    <n v="4"/>
    <x v="1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3"/>
    <s v="DGPCYN - 031 - 1921 - 2022 "/>
    <n v="9901509965"/>
    <s v="EDGAR VLADIMIR DIVAS ZETA"/>
    <x v="10"/>
    <n v="31"/>
    <x v="4"/>
    <n v="2506.66"/>
    <n v="9703.2000000000007"/>
    <n v="4"/>
    <x v="1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4"/>
    <s v="DGPCYN - 031 - 1922 - 2022 "/>
    <n v="9901509902"/>
    <s v="MARTA ALEJANDRA CORDERO PÉREZ"/>
    <x v="10"/>
    <n v="31"/>
    <x v="4"/>
    <n v="2506.66"/>
    <n v="9703.2000000000007"/>
    <n v="4"/>
    <x v="1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5"/>
    <s v="DGPCYN - 031 - 1923 - 2022 "/>
    <n v="9901510115"/>
    <s v="ANGEL DAVID MAZARIEGOS FLORES"/>
    <x v="10"/>
    <n v="31"/>
    <x v="4"/>
    <n v="2506.66"/>
    <n v="9703.2000000000007"/>
    <n v="4"/>
    <x v="1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6"/>
    <s v="DGPCYN - 031 - 1924 - 2022 "/>
    <n v="9901522627"/>
    <s v="ANA DESIREÉ MELGAR GORDILLO"/>
    <x v="10"/>
    <m/>
    <x v="4"/>
    <n v="0"/>
    <m/>
    <n v="4"/>
    <x v="1"/>
    <m/>
    <m/>
    <m/>
    <m/>
    <n v="808.6"/>
    <n v="797.52328767123299"/>
    <n v="65.753424657534239"/>
    <n v="9703.2000000000007"/>
    <n v="11375.076712328768"/>
    <n v="0"/>
    <m/>
    <m/>
    <m/>
    <m/>
    <n v="0"/>
    <n v="0"/>
    <n v="1000"/>
  </r>
  <r>
    <n v="7"/>
    <s v="DGPCYN - 031 - 1925 - 2022 "/>
    <n v="9901495342"/>
    <s v="JULIO OSWALDO OSMELL TALE ROSALES"/>
    <x v="10"/>
    <n v="31"/>
    <x v="4"/>
    <n v="2506.66"/>
    <n v="9703.2000000000007"/>
    <n v="4"/>
    <x v="1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39">
  <r>
    <n v="1"/>
    <s v="DGPCYN - 031 - 2253 - 2021 "/>
    <n v="9901442241"/>
    <s v="MIGUEL TUBÍN COLAJ"/>
    <x v="0"/>
    <n v="31"/>
    <n v="71.400000000000006"/>
    <n v="2213.4"/>
    <n v="8568"/>
    <n v="4"/>
    <x v="0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m/>
    <n v="604.95400000000006"/>
    <n v="3403.4459999999999"/>
    <n v="1000"/>
  </r>
  <r>
    <n v="2"/>
    <s v="DGPCYN - 031 - 2257 - 2021 "/>
    <n v="9901527952"/>
    <s v="ANTONIO FLORES LOPEZ"/>
    <x v="1"/>
    <n v="31"/>
    <n v="72.540000000000006"/>
    <n v="2248.7400000000002"/>
    <n v="8704.8000000000011"/>
    <n v="4"/>
    <x v="1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3"/>
    <s v="DGPCYN - 031 - 2258 - 2021 "/>
    <n v="9901527955"/>
    <s v="SIMEÓN FLORES LÓPEZ"/>
    <x v="1"/>
    <n v="31"/>
    <n v="72.540000000000006"/>
    <n v="2248.7400000000002"/>
    <n v="8704.8000000000011"/>
    <n v="4"/>
    <x v="1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4"/>
    <m/>
    <n v="9901576031"/>
    <s v="DINA ELIZABETH VALENZUELA PÉREZ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390.51"/>
    <n v="1570.35"/>
    <n v="2403.0500000000002"/>
    <n v="1000"/>
  </r>
  <r>
    <n v="5"/>
    <m/>
    <n v="9901113732"/>
    <s v="JUANA RODAS CABRERA DE ABAC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2259 - 2021 "/>
    <n v="9901442260"/>
    <s v="APOLONIO GÓMEZ SICAJAÚ"/>
    <x v="0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"/>
    <n v="10"/>
    <m/>
    <m/>
    <n v="607.32999999999993"/>
    <n v="3416.07"/>
    <n v="1000"/>
  </r>
  <r>
    <n v="2"/>
    <s v="DGPCYN - 031 - 2260 - 2021 "/>
    <n v="9901443277"/>
    <s v="CARLOS ESTUARDO CÁRDENAS SARAVIA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3"/>
    <m/>
    <n v="9901575961"/>
    <s v="INGRID KARINA SALPOR COLINDRES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4"/>
    <m/>
    <n v="9901575967"/>
    <s v="ANTHONY ELIÚ DE LEÓN PÉREZ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516 - 2022 "/>
    <n v="9901443409"/>
    <s v="ALEJANDRO AUGUSTO COY GABRIEL"/>
    <x v="1"/>
    <n v="31"/>
    <n v="72.540000000000006"/>
    <n v="2248.7400000000002"/>
    <n v="8704.8000000000011"/>
    <n v="4"/>
    <x v="3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n v="1728.58"/>
    <n v="2345.4614000000001"/>
    <n v="1738.2786000000001"/>
    <n v="1000"/>
  </r>
  <r>
    <n v="2"/>
    <s v="DGPCYN - 031 - 1517 - 2022 "/>
    <n v="9901442350"/>
    <s v="CARLOS ARTURO CASTILLO RIVERA"/>
    <x v="3"/>
    <n v="31"/>
    <n v="75.64"/>
    <n v="2344.84"/>
    <n v="9076.7999999999993"/>
    <n v="4"/>
    <x v="2"/>
    <n v="1760"/>
    <n v="1510"/>
    <n v="250"/>
    <n v="4154.84"/>
    <n v="1276.3999999999999"/>
    <n v="1258.9150684931506"/>
    <n v="65.753424657534239"/>
    <n v="16316.8"/>
    <n v="18917.868493150687"/>
    <n v="188.6"/>
    <n v="429.5324"/>
    <m/>
    <m/>
    <n v="858.36"/>
    <n v="1476.4923999999999"/>
    <n v="2678.3476000000001"/>
    <n v="1000"/>
  </r>
  <r>
    <n v="3"/>
    <s v="DGPCYN - 031 - 1518 - 2022 "/>
    <n v="9901443302"/>
    <s v="HIPOLITO ALVEÑO NAVAS"/>
    <x v="4"/>
    <n v="31"/>
    <n v="71.400000000000006"/>
    <n v="2213.4"/>
    <n v="8568"/>
    <n v="4"/>
    <x v="3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4"/>
    <s v="DGPCYN - 031 - 1519 - 2022 "/>
    <n v="9901442920"/>
    <s v="MARIA IVETH ESCOBAR CARDONA DE LEMUS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"/>
    <s v="DGPCYN - 031 - 1520 - 2022 "/>
    <n v="9901443795"/>
    <s v="RICARDO GARCÍA  (ÚNICO APELLIDO)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402.25"/>
    <n v="1584.51"/>
    <n v="2438.8900000000003"/>
    <n v="1000"/>
  </r>
  <r>
    <n v="1"/>
    <s v="DGPCYN - 031 - 1521 - 2022 "/>
    <n v="9901443772"/>
    <s v="DAVID GONZÁLEZ VICENTE"/>
    <x v="6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m/>
    <n v="193.96"/>
    <n v="3864.78"/>
    <n v="1000"/>
  </r>
  <r>
    <n v="2"/>
    <s v="DGPCYN - 031 - 1522 - 2022 "/>
    <n v="9901482979"/>
    <s v="LESLIE ROXANA AGUILAR LAVARREDA DE CASTRO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3"/>
    <s v="DGPCYN - 031 - 1523 - 2022 "/>
    <n v="9901442224"/>
    <s v="LUCIANO TOC CUC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4"/>
    <s v="DGPCYN - 031 - 1525 - 2022 "/>
    <n v="9901443543"/>
    <s v="PERLA KAROLINA ESMERALDA RUBY LÓPEZ LÓPEZ DE REYES"/>
    <x v="0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207.45"/>
    <n v="1399.71"/>
    <n v="2623.69"/>
    <n v="1000"/>
  </r>
  <r>
    <n v="5"/>
    <s v="DGPCYN - 031 - 1527 - 2022 "/>
    <n v="9901443784"/>
    <s v="SAÚL BERNARDO ARGUETA CHINCHILLA"/>
    <x v="2"/>
    <n v="31"/>
    <n v="71.400000000000006"/>
    <n v="2213.4"/>
    <n v="8568"/>
    <n v="4"/>
    <x v="0"/>
    <n v="1760"/>
    <n v="1510"/>
    <n v="250"/>
    <n v="4008.4"/>
    <n v="1229"/>
    <n v="1212.1643835616437"/>
    <n v="65.753424657534239"/>
    <n v="15748"/>
    <n v="18254.917808219179"/>
    <n v="181.53"/>
    <n v="413.42400000000004"/>
    <m/>
    <m/>
    <m/>
    <n v="594.95400000000006"/>
    <n v="3413.4459999999999"/>
    <n v="1000"/>
  </r>
  <r>
    <n v="6"/>
    <s v="DGPCYN - 031 - 1528 - 2022 "/>
    <n v="9901533869"/>
    <s v="LEIDY YASMIN MACOLAS ORANTES"/>
    <x v="7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"/>
    <s v="DGPCYN - 031 - 1529 - 2022 "/>
    <n v="9901533865"/>
    <s v="JESÚS ALBERTO PIRIR RAXÓN"/>
    <x v="4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530 - 2022 "/>
    <n v="9901443818"/>
    <s v="BASILIO DE JESÚS MAYÉN MURALLES"/>
    <x v="6"/>
    <n v="31"/>
    <n v="72.540000000000006"/>
    <n v="2248.7400000000002"/>
    <n v="8704.8000000000011"/>
    <n v="4"/>
    <x v="3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m/>
    <n v="616.88139999999999"/>
    <n v="3466.8586000000005"/>
    <n v="1000"/>
  </r>
  <r>
    <n v="2"/>
    <s v="DGPCYN - 031 - 1531 - 2022 "/>
    <n v="9901442483"/>
    <s v="ELIGIO RODOLFO HERNÁNDEZ RUANO"/>
    <x v="4"/>
    <n v="31"/>
    <n v="71.400000000000006"/>
    <n v="2213.4"/>
    <n v="8568"/>
    <n v="4"/>
    <x v="3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033.69"/>
    <n v="1644.9740000000002"/>
    <n v="2403.4259999999999"/>
    <n v="1000"/>
  </r>
  <r>
    <n v="3"/>
    <s v="DGPCYN - 031 - 1532 - 2022 "/>
    <n v="9901443595"/>
    <s v="FRANCISCO SABÁN (ÚNICO APELLIDO)"/>
    <x v="8"/>
    <n v="31"/>
    <n v="78.25"/>
    <n v="2425.75"/>
    <n v="9390"/>
    <n v="4"/>
    <x v="3"/>
    <n v="1760"/>
    <n v="1510"/>
    <n v="250"/>
    <n v="4260.75"/>
    <n v="1310.8333333333333"/>
    <n v="1292.8767123287671"/>
    <n v="65.753424657534239"/>
    <n v="16730"/>
    <n v="19399.463470319632"/>
    <n v="193.72"/>
    <n v="441.1825"/>
    <n v="10"/>
    <m/>
    <n v="1181.1300000000001"/>
    <n v="1826.0325"/>
    <n v="2434.7174999999997"/>
    <n v="1000"/>
  </r>
  <r>
    <n v="4"/>
    <s v="DGPCYN - 031 - 1533 - 2022 "/>
    <n v="9901443539"/>
    <s v="HECTOR ROMEO RAMIREZ LÓPEZ"/>
    <x v="4"/>
    <n v="31"/>
    <n v="71.400000000000006"/>
    <n v="2213.4"/>
    <n v="8568"/>
    <n v="4"/>
    <x v="3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652.8"/>
    <n v="2264.0839999999998"/>
    <n v="1784.3160000000003"/>
    <n v="1000"/>
  </r>
  <r>
    <n v="5"/>
    <s v="DGPCYN - 031 - 1534 - 2022 "/>
    <n v="9901442479"/>
    <s v="MARÍA DEL ROSARIO AZAÑÓN CHIGÜICHON DE MARTÍNEZ"/>
    <x v="0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286.4100000000001"/>
    <n v="1468.67"/>
    <n v="2554.73"/>
    <n v="1000"/>
  </r>
  <r>
    <n v="1"/>
    <s v="DGPCYN - 031 - 1535 - 2022 "/>
    <n v="9901442982"/>
    <s v="BLANCA ELIZABETH TOLEDO GARCÍA"/>
    <x v="2"/>
    <n v="31"/>
    <n v="71.400000000000006"/>
    <n v="2213.4"/>
    <n v="8568"/>
    <n v="4"/>
    <x v="0"/>
    <n v="1760"/>
    <n v="1510"/>
    <n v="250"/>
    <n v="4008.4"/>
    <n v="1229"/>
    <n v="1212.1643835616437"/>
    <n v="65.753424657534239"/>
    <n v="15748"/>
    <n v="18254.917808219179"/>
    <n v="181.53"/>
    <n v="413.42400000000004"/>
    <m/>
    <m/>
    <m/>
    <n v="594.95400000000006"/>
    <n v="3413.4459999999999"/>
    <n v="1000"/>
  </r>
  <r>
    <n v="2"/>
    <s v="DGPCYN - 031 - 1536 - 2022 "/>
    <n v="9901443517"/>
    <s v="DOMINGO PACAY SIERRA"/>
    <x v="6"/>
    <n v="31"/>
    <n v="72.540000000000006"/>
    <n v="2248.7400000000002"/>
    <n v="8704.8000000000011"/>
    <n v="4"/>
    <x v="0"/>
    <n v="1760"/>
    <n v="1510"/>
    <n v="250"/>
    <n v="4043.7400000000002"/>
    <n v="1240.4000000000001"/>
    <n v="1223.4082191780822"/>
    <n v="65.753424657534239"/>
    <n v="15884.800000000001"/>
    <n v="18414.361643835618"/>
    <n v="183.24"/>
    <m/>
    <n v="10"/>
    <m/>
    <n v="1601.55"/>
    <n v="1794.79"/>
    <n v="2248.9500000000003"/>
    <n v="1000"/>
  </r>
  <r>
    <n v="3"/>
    <s v="DGPCYN - 031 - 1537 - 2022 "/>
    <n v="9901443246"/>
    <s v="EDGAR GEOVANNY RAXÓN SABÁN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4"/>
    <s v="DGPCYN - 031 - 1538 - 2022 "/>
    <n v="9901443486"/>
    <s v="LUIS DANIEL ICUTÉ FUENTES"/>
    <x v="4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"/>
    <s v="DGPCYN - 031 - 1540 - 2022 "/>
    <n v="9901442331"/>
    <s v="PEDRO LÓPEZ Y LÓPEZ"/>
    <x v="0"/>
    <n v="31"/>
    <n v="71.400000000000006"/>
    <n v="2213.4"/>
    <n v="8568"/>
    <n v="4"/>
    <x v="3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"/>
    <s v="DGPCYN - 031 - 1541 - 2022 "/>
    <n v="9901468683"/>
    <s v="TANIA MELISA MATTA GARZA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542 - 2022 "/>
    <n v="9901450992"/>
    <s v="SELVIN MARINO GONZÁLEZ GÓMEZ"/>
    <x v="9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"/>
    <s v="DGPCYN - 031 - 1543 - 2022 "/>
    <n v="9901442177"/>
    <s v="AUGUSTO SUY MORALES"/>
    <x v="2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"/>
    <s v="DGPCYN - 031 - 1544 - 2022 "/>
    <n v="9901443716"/>
    <s v="JENNY ZURAMA GARCÍA JIMÉNEZ"/>
    <x v="2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2"/>
    <s v="DGPCYN - 031 - 1545 - 2022 "/>
    <n v="9901442770"/>
    <s v="MELSIN OVED AGUILAR MAZÁ"/>
    <x v="2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"/>
    <s v="DGPCYN - 031 - 1546 - 2022 "/>
    <n v="9901451042"/>
    <s v="SÁLMAN  ZARAX OBANDO"/>
    <x v="1"/>
    <n v="31"/>
    <n v="72.540000000000006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n v="413.46140000000003"/>
    <n v="10"/>
    <m/>
    <m/>
    <n v="605.01140000000009"/>
    <n v="3403.7286000000004"/>
    <n v="1000"/>
  </r>
  <r>
    <n v="4"/>
    <s v="DGPCYN - 031 - 1547 - 2022 "/>
    <n v="9901442771"/>
    <s v="WALTER EVERARDO HOIL HEREDIA"/>
    <x v="2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"/>
    <s v="DGPCYN - 031 - 1548 - 2022 "/>
    <n v="9901451036"/>
    <s v="JULIO CÉSAR CORONADO JIMÉNEZ"/>
    <x v="4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2"/>
    <s v="DGPCYN - 031 - 1549 - 2022 "/>
    <n v="9901443125"/>
    <s v="LUIS FERNANDO PINELO CORDOVA"/>
    <x v="0"/>
    <n v="31"/>
    <n v="71.400000000000006"/>
    <n v="2213.4"/>
    <n v="8568"/>
    <n v="4"/>
    <x v="0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m/>
    <n v="604.95400000000006"/>
    <n v="3403.4459999999999"/>
    <n v="1000"/>
  </r>
  <r>
    <n v="3"/>
    <s v="DGPCYN - 031 - 1550 - 2022 "/>
    <n v="9901443124"/>
    <s v="ROBINSON MELÉNDEZ CABRERA"/>
    <x v="5"/>
    <n v="31"/>
    <n v="71.400000000000006"/>
    <n v="2213.4"/>
    <n v="8568"/>
    <n v="4"/>
    <x v="0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n v="590.11"/>
    <n v="1195.0640000000001"/>
    <n v="2813.3360000000002"/>
    <n v="1000"/>
  </r>
  <r>
    <n v="4"/>
    <s v="DGPCYN - 031 - 1551 - 2022 "/>
    <n v="9901103753"/>
    <s v="YOHANA ANGELITA BETANCOURT PÉREZ DE MISS"/>
    <x v="2"/>
    <n v="31"/>
    <n v="71.400000000000006"/>
    <n v="2213.4"/>
    <n v="8568"/>
    <n v="4"/>
    <x v="0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5"/>
    <s v="DGPCYN - 031 - 648 - 2022 "/>
    <n v="9901196608"/>
    <s v="KIARA ROXANA TOBAR OBANDO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m/>
    <m/>
    <n v="1000"/>
  </r>
  <r>
    <n v="1"/>
    <s v="DGPCYN - 031 - 1552 - 2022 "/>
    <n v="9901443414"/>
    <s v="CLARA AMALIA PEC CON"/>
    <x v="2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"/>
    <m/>
    <n v="9901576006"/>
    <s v="NANCY QUAN CORADO"/>
    <x v="10"/>
    <n v="31"/>
    <n v="80.86"/>
    <n v="2506.66"/>
    <n v="9703.2000000000007"/>
    <n v="4"/>
    <x v="1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2"/>
    <m/>
    <n v="9901576013"/>
    <s v="LIBERTAD VENTURA SÁENZ DE CHALÍ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3"/>
    <s v="DGPCYN - 031 - 2309 - 2021 "/>
    <n v="9901534516"/>
    <s v="OSCAR EDUARDO MARTÍNEZ CASTELLANOS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4"/>
    <s v="DGPCYN - 031 - 2311 - 2021 "/>
    <n v="9901535242"/>
    <s v="CRISTIAN ORLANDO VÁSQUEZ SALAZAR"/>
    <x v="4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"/>
    <s v="DGPCYN - 031 - 2312 - 2021 "/>
    <n v="9901535240"/>
    <s v="ALVARO LUIS ANDRADE GUZMÁN"/>
    <x v="4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"/>
    <m/>
    <n v="9901575951"/>
    <s v="CRISTIAN ADONÍAS POYÓN GARCÍA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"/>
    <m/>
    <n v="9901576010"/>
    <s v="MIGUEL ESTEBAN MARQUEZ SILVA"/>
    <x v="4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8"/>
    <m/>
    <n v="9901576019"/>
    <s v="NIDIA YADIRA HERNÁNDEZ CHAVARRÍA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9"/>
    <m/>
    <n v="9901576021"/>
    <s v="FRANCISCO LUIS GODOY JUÁREZ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0"/>
    <m/>
    <n v="9901576026"/>
    <s v="ASTRID CAROLINA FARELO CHOCOY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1"/>
    <m/>
    <n v="9901576030"/>
    <s v="BRYAN JOSÉ GAYTÁN SILVA"/>
    <x v="4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2"/>
    <m/>
    <n v="9901430306"/>
    <s v="MAYRA CRISTINA CHOPEN TOL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3"/>
    <m/>
    <n v="9901576034"/>
    <s v="MARY CAROLINA CHON SANJAY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4"/>
    <m/>
    <n v="9901576011"/>
    <s v="RUDY ALEJANDRO HERNÁNDEZ SÁNCHEZ"/>
    <x v="4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5"/>
    <m/>
    <n v="9901576033"/>
    <s v="JOSÉ ALBERTO RAFAEL CHACÓN BARRIOS"/>
    <x v="2"/>
    <n v="31"/>
    <n v="71.400000000000006"/>
    <n v="2213.4"/>
    <n v="8568"/>
    <n v="4"/>
    <x v="1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6"/>
    <m/>
    <n v="9901576035"/>
    <s v="DIEGO ALEJANDRO TÓ QUIÑONEZ TOJÍN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553 - 2022 "/>
    <n v="9901443523"/>
    <s v="ALBERTO HERNÁNDEZ MÉNDEZ"/>
    <x v="1"/>
    <n v="31"/>
    <n v="72.540000000000006"/>
    <n v="2248.7400000000002"/>
    <n v="8704.8000000000011"/>
    <n v="4"/>
    <x v="0"/>
    <n v="1760"/>
    <n v="1510"/>
    <n v="250"/>
    <n v="4043.7400000000002"/>
    <n v="1240.4000000000001"/>
    <n v="1223.4082191780822"/>
    <n v="65.753424657534239"/>
    <n v="15884.800000000001"/>
    <n v="18414.361643835618"/>
    <n v="183.24"/>
    <m/>
    <n v="10"/>
    <m/>
    <m/>
    <n v="193.24"/>
    <n v="3850.5"/>
    <n v="1000"/>
  </r>
  <r>
    <n v="2"/>
    <s v="DGPCYN - 031 - 1554 - 2022 "/>
    <n v="9901443238"/>
    <s v="SATURNINO COLINDRES CARRILLO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784.88"/>
    <n v="974.72"/>
    <n v="2998.6800000000003"/>
    <n v="1000"/>
  </r>
  <r>
    <n v="3"/>
    <s v="DGPCYN - 031 - 1555 - 2022 "/>
    <n v="9901443746"/>
    <s v="ELMER ADOLFO MARQUEZ GARCÍA"/>
    <x v="11"/>
    <n v="31"/>
    <n v="73.59"/>
    <n v="2281.29"/>
    <n v="8830.8000000000011"/>
    <n v="4"/>
    <x v="0"/>
    <n v="1760"/>
    <n v="1510"/>
    <n v="250"/>
    <n v="4076.29"/>
    <n v="1250.9000000000001"/>
    <n v="1233.7643835616439"/>
    <n v="65.753424657534239"/>
    <n v="16010.800000000001"/>
    <n v="18561.217808219182"/>
    <n v="184.81"/>
    <m/>
    <n v="10"/>
    <m/>
    <n v="1372.79"/>
    <n v="1567.6"/>
    <n v="2508.69"/>
    <n v="1000"/>
  </r>
  <r>
    <n v="4"/>
    <s v="DGPCYN - 031 - 1556 - 2022 "/>
    <n v="9901443474"/>
    <s v="HECTOR ROLANDO GOMEZ SIMILIAN"/>
    <x v="1"/>
    <n v="31"/>
    <n v="72.540000000000006"/>
    <n v="2248.7400000000002"/>
    <n v="8704.8000000000011"/>
    <n v="4"/>
    <x v="0"/>
    <n v="1760"/>
    <n v="1510"/>
    <n v="250"/>
    <n v="4043.7400000000002"/>
    <n v="1240.4000000000001"/>
    <n v="1223.4082191780822"/>
    <n v="65.753424657534239"/>
    <n v="15884.800000000001"/>
    <n v="18414.361643835618"/>
    <n v="183.24"/>
    <m/>
    <n v="10"/>
    <m/>
    <n v="586.28"/>
    <n v="779.52"/>
    <n v="3264.2200000000003"/>
    <n v="1000"/>
  </r>
  <r>
    <n v="5"/>
    <s v="DGPCYN - 031 - 1557 - 2022 "/>
    <n v="9901443814"/>
    <s v="LUIS ALBERTO DE JESÚS LÓPEZ CRUZ"/>
    <x v="5"/>
    <n v="31"/>
    <n v="71.400000000000006"/>
    <n v="2213.4"/>
    <n v="8568"/>
    <n v="4"/>
    <x v="0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6"/>
    <s v="DGPCYN - 031 - 1558 - 2022 "/>
    <n v="9901443275"/>
    <s v="LUIS FELIPE CUYÁN YUPE"/>
    <x v="8"/>
    <n v="31"/>
    <n v="78.25"/>
    <n v="2425.75"/>
    <n v="9390"/>
    <n v="4"/>
    <x v="0"/>
    <n v="1760"/>
    <n v="1510"/>
    <n v="250"/>
    <n v="4220.75"/>
    <n v="1297.5"/>
    <n v="1279.7260273972604"/>
    <n v="65.753424657534239"/>
    <n v="16570"/>
    <n v="19212.979452054795"/>
    <n v="191.79"/>
    <m/>
    <n v="10"/>
    <m/>
    <n v="1435.97"/>
    <n v="1637.76"/>
    <n v="2582.9899999999998"/>
    <n v="1000"/>
  </r>
  <r>
    <n v="7"/>
    <s v="DGPCYN - 031 - 1559 - 2022 "/>
    <n v="9901443668"/>
    <s v="MELESIO GUZMAN ALFARO"/>
    <x v="1"/>
    <n v="31"/>
    <n v="72.540000000000006"/>
    <n v="2248.7400000000002"/>
    <n v="8704.8000000000011"/>
    <n v="4"/>
    <x v="0"/>
    <n v="1760"/>
    <n v="1510"/>
    <n v="250"/>
    <n v="4043.7400000000002"/>
    <n v="1240.4000000000001"/>
    <n v="1223.4082191780822"/>
    <n v="65.753424657534239"/>
    <n v="15884.800000000001"/>
    <n v="18414.361643835618"/>
    <n v="183.24"/>
    <m/>
    <n v="10"/>
    <m/>
    <n v="1767.95"/>
    <n v="1961.19"/>
    <n v="2082.5500000000002"/>
    <n v="1000"/>
  </r>
  <r>
    <n v="8"/>
    <s v="DGPCYN - 031 - 1560 - 2022 "/>
    <n v="9901443624"/>
    <s v="ANDDY OMAR AGUIRRE (ÚNICO APELLIDO)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9"/>
    <s v="DGPCYN - 031 - 1561 - 2022 "/>
    <n v="9901451105"/>
    <s v="CARLOS MANUEL ARAGÓN SALAMÁ "/>
    <x v="12"/>
    <n v="31"/>
    <n v="72.540000000000006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10"/>
    <s v="DGPCYN - 031 - 1562 - 2022 "/>
    <n v="9901443521"/>
    <s v="DENNIS ALFREDO GÓMEZ PACHECO"/>
    <x v="13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n v="10"/>
    <m/>
    <m/>
    <n v="196.19"/>
    <n v="3908.65"/>
    <n v="1000"/>
  </r>
  <r>
    <n v="11"/>
    <s v="DGPCYN - 031 - 1563 - 2022 "/>
    <n v="9901468416"/>
    <s v="EDGAR ARMANDO DE JESÚS PEDROZA MORALES"/>
    <x v="12"/>
    <n v="31"/>
    <n v="72.540000000000006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12"/>
    <s v="DGPCYN - 031 - 1564 - 2022 "/>
    <n v="9901451037"/>
    <s v="ENEIDA MARELI RODRIGUEZ MORALES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3"/>
    <s v="DGPCYN - 031 - 1565 - 2022 "/>
    <n v="9901468432"/>
    <s v="EDRAS ESTUARDO GALICIA OSUNA"/>
    <x v="12"/>
    <n v="31"/>
    <n v="72.540000000000006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1.55"/>
    <n v="3827.19"/>
    <n v="1000"/>
  </r>
  <r>
    <n v="14"/>
    <s v="DGPCYN - 031 - 1566 - 2022 "/>
    <n v="9901443625"/>
    <s v="GUADALUPE YESSENIA TRINIDAD LÓP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5"/>
    <s v="DGPCYN - 031 - 1567 - 2022 "/>
    <n v="9901443865"/>
    <s v="HILDA SOLEDAD BATEN VASQU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953.71"/>
    <n v="1143.55"/>
    <n v="2829.8500000000004"/>
    <n v="1000"/>
  </r>
  <r>
    <n v="16"/>
    <s v="DGPCYN - 031 - 1568 - 2022 "/>
    <n v="9901442468"/>
    <s v="JAIME VITALITO CHOC SALAM 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816.63"/>
    <n v="1996.47"/>
    <n v="1976.93"/>
    <n v="1000"/>
  </r>
  <r>
    <n v="17"/>
    <s v="DGPCYN - 031 - 1569 - 2022 "/>
    <n v="9901443836"/>
    <s v="JÓCTAN RAFAEL LOPEZ VALENZUELA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8"/>
    <s v="DGPCYN - 031 - 1570 - 2022 "/>
    <n v="9901443286"/>
    <s v="JORGE BRAYAN ESPINO SÁNCHEZ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9"/>
    <s v="DGPCYN - 031 - 1572 - 2022 "/>
    <n v="9901443237"/>
    <s v="JOSE FRANCISCO GARCIA CHUN"/>
    <x v="14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n v="10"/>
    <m/>
    <m/>
    <n v="199.11"/>
    <n v="3966.18"/>
    <n v="1000"/>
  </r>
  <r>
    <n v="20"/>
    <s v="DGPCYN - 031 - 1573 - 2022 "/>
    <n v="9901443328"/>
    <s v="JOSÉ LUIS PÉREZ MIRANDA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21"/>
    <s v="DGPCYN - 031 - 1574 - 2022 "/>
    <n v="9901443782"/>
    <s v="JOSUÉ DANIEL SINEY RAMÍR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22"/>
    <s v="DGPCYN - 031 - 1575 - 2022 "/>
    <n v="9901451035"/>
    <s v="KARLA MERARY SIERRA JUI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288.99"/>
    <n v="1468.83"/>
    <n v="2504.5700000000002"/>
    <n v="1000"/>
  </r>
  <r>
    <n v="23"/>
    <s v="DGPCYN - 031 - 1576 - 2022 "/>
    <n v="9901443329"/>
    <s v="KEVIN ARNOLDO JUÁREZ TORRES"/>
    <x v="13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n v="10"/>
    <m/>
    <m/>
    <n v="196.19"/>
    <n v="3908.65"/>
    <n v="1000"/>
  </r>
  <r>
    <n v="24"/>
    <s v="DGPCYN - 031 - 1577 - 2022 "/>
    <n v="9901443037"/>
    <s v="LIFNI JOSUÉ LÓPEZ (ÚNICO APELLIDO)"/>
    <x v="13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n v="10"/>
    <m/>
    <m/>
    <n v="196.19"/>
    <n v="3908.65"/>
    <n v="1000"/>
  </r>
  <r>
    <n v="25"/>
    <s v="DGPCYN - 031 - 1578 - 2022 "/>
    <n v="9901443327"/>
    <s v="LISETT ALEJANDRA MARTÍNEZ RAMÍR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382.54"/>
    <n v="1562.3799999999999"/>
    <n v="2411.0200000000004"/>
    <n v="1000"/>
  </r>
  <r>
    <n v="26"/>
    <s v="DGPCYN - 031 - 1579 - 2022 "/>
    <n v="9901443838"/>
    <s v="NERY AROLDO VALENZUELA GONZÁLEZ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27"/>
    <s v="DGPCYN - 031 - 1580 - 2022 "/>
    <n v="9901443835"/>
    <s v="OSCAR AUGUSTO MEDRANO LEIVA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575.95000000000005"/>
    <n v="765.79000000000008"/>
    <n v="3207.61"/>
    <n v="1000"/>
  </r>
  <r>
    <n v="28"/>
    <s v="DGPCYN - 031 - 1581 - 2022 "/>
    <n v="9901443670"/>
    <s v="OSCAR DOMINGO LÓPEZ SEGURA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1158.3900000000001"/>
    <n v="1348.23"/>
    <n v="2625.17"/>
    <n v="1000"/>
  </r>
  <r>
    <n v="29"/>
    <s v="DGPCYN - 031 - 1582 - 2022 "/>
    <n v="9901395576"/>
    <s v="SALOMÓN ATAHUALPA GARCÍA AGUIRRE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30"/>
    <s v="DGPCYN - 031 - 1583 - 2022 "/>
    <n v="9901443630"/>
    <s v="WILDERSON ANTONIO LOPEZ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892.45"/>
    <n v="1082.29"/>
    <n v="2891.11"/>
    <n v="1000"/>
  </r>
  <r>
    <n v="31"/>
    <s v="DGPCYN - 031 - 1584 - 2022 "/>
    <n v="9901443553"/>
    <s v="WILLIAM ESTUARDO PALMA HERRERA"/>
    <x v="14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n v="10"/>
    <m/>
    <m/>
    <n v="199.11"/>
    <n v="3966.18"/>
    <n v="1000"/>
  </r>
  <r>
    <n v="32"/>
    <s v="DGPCYN - 031 - 1585 - 2022 "/>
    <n v="9901451102"/>
    <s v="WILSON DENNIS BAUTISTA POPOL"/>
    <x v="12"/>
    <n v="31"/>
    <n v="72.540000000000006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n v="1372.79"/>
    <n v="1554.34"/>
    <n v="2454.4000000000005"/>
    <n v="1000"/>
  </r>
  <r>
    <n v="33"/>
    <s v="DGPCYN - 031 - 1586 - 2022 "/>
    <n v="9901451030"/>
    <s v="YEINY HOJANA ROSALES GARZA 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34"/>
    <s v="DGPCYN - 031 - 1587 - 2022 "/>
    <n v="9901451033"/>
    <s v="YESSICA LORENA DEL VALLE SANCHINELLI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1512.41"/>
    <n v="1702.25"/>
    <n v="2271.15"/>
    <n v="1000"/>
  </r>
  <r>
    <n v="35"/>
    <s v="DGPCYN - 031 - 1588 - 2022 "/>
    <n v="990094861"/>
    <s v="VICTOR HUGO DIONICIO RODRIGU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36"/>
    <s v="DGPCYN - 031 - 1589 - 2022 "/>
    <n v="9901520506"/>
    <s v="MARCOS DANIEL ALEJANDRO REINA MUÑOZ"/>
    <x v="16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37"/>
    <s v="DGPCYN - 031 - 1590 - 2022 "/>
    <n v="9901337709"/>
    <s v="JOSÉ CARLOS CRUZ CHAMALÉ"/>
    <x v="16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38"/>
    <s v="DGPCYN - 031 - 1019 - 2022 "/>
    <n v="9901451106"/>
    <s v="ANTONIO VÁSQUEZ CHÁVEZ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39"/>
    <s v="DGPCYN - 031 - 1020 - 2022 "/>
    <n v="9901468431"/>
    <s v="BAYRON RUIZ BARRERA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0"/>
    <s v="DGPCYN - 031 - 1021 - 2022 "/>
    <n v="9901443990"/>
    <s v="JOÉL RUBÉN CHIGUICHÓN GÓMEZ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1"/>
    <s v="DGPCYN - 031 - 1022 - 2022 "/>
    <n v="9901451094"/>
    <s v="BERNABÉ XUYÁ MONROY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2"/>
    <s v="DGPCYN - 031 - 1023 - 2022 "/>
    <n v="9901443287"/>
    <s v="ENCARNACIÓN PÉREZ LÓPEZ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3"/>
    <s v="DGPCYN - 031 - 1024 - 2022 "/>
    <n v="9901442552"/>
    <s v="EUGENIO ALVARADO CUXÚN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4"/>
    <s v="DGPCYN - 031 - 1025 - 2022 "/>
    <n v="9901563537"/>
    <s v="LUIS FERNANDO LÓPEZ PÉREZ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5"/>
    <s v="DGPCYN - 031 - 1026 - 2022 "/>
    <n v="9901451098"/>
    <s v="LESTER ESTUARDO ROLDÁN CHÁVEZ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6"/>
    <s v="DGPCYN - 031 - 1027 - 2022 "/>
    <n v="9901451024"/>
    <s v="MANUEL HERLINDO COY XOL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7"/>
    <s v="DGPCYN - 031 - 1028 - 2022 "/>
    <n v="9901443572"/>
    <s v="LUIS ALBERTO ORDOÑEZ RENOJ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8"/>
    <s v="DGPCYN - 031 - 1029 - 2022 "/>
    <n v="9901450997"/>
    <s v="MARIO RENÉ CABRERA (ÚNICO APELLIDO)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49"/>
    <s v="DGPCYN - 031 - 1030 - 2022 "/>
    <n v="9901468445"/>
    <s v="OSCAR RENÉ MARTINEZ CARDONA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0"/>
    <s v="DGPCYN - 031 - 1031 - 2022 "/>
    <n v="9901468439"/>
    <s v="ROBERTO ACUTA CUCUL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1"/>
    <s v="DGPCYN - 031 - 1032 - 2022 "/>
    <n v="9901443389"/>
    <s v="SERGIO DIONICIO LÓPEZ MÉNDEZ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2"/>
    <s v="DGPCYN - 031 - 1033 - 2022 "/>
    <n v="9901468442"/>
    <s v="MARIO ROLANDO VALENZUELA DE LA ROSA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3"/>
    <s v="DGPCYN - 031 - 1034 - 2022 "/>
    <n v="9901443387"/>
    <s v="JORGE ANIBAL SANTOS HERNÁNDEZ 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4"/>
    <s v="DGPCYN - 031 - 1035 - 2022 "/>
    <n v="9901451077"/>
    <s v="MARCELO CHICOJ ZETE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5"/>
    <s v="DGPCYN - 031 - 1036 - 2022 "/>
    <n v="9901451040"/>
    <s v="DIEGO JACOBO POLANCO"/>
    <x v="14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6"/>
    <s v="DGPCYN - 031 - 1037 - 2022 "/>
    <n v="9901468410"/>
    <s v="JOSÉ LUCAS MÉNDEZ GÓMEZ "/>
    <x v="14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7"/>
    <s v="DGPCYN - 031 - 1038 - 2022 "/>
    <n v="9901563538"/>
    <s v="MARLON MANOLO BAUTISTA SURUY"/>
    <x v="14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58"/>
    <s v="DGPCYN - 031 - 1039 - 2022 "/>
    <n v="9901442500"/>
    <s v="ISABEL AQUINO OSCAL"/>
    <x v="17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59"/>
    <s v="DGPCYN - 031 - 1040 - 2022 "/>
    <n v="9901563540"/>
    <s v="JOSUÉ ESTUARDO VÁSQUEZ (ÚNICO APELLIDO)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0"/>
    <s v="DGPCYN - 031 - 1041 - 2022 "/>
    <n v="9901563542"/>
    <s v="JUANA MARITZA LINDO PÉR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1"/>
    <s v="DGPCYN - 031 - 1042 - 2022 "/>
    <n v="9901443562"/>
    <s v="AMALIA CAROLINA SOLORZANO ALDANA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2"/>
    <s v="DGPCYN - 031 - 1043 - 2022 "/>
    <n v="9901443811"/>
    <s v="NEMECIO AJCUC TOCAY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63"/>
    <s v="DGPCYN - 031 - 1044 - 2022 "/>
    <n v="9901563545"/>
    <s v="DORA ETELVINA REYES ROSALES DE MARTIN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4"/>
    <s v="DGPCYN - 031 - 1045 - 2022 "/>
    <n v="9901563547"/>
    <s v="JEFREY ENMANUEL LÓPEZ ALVIZURES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5"/>
    <s v="DGPCYN - 031 - 1046 - 2022 "/>
    <n v="9901563550"/>
    <s v="YANELÍN SÁNCHEZ URZÚA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6"/>
    <s v="DGPCYN - 031 - 1047 - 2022 "/>
    <n v="9901563552"/>
    <s v="MARÍA RENEÉ FERNANDA GONZÁLEZ FRANCO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7"/>
    <s v="DGPCYN - 031 - 1048 - 2022 "/>
    <n v="9901563554"/>
    <s v="ASTRID CAROLINA MUÑOZ VALENZUELA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8"/>
    <s v="DGPCYN - 031 - 1049 - 2022 "/>
    <n v="9901563555"/>
    <s v="JUAN ORLANDO MELENDEZ GUERRERO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9"/>
    <s v="DGPCYN - 031 - 1050 - 2022 "/>
    <n v="9901563556"/>
    <s v="HESTER DAMIÁN CAAL (ÚNICO APELLIDO)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0"/>
    <s v="DGPCYN - 031 - 1051 - 2022 "/>
    <n v="9901563557"/>
    <s v="LORENA RENEE PICÓN BERGES"/>
    <x v="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1"/>
    <s v="DGPCYN - 031 - 1052 - 2022 "/>
    <n v="9901443792"/>
    <s v="JOSÉ LUIS CHACÓN MENDOZA"/>
    <x v="18"/>
    <n v="31"/>
    <n v="75.64"/>
    <n v="2344.84"/>
    <n v="9076.7999999999993"/>
    <n v="4"/>
    <x v="4"/>
    <n v="1760"/>
    <n v="1510"/>
    <n v="250"/>
    <n v="4104.84"/>
    <n v="1259.7333333333333"/>
    <n v="1242.476712328767"/>
    <n v="65.753424657534239"/>
    <n v="16116.8"/>
    <n v="18684.763470319635"/>
    <n v="186.19"/>
    <m/>
    <m/>
    <m/>
    <m/>
    <n v="186.19"/>
    <n v="3918.65"/>
    <n v="1000"/>
  </r>
  <r>
    <n v="72"/>
    <s v="DGPCYN - 031 - 1053 - 2022 "/>
    <n v="9901563582"/>
    <s v="JUAN CARLOS PAREDES (ÚNICO APELLIDO)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73"/>
    <s v="DGPCYN - 031 - 1054 - 2022 "/>
    <n v="9901563585"/>
    <s v="ESTELA MARICRUZ OSORIO SALAZAR"/>
    <x v="16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74"/>
    <s v="DGPCYN - 031 - 1055 - 2022 "/>
    <n v="9901563588"/>
    <s v="BRENDA LETICIA CAN TELEGUARIO "/>
    <x v="16"/>
    <n v="31"/>
    <n v="80.86"/>
    <n v="2506.66"/>
    <n v="9703.2000000000007"/>
    <n v="4"/>
    <x v="4"/>
    <n v="1760"/>
    <n v="1510"/>
    <n v="250"/>
    <n v="4266.66"/>
    <n v="1311.9333333333334"/>
    <n v="1293.9616438356165"/>
    <n v="65.753424657534239"/>
    <n v="16743.2"/>
    <n v="19414.848401826486"/>
    <n v="194"/>
    <m/>
    <m/>
    <m/>
    <m/>
    <n v="194"/>
    <n v="4072.66"/>
    <n v="1000"/>
  </r>
  <r>
    <n v="75"/>
    <m/>
    <n v="9901570884"/>
    <s v="ERICK ARNOLDO PÉREZ BUSTAMANTE"/>
    <x v="15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76"/>
    <m/>
    <n v="9901570894"/>
    <s v="LILIAN MARISOL SUNÚN ZET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77"/>
    <m/>
    <n v="9901443501"/>
    <s v="GONZÁLO OTHONIEL MOLINA GONZÁLEZ"/>
    <x v="19"/>
    <n v="31"/>
    <n v="73.59"/>
    <n v="2281.29"/>
    <n v="8830.8000000000011"/>
    <n v="4"/>
    <x v="4"/>
    <n v="1760"/>
    <n v="1510"/>
    <n v="250"/>
    <n v="4041.29"/>
    <n v="1239.2333333333333"/>
    <n v="1222.2575342465752"/>
    <n v="65.753424657534239"/>
    <n v="15870.800000000001"/>
    <n v="18398.044292237446"/>
    <n v="183.12"/>
    <m/>
    <m/>
    <m/>
    <m/>
    <n v="183.12"/>
    <n v="3858.17"/>
    <n v="1000"/>
  </r>
  <r>
    <n v="78"/>
    <m/>
    <n v="9901575955"/>
    <s v="ISRAEL CHIQUITÓ JOJ"/>
    <x v="14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  <r>
    <n v="79"/>
    <m/>
    <n v="9901576037"/>
    <s v="MIGUEL ANTONIO LÓPEZ MÉNDEZ"/>
    <x v="14"/>
    <n v="31"/>
    <n v="77.59"/>
    <n v="2405.29"/>
    <n v="9310.8000000000011"/>
    <n v="4"/>
    <x v="4"/>
    <n v="1760"/>
    <n v="1510"/>
    <n v="250"/>
    <n v="4165.29"/>
    <n v="1279.2333333333333"/>
    <n v="1261.709589041096"/>
    <n v="65.753424657534239"/>
    <n v="16350.800000000001"/>
    <n v="18957.496347031967"/>
    <n v="189.11"/>
    <m/>
    <m/>
    <m/>
    <m/>
    <n v="189.11"/>
    <n v="3976.18"/>
    <n v="100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19">
  <r>
    <n v="1"/>
    <s v="DGPCYN - 031 - 1400 - 2022 "/>
    <n v="9901443334"/>
    <s v="CARLOS SANIC LASTOR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n v="1204.81"/>
    <n v="1397.07"/>
    <n v="2626.33"/>
    <n v="1000"/>
  </r>
  <r>
    <n v="2"/>
    <s v="DGPCYN - 031 - 1401 - 2022 "/>
    <n v="9901443356"/>
    <s v="CÉSAR GUILLERMO FLORES RAMOS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3"/>
    <s v="DGPCYN - 031 - 1402 - 2022 "/>
    <n v="9901442564"/>
    <s v="CHANICO ROJAS TIPAZ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4"/>
    <s v="DGPCYN - 031 - 1403 - 2022 "/>
    <n v="9901443236"/>
    <s v="ELIAS SIRÍN TELÓN"/>
    <x v="1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5"/>
    <s v="DGPCYN - 031 - 1404 - 2022 "/>
    <n v="9901443042"/>
    <s v="JULIO LEONEL REYNOSO CANIZ"/>
    <x v="0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6"/>
    <s v="DGPCYN - 031 - 1405 - 2022 "/>
    <n v="9901442290"/>
    <s v="NICOLÁS SALVADOR LOARCA LAYNES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7"/>
    <s v="DGPCYN - 031 - 1406 - 2022 "/>
    <n v="9901442318"/>
    <s v="SALVADOR ALVAREZ XIQUIN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8"/>
    <s v="DGPCYN - 031 - 1407 - 2022 "/>
    <n v="9901442200"/>
    <s v="VÍCENTE YAC AMPEREZ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9"/>
    <m/>
    <n v="9901563300"/>
    <s v="MARÍA FELIPE MORALES DE MÉNDEZ"/>
    <x v="1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m/>
    <m/>
    <m/>
    <m/>
    <m/>
    <n v="0"/>
    <n v="3973.4"/>
    <n v="1000"/>
  </r>
  <r>
    <n v="1"/>
    <s v="DGPCYN - 031 - 1409 - 2022 "/>
    <n v="9901442266"/>
    <s v="FELICIANO TIAN TOC"/>
    <x v="2"/>
    <n v="31"/>
    <n v="74.63"/>
    <n v="2313.5299999999997"/>
    <n v="8955.5999999999985"/>
    <n v="4"/>
    <x v="0"/>
    <n v="1760"/>
    <n v="1510"/>
    <n v="250"/>
    <n v="4123.53"/>
    <n v="1266.3"/>
    <n v="1248.9534246575342"/>
    <n v="65.753424657534239"/>
    <n v="16195.599999999999"/>
    <n v="18776.606849315067"/>
    <n v="187.09"/>
    <m/>
    <n v="10"/>
    <m/>
    <n v="1370.89"/>
    <n v="1567.98"/>
    <n v="2555.5499999999997"/>
    <n v="1000"/>
  </r>
  <r>
    <n v="2"/>
    <s v="DGPCYN - 031 - 1410 - 2022 "/>
    <n v="9901442267"/>
    <s v="FERMÁN REYES YEGUECH"/>
    <x v="2"/>
    <n v="31"/>
    <n v="74.63"/>
    <n v="2313.5299999999997"/>
    <n v="8955.5999999999985"/>
    <n v="4"/>
    <x v="0"/>
    <n v="1760"/>
    <n v="1510"/>
    <n v="250"/>
    <n v="4123.53"/>
    <n v="1266.3"/>
    <n v="1248.9534246575342"/>
    <n v="65.753424657534239"/>
    <n v="16195.599999999999"/>
    <n v="18776.606849315067"/>
    <n v="187.09"/>
    <m/>
    <n v="10"/>
    <m/>
    <m/>
    <n v="197.09"/>
    <n v="3926.4399999999996"/>
    <n v="1000"/>
  </r>
  <r>
    <n v="3"/>
    <s v="DGPCYN - 031 - 1411 - 2022 "/>
    <n v="9901442323"/>
    <s v="ISABEL COSTOP JUCHÁN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2022.49"/>
    <n v="2215.9499999999998"/>
    <n v="1832.4500000000003"/>
    <n v="1000"/>
  </r>
  <r>
    <n v="4"/>
    <s v="DGPCYN - 031 - 1413 - 2022 "/>
    <n v="9901442324"/>
    <s v="JOSÉ TZAJ CUMES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626.09"/>
    <n v="1819.55"/>
    <n v="2228.8500000000004"/>
    <n v="1000"/>
  </r>
  <r>
    <n v="5"/>
    <s v="DGPCYN - 031 - 1414 - 2022 "/>
    <n v="9901443348"/>
    <s v="LEANDRO JIATZ COLÓ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329.7"/>
    <n v="1523.16"/>
    <n v="2525.2399999999998"/>
    <n v="1000"/>
  </r>
  <r>
    <n v="6"/>
    <s v="DGPCYN - 031 - 1415 - 2022 "/>
    <n v="9901442268"/>
    <s v="LUCIANO TZIÁN TZAJ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n v="347.98"/>
    <n v="540.24"/>
    <n v="3483.16"/>
    <n v="1000"/>
  </r>
  <r>
    <n v="7"/>
    <s v="DGPCYN - 031 - 1416 - 2022 "/>
    <n v="9901442322"/>
    <s v="MANUEL DE JESÚS MENDEZ RAMOS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204.71"/>
    <n v="1398.17"/>
    <n v="2650.23"/>
    <n v="1000"/>
  </r>
  <r>
    <n v="8"/>
    <s v="DGPCYN - 031 - 1417 - 2022 "/>
    <n v="9901442265"/>
    <s v="MARCELO LARES MAJZUL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n v="1626.09"/>
    <n v="1818.35"/>
    <n v="2205.0500000000002"/>
    <n v="1000"/>
  </r>
  <r>
    <n v="9"/>
    <s v="DGPCYN - 031 - 1418 - 2022 "/>
    <n v="9901442321"/>
    <s v="OBISPO CÚMES AJMÁC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356.75"/>
    <n v="1550.21"/>
    <n v="2498.19"/>
    <n v="1000"/>
  </r>
  <r>
    <n v="10"/>
    <s v="DGPCYN - 031 - 1419 - 2022 "/>
    <n v="9901443693"/>
    <s v="PABLO CÚMES AJMÁC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173.53"/>
    <n v="1366.99"/>
    <n v="2681.41"/>
    <n v="1000"/>
  </r>
  <r>
    <n v="11"/>
    <s v="DGPCYN - 031 - 1420 - 2022 "/>
    <n v="9901442255"/>
    <s v="ROBERTO NOE LUX PÉREZ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2"/>
    <s v="DGPCYN - 031 - 1421 - 2022 "/>
    <n v="9901443402"/>
    <s v="TOMÁS AJTZALÁN LÓPEZ"/>
    <x v="3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n v="974.57"/>
    <n v="1166.83"/>
    <n v="2856.57"/>
    <n v="1000"/>
  </r>
  <r>
    <n v="13"/>
    <s v="DGPCYN - 031 - 1422 - 2022 "/>
    <n v="9901443245"/>
    <s v="VICENTE PAJARITO VELASQUEZ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4"/>
    <s v="DGPCYN - 031 - 1423 - 2022 "/>
    <n v="9901498942"/>
    <s v="JUSTINIANO SIRÍN RAXJAL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m/>
    <m/>
    <m/>
    <n v="589.41399999999999"/>
    <n v="3383.9859999999999"/>
    <n v="1000"/>
  </r>
  <r>
    <n v="15"/>
    <s v="DGPCYN - 031 - 1424 - 2022 "/>
    <n v="9901532786"/>
    <s v="NOÉ NEFTALI LÓPEZ SIRIN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6"/>
    <s v="DGPCYN - 031 - 1425 - 2022 "/>
    <n v="9901532790"/>
    <s v="WILSON ESTUARDO RAXJAL LÓPEZ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"/>
    <s v="DGPCYN - 031 - 1426 - 2022 "/>
    <n v="9901443424"/>
    <s v="ADÁN PADILLA MORALES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n v="949.6"/>
    <m/>
    <n v="1143.06"/>
    <n v="2905.34"/>
    <n v="1000"/>
  </r>
  <r>
    <n v="2"/>
    <s v="DGPCYN - 031 - 1427 - 2022 "/>
    <n v="9901443471"/>
    <s v="ADRIÁN CHUNCHUN AJUCHÁN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3"/>
    <s v="DGPCYN - 031 - 1428 - 2022 "/>
    <n v="9901443926"/>
    <s v="EDWIN ADAN SOCOY SIS"/>
    <x v="0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4"/>
    <s v="DGPCYN - 031 - 1429 - 2022 "/>
    <n v="9901443340"/>
    <s v="EDY ORLANDO XICÓN TEJAXÚN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5"/>
    <s v="DGPCYN - 031 - 1430 - 2022 "/>
    <n v="9901442291"/>
    <s v="FERNANDO TEZAGÜIC CANOX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376.63"/>
    <n v="1570.0900000000001"/>
    <n v="2478.31"/>
    <n v="1000"/>
  </r>
  <r>
    <n v="6"/>
    <s v="DGPCYN - 031 - 1431 - 2022 "/>
    <n v="9901442335"/>
    <s v="FILIBERTO ARANA CASTAÑEDA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7"/>
    <s v="DGPCYN - 031 - 1432 - 2022 "/>
    <n v="9901443840"/>
    <s v="JAIRO ADEMIR TEJADA ALVARADO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8"/>
    <s v="DGPCYN - 031 - 1433 - 2022 "/>
    <n v="9901443615"/>
    <s v="JAYRO ISRAÉL CRÚZ RAMÍREZ"/>
    <x v="0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m/>
    <n v="604.95400000000006"/>
    <n v="3403.4459999999999"/>
    <n v="1000"/>
  </r>
  <r>
    <n v="9"/>
    <s v="DGPCYN - 031 - 1434 - 2022 "/>
    <n v="9901443819"/>
    <s v="LUIS CARDONA MARTINEZ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0"/>
    <s v="DGPCYN - 031 - 1435 - 2022 "/>
    <n v="9901484077"/>
    <s v="OSCAR RENÉ ALVAREZ CRÚZ"/>
    <x v="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1"/>
    <s v="DGPCYN - 031 - 1436 - 2022 "/>
    <n v="9901443580"/>
    <s v="RICARDO ANTONIO SERRANO ESTRADA"/>
    <x v="1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2"/>
    <s v="DGPCYN - 031 - 1437 - 2022 "/>
    <n v="9901443966"/>
    <s v="RIGOBERTO SIAN CANEL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3"/>
    <s v="DGPCYN - 031 - 1438 - 2022 "/>
    <n v="9901443591"/>
    <s v="SERGIO AUGUSTO PADILLA MORALES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4"/>
    <s v="DGPCYN - 031 - 1439 - 2022 "/>
    <n v="9901443400"/>
    <s v="WALTER CRISTOBAL SIS MORALES "/>
    <x v="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5"/>
    <s v="DGPCYN - 031 - 1440 - 2022 "/>
    <n v="9901442336"/>
    <s v="BYRON ARTURO ESTRADA (ÚNICO APELLIDO)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"/>
    <s v="DGPCYN - 031 - 1441 - 2022 "/>
    <n v="9901443752"/>
    <s v="DANIEL YOC JACOBO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"/>
    <s v="DGPCYN - 031 - 1442 - 2022 "/>
    <n v="9901443401"/>
    <s v="DENNISE GIRÓN QUEVEDO"/>
    <x v="0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m/>
    <n v="191.53"/>
    <n v="3816.87"/>
    <n v="1000"/>
  </r>
  <r>
    <n v="3"/>
    <s v="DGPCYN - 031 - 1444 - 2022 "/>
    <n v="9901442980"/>
    <s v="EFRAIN ALVUREZ ESTRADA"/>
    <x v="4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4"/>
    <s v="DGPCYN - 031 - 1445 - 2022 "/>
    <n v="9901442926"/>
    <s v="ENRIQUE ESTRADA GARCÍA"/>
    <x v="5"/>
    <n v="31"/>
    <n v="72.540000000000006"/>
    <n v="2248.7400000000002"/>
    <n v="8704.8000000000011"/>
    <n v="4"/>
    <x v="0"/>
    <n v="1760"/>
    <n v="1510"/>
    <n v="250"/>
    <n v="4058.7400000000002"/>
    <n v="1245.4000000000001"/>
    <n v="1228.3397260273973"/>
    <n v="65.753424657534239"/>
    <n v="15944.800000000001"/>
    <n v="18484.293150684935"/>
    <n v="183.96"/>
    <n v="418.96140000000003"/>
    <n v="10"/>
    <m/>
    <m/>
    <n v="612.92140000000006"/>
    <n v="3445.8186000000001"/>
    <n v="1000"/>
  </r>
  <r>
    <n v="5"/>
    <s v="DGPCYN - 031 - 1446 - 2022 "/>
    <n v="9901442736"/>
    <s v="GERMAN AGUILAR PICHILLÁ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"/>
    <s v="DGPCYN - 031 - 1447 - 2022 "/>
    <n v="9901451282"/>
    <s v="JESUS ESTRADA OSORIO"/>
    <x v="5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7"/>
    <s v="DGPCYN - 031 - 1448 - 2022 "/>
    <n v="9901442591"/>
    <s v="JOSÉ FELIPE GARCÍA (ÚNICO APELLIDO)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8"/>
    <s v="DGPCYN - 031 - 1449 - 2022 "/>
    <n v="9901442590"/>
    <s v="JOSÉ HUMBERTO ORIZABAL QUEVEDO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9"/>
    <s v="DGPCYN - 031 - 1451 - 2022 "/>
    <n v="9901442593"/>
    <s v="JULIO ROGELIO OSUNA ROMÁN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0"/>
    <s v="DGPCYN - 031 - 1452 - 2022 "/>
    <n v="9901442924"/>
    <s v="LÁZARO LÓPEZ Y LÓPEZ"/>
    <x v="3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950.53"/>
    <n v="1557.864"/>
    <n v="2465.5360000000001"/>
    <n v="1000"/>
  </r>
  <r>
    <n v="11"/>
    <s v="DGPCYN - 031 - 1454 - 2022 "/>
    <n v="9901442737"/>
    <s v="MARIO PICHILLA (ÚNICO APELLIDO)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2"/>
    <s v="DGPCYN - 031 - 1455 - 2022 "/>
    <n v="9901442738"/>
    <s v="MÉRITO ARTEMIO ESTRADA ROCA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3"/>
    <s v="DGPCYN - 031 - 1456 - 2022 "/>
    <n v="9901442308"/>
    <s v="PEDRO ZET SUTUJ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4"/>
    <s v="DGPCYN - 031 - 1457 - 2022 "/>
    <n v="9901442743"/>
    <s v="RAUL QUEVEDO CELIZ"/>
    <x v="5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15"/>
    <s v="DGPCYN - 031 - 1458 - 2022 "/>
    <n v="9901442981"/>
    <s v="RIGOBERTO ESTRADA GARCÍA"/>
    <x v="5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m/>
    <n v="616.88139999999999"/>
    <n v="3466.8586000000005"/>
    <n v="1000"/>
  </r>
  <r>
    <n v="16"/>
    <s v="DGPCYN - 031 - 1459 - 2022 "/>
    <n v="9901442739"/>
    <s v="TADEO AGUILAR GUICOY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7"/>
    <s v="DGPCYN - 031 - 1460 - 2022 "/>
    <n v="9901529654"/>
    <s v="EDGAR ODILIO CANÁ CÚN"/>
    <x v="6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"/>
    <s v="DGPCYN - 031 - 1462 - 2022 "/>
    <n v="9901443311"/>
    <s v="BERNARDO ROBERTO LÓPEZ LÓPEZ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2"/>
    <s v="DGPCYN - 031 - 1463 - 2022 "/>
    <n v="9901443349"/>
    <s v="CARLOS HELEODORO LÓPEZ FÉLIX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"/>
    <s v="DGPCYN - 031 - 1464 - 2022 "/>
    <n v="9901443190"/>
    <s v="DINORA GUILLERMINA RODRÍGUEZ LÓPEZ"/>
    <x v="1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m/>
    <m/>
    <m/>
    <n v="594.95400000000006"/>
    <n v="3413.4459999999999"/>
    <n v="1000"/>
  </r>
  <r>
    <n v="4"/>
    <s v="DGPCYN - 031 - 1465 - 2022 "/>
    <n v="9901443304"/>
    <s v="IRIS ONEYDA HERRERA CIFUENTES"/>
    <x v="1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5"/>
    <s v="DGPCYN - 031 - 1466 - 2022 "/>
    <n v="9901443699"/>
    <s v="ISMAEL PÉREZ VÁSQUEZ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6"/>
    <s v="DGPCYN - 031 - 1467 - 2022 "/>
    <n v="9901443669"/>
    <s v="JOSÉ ALFONSO VILLATORO VELÁSQUEZ"/>
    <x v="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7"/>
    <s v="DGPCYN - 031 - 1468 - 2022 "/>
    <n v="9901443335"/>
    <s v="JOSÉ MAGDALENO LÓPEZ GÓMEZ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8"/>
    <s v="DGPCYN - 031 - 1469 - 2022 "/>
    <n v="9901443445"/>
    <s v="JUAN CARLOS LÓPEZ RIVAS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9"/>
    <s v="DGPCYN - 031 - 1470 - 2022 "/>
    <n v="9901443989"/>
    <s v="LUIS ALFONSO VILLATORO VELÁSQUEZ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0"/>
    <s v="DGPCYN - 031 - 1471 - 2022 "/>
    <n v="9901442741"/>
    <s v="LUIS MANUEL PÉREZ VÁSQUEZ"/>
    <x v="0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10"/>
    <m/>
    <m/>
    <n v="604.95400000000006"/>
    <n v="3403.4459999999999"/>
    <n v="1000"/>
  </r>
  <r>
    <n v="11"/>
    <s v="DGPCYN - 031 - 1472 - 2022 "/>
    <n v="9901443678"/>
    <s v="MIGUEL ANGEL ALONZO MARTÍN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2"/>
    <s v="DGPCYN - 031 - 1473 - 2022 "/>
    <n v="9901443353"/>
    <s v="NERY CARLOS GÓMEZ (ÚNICO APELLIDO)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3"/>
    <s v="DGPCYN - 031 - 1474 - 2022 "/>
    <n v="9901532795"/>
    <s v="DANGLIN SLEYDER TOVAR MARTÍNEZ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4"/>
    <s v="DGPCYN - 031 - 1475 - 2022 "/>
    <n v="9901532772"/>
    <s v="JOSÉ ALBERTO RIVAS GALINDO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5"/>
    <s v="DGPCYN - 031 - 1476 - 2022 "/>
    <n v="9901533868"/>
    <s v="JONATAN ALEXANDER LÓPEZ LÓPEZ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6"/>
    <s v="DGPCYN - 031 - 1477 - 2022 "/>
    <n v="9901533866"/>
    <s v="ARNULFO ISRAEL HERNÁNDEZ LÓPEZ"/>
    <x v="0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7"/>
    <s v="DGPCYN - 031 - 214 - 2022 "/>
    <n v="9901546025"/>
    <s v="EVELYN XERESADA GONZÁLEZ GÓMEZ"/>
    <x v="7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8"/>
    <s v="DGPCYN - 031 - 215 - 2022 "/>
    <n v="9901546031"/>
    <s v="GERARDO FLORENTINO GÓMEZ RAMOS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"/>
    <s v="DGPCYN - 031 - 1369 - 2022 "/>
    <n v="9901442583"/>
    <s v="FRANCISCO LÓPEZ GUARDADO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n v="753.57"/>
    <n v="945.83"/>
    <n v="3077.57"/>
    <n v="1000"/>
  </r>
  <r>
    <n v="2"/>
    <s v="DGPCYN - 031 - 1370 - 2022 "/>
    <n v="9901442586"/>
    <s v="GREGORIO FRANCISCO GUILLERMO SANTA MARÍA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259.32"/>
    <n v="1866.654"/>
    <n v="2156.7460000000001"/>
    <n v="1000"/>
  </r>
  <r>
    <n v="3"/>
    <s v="DGPCYN - 031 - 1371 - 2022 "/>
    <n v="9901442305"/>
    <s v="JOSÉ MUCÚ POP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n v="1581.22"/>
    <n v="1773.48"/>
    <n v="2249.92"/>
    <n v="1000"/>
  </r>
  <r>
    <n v="4"/>
    <s v="DGPCYN - 031 - 1372 - 2022 "/>
    <n v="9901442304"/>
    <s v="MATEO CAC CHUB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5"/>
    <s v="DGPCYN - 031 - 1373 - 2022 "/>
    <n v="9901443157"/>
    <s v="WALTER MISRAIN ORTÍZ GUEVARA"/>
    <x v="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6"/>
    <s v="DGPCYN - 031 - 1374 - 2022 "/>
    <n v="9901442952"/>
    <s v="GILBERTO WALDEMAR OCHAETA CHÁN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"/>
    <s v="DGPCYN - 031 - 1478 - 2022 "/>
    <n v="9901443924"/>
    <s v="ABNER OVED DE LEÓN MARROQUÍN "/>
    <x v="3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2"/>
    <s v="DGPCYN - 031 - 1479 - 2022 "/>
    <n v="9901442932"/>
    <s v="ANGEL MIGUEL ORTIZ ORELLANA"/>
    <x v="5"/>
    <n v="31"/>
    <n v="72.540000000000006"/>
    <n v="2248.7400000000002"/>
    <n v="8704.8000000000011"/>
    <n v="4"/>
    <x v="4"/>
    <n v="1760"/>
    <n v="1510"/>
    <n v="250"/>
    <n v="4008.7400000000002"/>
    <n v="1228.7333333333333"/>
    <n v="1211.9013698630138"/>
    <n v="65.753424657534239"/>
    <n v="15744.800000000001"/>
    <n v="18251.188127853882"/>
    <n v="181.55"/>
    <n v="413.46140000000003"/>
    <n v="10"/>
    <m/>
    <n v="1402.27"/>
    <n v="2007.2814000000001"/>
    <n v="2001.4586000000002"/>
    <n v="1000"/>
  </r>
  <r>
    <n v="3"/>
    <s v="DGPCYN - 031 - 1480 - 2022 "/>
    <n v="9901442919"/>
    <s v="CARLOS ENRIQUE ASIG LÓPEZ"/>
    <x v="0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n v="930.85"/>
    <n v="1793.53"/>
    <n v="3323.7939999999999"/>
    <n v="649.60600000000022"/>
    <n v="1000"/>
  </r>
  <r>
    <n v="4"/>
    <s v="DGPCYN - 031 - 1481 - 2022 "/>
    <n v="9901442754"/>
    <s v="CÉSAR ANIBAL CASTILLO DÍAZ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5"/>
    <s v="DGPCYN - 031 - 1482 - 2022 "/>
    <n v="9901442758"/>
    <s v="CUPERTINO HERRERA HERNÁNDEZ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"/>
    <s v="DGPCYN - 031 - 1483 - 2022 "/>
    <n v="9901442747"/>
    <s v="CUPERTINO HERRERA RODRÍGUEZ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7"/>
    <s v="DGPCYN - 031 - 1484 - 2022 "/>
    <n v="9901442763"/>
    <s v="EDGAR ARNOLDO CHÓ CASTRO"/>
    <x v="8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741.38"/>
    <n v="1934.8400000000001"/>
    <n v="2113.56"/>
    <n v="1000"/>
  </r>
  <r>
    <n v="8"/>
    <s v="DGPCYN - 031 - 1485 - 2022 "/>
    <n v="9901442766"/>
    <s v="EDGAR OSWALDO ORTÍZ VARGAS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787.51"/>
    <n v="2398.7939999999999"/>
    <n v="1649.6060000000002"/>
    <n v="1000"/>
  </r>
  <r>
    <n v="9"/>
    <s v="DGPCYN - 031 - 1486 - 2022 "/>
    <n v="9901442765"/>
    <s v="EDUARDO ORTÍZ ORELLANA"/>
    <x v="5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871.56"/>
    <n v="2066.73"/>
    <n v="2017.0100000000002"/>
    <n v="1000"/>
  </r>
  <r>
    <n v="10"/>
    <s v="DGPCYN - 031 - 1487 - 2022 "/>
    <n v="9901442931"/>
    <s v="EDWIN GEOVANNI ORTEGA LACK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n v="3658.56"/>
    <n v="3850.8199999999997"/>
    <n v="172.58000000000038"/>
    <n v="1000"/>
  </r>
  <r>
    <n v="11"/>
    <s v="DGPCYN - 031 - 1488 - 2022 "/>
    <n v="9901442755"/>
    <s v="ELEODORO DE JESÚS SOLÍS DEL CID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2"/>
    <s v="DGPCYN - 031 - 1489 - 2022 "/>
    <n v="9901443435"/>
    <s v="ELISA REGINA MASAYA MANCILLA "/>
    <x v="1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3"/>
    <s v="DGPCYN - 031 - 1490 - 2022 "/>
    <n v="9901443886"/>
    <s v="ELVIN  GARCIA  FLORES"/>
    <x v="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4"/>
    <s v="DGPCYN - 031 - 1491 - 2022 "/>
    <n v="9901443701"/>
    <s v="ENRIQUE ARTIGA SIRIN"/>
    <x v="5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m/>
    <n v="195.17"/>
    <n v="3888.57"/>
    <n v="1000"/>
  </r>
  <r>
    <n v="15"/>
    <s v="DGPCYN - 031 - 1492 - 2022 "/>
    <n v="9901443425"/>
    <s v="ERIK ROBERTO MORALES BARRERA"/>
    <x v="9"/>
    <n v="31"/>
    <n v="78.25"/>
    <n v="2425.75"/>
    <n v="9390"/>
    <n v="4"/>
    <x v="1"/>
    <n v="1760"/>
    <n v="1510"/>
    <n v="250"/>
    <n v="4260.75"/>
    <n v="1310.8333333333333"/>
    <n v="1292.8767123287671"/>
    <n v="65.753424657534239"/>
    <n v="16730"/>
    <n v="19399.463470319632"/>
    <n v="193.72"/>
    <m/>
    <n v="10"/>
    <m/>
    <m/>
    <n v="203.72"/>
    <n v="4057.03"/>
    <n v="1000"/>
  </r>
  <r>
    <n v="16"/>
    <s v="DGPCYN - 031 - 1493 - 2022 "/>
    <n v="9901443199"/>
    <s v="GERMAN SAMUEL  CABRERA JUMIQUE"/>
    <x v="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n v="573.59"/>
    <n v="1173.0039999999999"/>
    <n v="2800.3960000000002"/>
    <n v="1000"/>
  </r>
  <r>
    <n v="17"/>
    <s v="DGPCYN - 031 - 1494 - 2022 "/>
    <n v="9901442767"/>
    <s v="HEGIDIO ANTONIO CHÓ RODRÍGUEZ"/>
    <x v="8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8"/>
    <s v="DGPCYN - 031 - 1495 - 2022 "/>
    <n v="9901442928"/>
    <s v="JACOBO ZACARÍAS (ÚNICO APELLIDO)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9"/>
    <s v="DGPCYN - 031 - 1496 - 2022 "/>
    <n v="9901442749"/>
    <s v="JOSÉ ANGEL PÉREZ CASTRO"/>
    <x v="8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2029.14"/>
    <n v="2222.6"/>
    <n v="1825.8000000000002"/>
    <n v="1000"/>
  </r>
  <r>
    <n v="20"/>
    <s v="DGPCYN - 031 - 1497 - 2022 "/>
    <n v="990097703"/>
    <s v="JUAN JOSÉ SOSA MORALES "/>
    <x v="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m/>
    <m/>
    <n v="1111.56"/>
    <n v="1700.9739999999999"/>
    <n v="2272.4260000000004"/>
    <n v="1000"/>
  </r>
  <r>
    <n v="21"/>
    <s v="DGPCYN - 031 - 1498 - 2022 "/>
    <n v="9901442753"/>
    <s v="JUAN RAMON MIJANGOS (ÚNICO APELLIDO)"/>
    <x v="8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458.79"/>
    <n v="1652.25"/>
    <n v="2396.15"/>
    <n v="1000"/>
  </r>
  <r>
    <n v="22"/>
    <s v="DGPCYN - 031 - 1499 - 2022 "/>
    <n v="9901442762"/>
    <s v="JULIO HUMBERTO HERRERA HERNÁNDEZ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3"/>
    <s v="DGPCYN - 031 - 1500 - 2022 "/>
    <n v="9901442759"/>
    <s v="JUVENTINO SÚCHITE LUCAS"/>
    <x v="8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458.79"/>
    <n v="1652.25"/>
    <n v="2396.15"/>
    <n v="1000"/>
  </r>
  <r>
    <n v="24"/>
    <s v="DGPCYN - 031 - 1501 - 2022 "/>
    <n v="9901442378"/>
    <s v="LUIS ALBERTO REVOLORIO ACEITUNO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25"/>
    <s v="DGPCYN - 031 - 1502 - 2022 "/>
    <n v="9901442757"/>
    <s v="MANUEL DE JESÚS BARAHONA (ÚNICO APELLIDO)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2075.0500000000002"/>
    <n v="2268.5100000000002"/>
    <n v="1779.8899999999999"/>
    <n v="1000"/>
  </r>
  <r>
    <n v="26"/>
    <s v="DGPCYN - 031 - 1503 - 2022 "/>
    <n v="9901442750"/>
    <s v="MANUEL GONZÁLEZ GARCIA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7"/>
    <s v="DGPCYN - 031 - 1504 - 2022 "/>
    <n v="9901442751"/>
    <s v="MIGUEL ANGEL ORTIZ ORELLANA"/>
    <x v="10"/>
    <n v="31"/>
    <n v="73.59"/>
    <n v="2281.29"/>
    <n v="8830.8000000000011"/>
    <n v="4"/>
    <x v="1"/>
    <n v="1760"/>
    <n v="1510"/>
    <n v="250"/>
    <n v="4116.29"/>
    <n v="1264.2333333333333"/>
    <n v="1246.9150684931508"/>
    <n v="65.753424657534239"/>
    <n v="16170.800000000001"/>
    <n v="18747.701826484019"/>
    <n v="186.74"/>
    <m/>
    <n v="10"/>
    <m/>
    <n v="1789.19"/>
    <n v="1985.93"/>
    <n v="2130.3599999999997"/>
    <n v="1000"/>
  </r>
  <r>
    <n v="28"/>
    <s v="DGPCYN - 031 - 1505 - 2022 "/>
    <n v="9901442764"/>
    <s v="NEHEMIAS DE JESÚS DAMIAN PÉREZ"/>
    <x v="3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156.8"/>
    <n v="1350.26"/>
    <n v="2698.1400000000003"/>
    <n v="1000"/>
  </r>
  <r>
    <n v="29"/>
    <s v="DGPCYN - 031 - 1506 - 2022 "/>
    <n v="9901442748"/>
    <s v="OBDULIO VALLE (ÚNICO APELLIDO)"/>
    <x v="8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30"/>
    <s v="DGPCYN - 031 - 1507 - 2022 "/>
    <n v="9901443702"/>
    <s v="PEDRO ANTONIO TOBAR SALGUERO"/>
    <x v="8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199.52"/>
    <n v="1392.98"/>
    <n v="2655.42"/>
    <n v="1000"/>
  </r>
  <r>
    <n v="31"/>
    <s v="DGPCYN - 031 - 1508 - 2022 "/>
    <n v="9901442930"/>
    <s v="REGINALDO CASTRO PÉREZ"/>
    <x v="0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m/>
    <n v="10"/>
    <m/>
    <n v="1877.52"/>
    <n v="2069.7799999999997"/>
    <n v="1953.6200000000003"/>
    <n v="1000"/>
  </r>
  <r>
    <n v="32"/>
    <s v="DGPCYN - 031 - 1509 - 2022 "/>
    <n v="9901442571"/>
    <s v="RENÉ MEJÍA MELCHOR"/>
    <x v="1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33"/>
    <s v="DGPCYN - 031 - 1510 - 2022 "/>
    <n v="9901442752"/>
    <s v="RIGOBERTO PINEDA BAYLÓN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329.33"/>
    <n v="1522.79"/>
    <n v="2525.61"/>
    <n v="1000"/>
  </r>
  <r>
    <n v="34"/>
    <s v="DGPCYN - 031 - 1511 - 2022 "/>
    <n v="9901442760"/>
    <s v="ROBERTO DÍAZ MÉNDEZ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3729.94"/>
    <n v="3923.4"/>
    <n v="125"/>
    <n v="1000"/>
  </r>
  <r>
    <n v="35"/>
    <s v="DGPCYN - 031 - 1512 - 2022 "/>
    <n v="9901442761"/>
    <s v="RUBÉN ALVAREZ CHACÓN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810.37"/>
    <n v="2003.83"/>
    <n v="2044.5700000000002"/>
    <n v="1000"/>
  </r>
  <r>
    <n v="36"/>
    <s v="DGPCYN - 031 - 1513 - 2022 "/>
    <n v="9901442756"/>
    <s v="VICENTE DAMIAN MANUEL"/>
    <x v="0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37"/>
    <s v="DGPCYN - 031 - 1514 - 2022 "/>
    <n v="9901443200"/>
    <s v="WILIAN NOÉ HERNÁNDEZ (ÚNICO APELLIDO)"/>
    <x v="3"/>
    <n v="31"/>
    <n v="71.400000000000006"/>
    <n v="2213.4"/>
    <n v="8568"/>
    <n v="4"/>
    <x v="2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38"/>
    <s v="DGPCYN - 031 - 1515 - 2022 "/>
    <n v="9901443014"/>
    <s v="YEIMY AMALFI ROJAS CORTÉZ"/>
    <x v="1"/>
    <n v="31"/>
    <n v="71.400000000000006"/>
    <n v="2213.4"/>
    <n v="8568"/>
    <n v="4"/>
    <x v="0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200">
  <r>
    <n v="1"/>
    <s v="DGPCYN - 031 - 1618 - 2022 "/>
    <n v="9901443390"/>
    <s v="ABNER LÓPEZ MORALES"/>
    <x v="0"/>
    <n v="31"/>
    <n v="75.64"/>
    <n v="2344.84"/>
    <n v="9076.7999999999993"/>
    <n v="4"/>
    <x v="0"/>
    <n v="1760"/>
    <n v="1510"/>
    <n v="250"/>
    <n v="4104.84"/>
    <n v="1259.7333333333333"/>
    <n v="1242.476712328767"/>
    <n v="65.753424657534239"/>
    <n v="16116.8"/>
    <n v="18684.763470319635"/>
    <n v="186.19"/>
    <m/>
    <n v="10"/>
    <m/>
    <m/>
    <n v="196.19"/>
    <n v="3908.65"/>
    <n v="1000"/>
  </r>
  <r>
    <n v="2"/>
    <s v="DGPCYN - 031 - 1619 - 2022 "/>
    <n v="9901443095"/>
    <s v="ABRAHAM PERALTA RAMÍRE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856.16"/>
    <n v="2049.62"/>
    <n v="1998.7800000000002"/>
    <n v="1000"/>
  </r>
  <r>
    <n v="3"/>
    <s v="DGPCYN - 031 - 1620 - 2022 "/>
    <n v="9901451148"/>
    <s v="ADOLFO CARRILLO LÓPEZ 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m/>
    <m/>
    <m/>
    <n v="589.41399999999999"/>
    <n v="3383.9859999999999"/>
    <n v="1000"/>
  </r>
  <r>
    <n v="4"/>
    <s v="DGPCYN - 031 - 1621 - 2022 "/>
    <n v="9901442845"/>
    <s v="ADOLFO CASTILLO PINED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3.42400000000004"/>
    <m/>
    <m/>
    <m/>
    <n v="595.68399999999997"/>
    <n v="3427.7160000000003"/>
    <n v="1000"/>
  </r>
  <r>
    <n v="5"/>
    <s v="DGPCYN - 031 - 1622 - 2022 "/>
    <n v="9901443205"/>
    <s v="ALBERTO HERNANDEZ ESQUIVEL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6"/>
    <s v="DGPCYN - 031 - 1623 - 2022 "/>
    <n v="9901443102"/>
    <s v="ALEJANDRO MACARIO LOPEZ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n v="1723.86"/>
    <n v="1917.82"/>
    <n v="2140.92"/>
    <n v="1000"/>
  </r>
  <r>
    <n v="7"/>
    <s v="DGPCYN - 031 - 1624 - 2022 "/>
    <n v="9901442626"/>
    <s v="ALEXANDER EXAU MORALES ESCOBAR 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0"/>
    <n v="913"/>
    <n v="1436.81"/>
    <n v="2944.7640000000001"/>
    <n v="1063.636"/>
    <n v="1000"/>
  </r>
  <r>
    <n v="8"/>
    <s v="DGPCYN - 031 - 1625 - 2022 "/>
    <n v="9901442837"/>
    <s v="ALFREDO DE JESÚS MORALES RODRÍGU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282.3800000000001"/>
    <n v="1464.64"/>
    <n v="2558.7600000000002"/>
    <n v="1000"/>
  </r>
  <r>
    <n v="9"/>
    <s v="DGPCYN - 031 - 1626 - 2022 "/>
    <n v="9901442909"/>
    <s v="ANASTACIO CALEB YAT CABRERA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3706.14"/>
    <n v="3898.3999999999996"/>
    <n v="125.00000000000045"/>
    <n v="1000"/>
  </r>
  <r>
    <n v="10"/>
    <s v="DGPCYN - 031 - 1627 - 2022 "/>
    <n v="9901443181"/>
    <s v="ANDREA GUADALUPE VÉLIZ CARÍA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442.79"/>
    <n v="1635.05"/>
    <n v="2388.3500000000004"/>
    <n v="1000"/>
  </r>
  <r>
    <n v="11"/>
    <s v="DGPCYN - 031 - 1628 - 2022 "/>
    <n v="9901443077"/>
    <s v="ANGEL CHÚN GUILLÉN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2"/>
    <s v="DGPCYN - 031 - 1630 - 2022 "/>
    <n v="9901442600"/>
    <s v="ARMANDO SÁNCHEZ TORRES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n v="1481.22"/>
    <n v="1675.18"/>
    <n v="2383.5600000000004"/>
    <n v="1000"/>
  </r>
  <r>
    <n v="13"/>
    <s v="DGPCYN - 031 - 1632 - 2022 "/>
    <n v="9901442405"/>
    <s v="BENEDICTO GONZÁLEZ CÓRDOVA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4"/>
    <s v="DGPCYN - 031 - 1633 - 2022 "/>
    <n v="9901442616"/>
    <s v="BLANCA DAMARÍS PÉREZ TZUL"/>
    <x v="2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5"/>
    <s v="DGPCYN - 031 - 1634 - 2022 "/>
    <n v="9901443081"/>
    <s v="BLAS ANTONIO OCHAETA SALA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6"/>
    <s v="DGPCYN - 031 - 1635 - 2022 "/>
    <n v="9901443064"/>
    <s v="CARLOS AMILCAR FAJARDO BARRIENTO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7"/>
    <s v="DGPCYN - 031 - 1636 - 2022 "/>
    <n v="9901442385"/>
    <s v="CARLOS ANTONIO PÉREZ LÓPEZ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741.38"/>
    <n v="1923.64"/>
    <n v="2099.7600000000002"/>
    <n v="1000"/>
  </r>
  <r>
    <n v="18"/>
    <s v="DGPCYN - 031 - 1637 - 2022 "/>
    <n v="9901443967"/>
    <s v="CARLOS ENRIQUE CHAVEZ ABRÉGO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m/>
    <m/>
    <m/>
    <n v="181.53"/>
    <n v="3826.87"/>
    <n v="1000"/>
  </r>
  <r>
    <n v="19"/>
    <s v="DGPCYN - 031 - 1638 - 2022 "/>
    <n v="9901477312"/>
    <s v="CARLOS ENRIQUE MENDEZ GALAN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m/>
    <m/>
    <m/>
    <n v="589.41399999999999"/>
    <n v="3383.9859999999999"/>
    <n v="1000"/>
  </r>
  <r>
    <n v="20"/>
    <s v="DGPCYN - 031 - 1639 - 2022 "/>
    <n v="9901443092"/>
    <s v="CARLOS HIRAM ALVARADO CONTRERAS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21"/>
    <s v="DGPCYN - 031 - 1640 - 2022 "/>
    <n v="9901443763"/>
    <s v="CARLOS HUMBERTO REYES GARCÍ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220.97"/>
    <n v="1403.23"/>
    <n v="2620.17"/>
    <n v="1000"/>
  </r>
  <r>
    <n v="22"/>
    <s v="DGPCYN - 031 - 1641 - 2022 "/>
    <n v="9901443757"/>
    <s v="CARLOS OCTAVIO TRUJILLO PACHECO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898.88"/>
    <n v="2081.1400000000003"/>
    <n v="1942.2599999999998"/>
    <n v="1000"/>
  </r>
  <r>
    <n v="23"/>
    <s v="DGPCYN - 031 - 1642 - 2022 "/>
    <n v="9901442999"/>
    <s v="CATALINO LÓPEZ AGUIRRE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24"/>
    <s v="DGPCYN - 031 - 1643 - 2022 "/>
    <n v="9901442612"/>
    <s v="CÉSAR RODRÍGUEZ AGUILAR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m/>
    <m/>
    <m/>
    <n v="183.96"/>
    <n v="3874.78"/>
    <n v="1000"/>
  </r>
  <r>
    <n v="25"/>
    <s v="DGPCYN - 031 - 1644 - 2022 "/>
    <n v="9901443091"/>
    <s v="CRUZ JAU (ÚNICO APELLIDO)"/>
    <x v="6"/>
    <n v="31"/>
    <n v="78.25"/>
    <n v="2425.75"/>
    <n v="9390"/>
    <n v="4"/>
    <x v="1"/>
    <n v="1760"/>
    <n v="1510"/>
    <n v="250"/>
    <n v="4260.75"/>
    <n v="1310.8333333333333"/>
    <n v="1292.8767123287671"/>
    <n v="65.753424657534239"/>
    <n v="16730"/>
    <n v="19399.463470319632"/>
    <n v="193.72"/>
    <n v="441.1825"/>
    <n v="10"/>
    <m/>
    <m/>
    <n v="644.90250000000003"/>
    <n v="3615.8474999999999"/>
    <n v="1000"/>
  </r>
  <r>
    <n v="26"/>
    <s v="DGPCYN - 031 - 1645 - 2022 "/>
    <n v="9901442904"/>
    <s v="DAVID QUIXCHÁN ENRIQUE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27"/>
    <s v="DGPCYN - 031 - 1646 - 2022 "/>
    <n v="9901134848"/>
    <s v="DEYBIN HUMBERTO GUZMÁN ORELLANA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683.33"/>
    <n v="1863.1699999999998"/>
    <n v="2110.2300000000005"/>
    <n v="1000"/>
  </r>
  <r>
    <n v="28"/>
    <s v="DGPCYN - 031 - 1647 - 2022 "/>
    <n v="9901442908"/>
    <s v="DIEGO HERNÁNDEZ (ÚNICO APELLIDO)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969.63"/>
    <n v="2576.9639999999999"/>
    <n v="1446.4360000000001"/>
    <n v="1000"/>
  </r>
  <r>
    <n v="29"/>
    <s v="DGPCYN - 031 - 1648 - 2022 "/>
    <n v="9901443106"/>
    <s v="DIEGO JOSÉ BARRERA JURADO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23.37"/>
    <n v="1915.6299999999999"/>
    <n v="2107.7700000000004"/>
    <n v="1000"/>
  </r>
  <r>
    <n v="30"/>
    <s v="DGPCYN - 031 - 1649 - 2022 "/>
    <n v="9901443063"/>
    <s v="DOUGLAS YOVANI MELÉNDEZ CABRERA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31"/>
    <s v="DGPCYN - 031 - 1650 - 2022 "/>
    <n v="9901442353"/>
    <s v="EDGAR ROBERTO LÓPEZ GUZMAN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926.36"/>
    <n v="1119.82"/>
    <n v="2928.58"/>
    <n v="1000"/>
  </r>
  <r>
    <n v="32"/>
    <s v="DGPCYN - 031 - 1651 - 2022 "/>
    <n v="9901442613"/>
    <s v="EDGAR ROSENDO REYES RODRÍGUEZ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n v="418.96140000000003"/>
    <n v="10"/>
    <m/>
    <m/>
    <n v="612.92140000000006"/>
    <n v="3445.8186000000001"/>
    <n v="1000"/>
  </r>
  <r>
    <n v="33"/>
    <s v="DGPCYN - 031 - 1652 - 2022 "/>
    <n v="9901443908"/>
    <s v="EDWIN NOLBERTO OCHAETA  (ÚNICO APELLIDO)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850.35"/>
    <n v="2042.61"/>
    <n v="1980.7900000000002"/>
    <n v="1000"/>
  </r>
  <r>
    <n v="34"/>
    <s v="DGPCYN - 031 - 1653 - 2022 "/>
    <n v="9901442676"/>
    <s v="EFRAÍN MAYEN ESTRADA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35"/>
    <s v="DGPCYN - 031 - 1654 - 2022 "/>
    <n v="9901442402"/>
    <s v="ELÍAS CASTILLO PINEDA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499.99"/>
    <n v="1111.2740000000001"/>
    <n v="2937.1260000000002"/>
    <n v="1000"/>
  </r>
  <r>
    <n v="36"/>
    <s v="DGPCYN - 031 - 1655 - 2022 "/>
    <n v="9901442276"/>
    <s v="ELIAS XOC ICHICH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963.05"/>
    <n v="2155.31"/>
    <n v="1868.0900000000001"/>
    <n v="1000"/>
  </r>
  <r>
    <n v="37"/>
    <s v="DGPCYN - 031 - 1656 - 2022 "/>
    <n v="9901442865"/>
    <s v="ELMER  HERNÁNDEZ HERRERA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237.06"/>
    <n v="1416.8999999999999"/>
    <n v="2556.5"/>
    <n v="1000"/>
  </r>
  <r>
    <n v="38"/>
    <s v="DGPCYN - 031 - 1657 - 2022 "/>
    <n v="9901469491"/>
    <s v="ELMER EMILIO BÁ FRANCO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067.73"/>
    <n v="1247.57"/>
    <n v="2725.83"/>
    <n v="1000"/>
  </r>
  <r>
    <n v="39"/>
    <s v="DGPCYN - 031 - 1658 - 2022 "/>
    <n v="9901443714"/>
    <s v="ELMER GABRIEL QUIXAJ MORALES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442.42"/>
    <n v="1634.68"/>
    <n v="2388.7200000000003"/>
    <n v="1000"/>
  </r>
  <r>
    <n v="40"/>
    <s v="DGPCYN - 031 - 1659 - 2022 "/>
    <n v="9901443220"/>
    <s v="ELSY MERARI ARANA SOLA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m/>
    <m/>
    <m/>
    <n v="589.41399999999999"/>
    <n v="3383.9859999999999"/>
    <n v="1000"/>
  </r>
  <r>
    <n v="41"/>
    <s v="DGPCYN - 031 - 1660 - 2022 "/>
    <n v="9901442881"/>
    <s v="EMÍLIANO BALDOMERO CORTEZ LAJUJ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42"/>
    <s v="DGPCYN - 031 - 1661 - 2022 "/>
    <n v="9901442617"/>
    <s v="ENRIQUE ALONZO ELIAS"/>
    <x v="7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n v="1803.34"/>
    <n v="1997.3"/>
    <n v="2061.4400000000005"/>
    <n v="1000"/>
  </r>
  <r>
    <n v="43"/>
    <s v="DGPCYN - 031 - 1662 - 2022 "/>
    <n v="9901442984"/>
    <s v="ERICK ANTONIO ESPAÑA MÉNDEZ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n v="0"/>
    <m/>
    <m/>
    <n v="594.95400000000006"/>
    <n v="3413.4459999999999"/>
    <n v="1000"/>
  </r>
  <r>
    <n v="44"/>
    <s v="DGPCYN - 031 - 1663 - 2022 "/>
    <n v="9901442217"/>
    <s v="ERICK GUILLERMO RAX CACAO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785.78"/>
    <n v="968.04"/>
    <n v="3055.36"/>
    <n v="1000"/>
  </r>
  <r>
    <n v="45"/>
    <s v="DGPCYN - 031 - 1664 - 2022 "/>
    <n v="9901442830"/>
    <s v="ERICK ROBERTO SÁNCHEZ ROMERO"/>
    <x v="8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820.64"/>
    <n v="2012.9"/>
    <n v="2010.5"/>
    <n v="1000"/>
  </r>
  <r>
    <n v="46"/>
    <s v="DGPCYN - 031 - 1665 - 2022 "/>
    <n v="9901443755"/>
    <s v="ERNESTO CAAL CAC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357"/>
    <n v="1539.26"/>
    <n v="2484.1400000000003"/>
    <n v="1000"/>
  </r>
  <r>
    <n v="47"/>
    <s v="DGPCYN - 031 - 1666 - 2022 "/>
    <n v="9901443085"/>
    <s v="ESBER GUILLERMO RIVERA LÓPE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48"/>
    <s v="DGPCYN - 031 - 1667 - 2022 "/>
    <n v="9901443065"/>
    <s v="ESDRAS NEHEMÍAS LUIS GARCÍA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235.52"/>
    <n v="1427.78"/>
    <n v="2595.62"/>
    <n v="1000"/>
  </r>
  <r>
    <n v="49"/>
    <s v="DGPCYN - 031 - 1668 - 2022 "/>
    <n v="9901442615"/>
    <s v="ESTANISLAO ANIBAL SUYÉN GONZÁL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50"/>
    <s v="DGPCYN - 031 - 1669 - 2022 "/>
    <n v="9901451151"/>
    <s v="EXEQUIEL PÉREZ CIFUENTES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2788.28"/>
    <n v="2978.1200000000003"/>
    <n v="995.27999999999975"/>
    <n v="1000"/>
  </r>
  <r>
    <n v="51"/>
    <s v="DGPCYN - 031 - 1670 - 2022 "/>
    <n v="9901442396"/>
    <s v="FELIPE FLORES VILLAVICENCIO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489.4"/>
    <n v="1682.8600000000001"/>
    <n v="2365.54"/>
    <n v="1000"/>
  </r>
  <r>
    <n v="52"/>
    <s v="DGPCYN - 031 - 1671 - 2022 "/>
    <n v="9901443084"/>
    <s v="FIDEL GARRIDO ASIG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696.57"/>
    <n v="1307.854"/>
    <n v="2740.5460000000003"/>
    <n v="1000"/>
  </r>
  <r>
    <n v="53"/>
    <s v="DGPCYN - 031 - 1672 - 2022 "/>
    <n v="9901442275"/>
    <s v="FRANCISCO CHÓC (ÚNICO APELLIDO)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12.64"/>
    <n v="1904.9"/>
    <n v="2118.5"/>
    <n v="1000"/>
  </r>
  <r>
    <n v="54"/>
    <s v="DGPCYN - 031 - 1673 - 2022 "/>
    <n v="9901442838"/>
    <s v="FRANCISCO CÓRDOVA GARCÍ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55"/>
    <s v="DGPCYN - 031 - 1674 - 2022 "/>
    <n v="9901442828"/>
    <s v="FRANCISCO CORTEZ ZAC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56"/>
    <s v="DGPCYN - 031 - 1675 - 2022 "/>
    <n v="9901443074"/>
    <s v="FRANCÍSCO FAJARDO BARRIENTOS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57"/>
    <s v="DGPCYN - 031 - 1676 - 2022 "/>
    <n v="9901442681"/>
    <s v="FRANCISCO JAVIER CATÚN CONTRERA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195.17"/>
    <n v="1387.43"/>
    <n v="2635.9700000000003"/>
    <n v="1000"/>
  </r>
  <r>
    <n v="58"/>
    <s v="DGPCYN - 031 - 1677 - 2022 "/>
    <n v="9901451143"/>
    <s v="FRANCISCO JAVIER CUPUL NAJERA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n v="1364.56"/>
    <n v="1544.3999999999999"/>
    <n v="2429"/>
    <n v="1000"/>
  </r>
  <r>
    <n v="59"/>
    <s v="DGPCYN - 031 - 1678 - 2022 "/>
    <n v="9901442400"/>
    <s v="FRANCISCO LADINO DÍA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60"/>
    <s v="DGPCYN - 031 - 1679 - 2022 "/>
    <n v="9901443069"/>
    <s v="FRANCISCO MEJÍA ALBIZÚRES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61"/>
    <s v="DGPCYN - 031 - 1680 - 2022 "/>
    <n v="9901442606"/>
    <s v="FRANCISCO MENDOZA PRIMERO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62"/>
    <s v="DGPCYN - 031 - 1681 - 2022 "/>
    <n v="980001549"/>
    <s v="FRANCISCO OLIVA TOBAR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63"/>
    <s v="DGPCYN - 031 - 1682 - 2022 "/>
    <n v="9901442618"/>
    <s v="FRANKLIN JOSUÉ JAU CATALÁN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64"/>
    <s v="DGPCYN - 031 - 1683 - 2022 "/>
    <n v="9901451145"/>
    <s v="GABRIELA EUNICE HERNÁNDEZ CONSTANZA 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65"/>
    <s v="DGPCYN - 031 - 1684 - 2022 "/>
    <n v="9901443110"/>
    <s v="GERARDO ARROYO SANDOVAL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986.63"/>
    <n v="1583.9639999999999"/>
    <n v="2439.4360000000001"/>
    <n v="1000"/>
  </r>
  <r>
    <n v="66"/>
    <s v="DGPCYN - 031 - 1685 - 2022 "/>
    <n v="9901443039"/>
    <s v="GERARDO FELIPE ESCOBAR MÉNDEZ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67"/>
    <s v="DGPCYN - 031 - 1686 - 2022 "/>
    <n v="9901443911"/>
    <s v="GERSON DANILO FLORES GARCÍ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540.66"/>
    <n v="2147.9940000000001"/>
    <n v="1875.4059999999999"/>
    <n v="1000"/>
  </r>
  <r>
    <n v="68"/>
    <s v="DGPCYN - 031 - 1687 - 2022 "/>
    <n v="9901443072"/>
    <s v="GERSON MANUEL DÍAZ GÓNGOR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851.25"/>
    <n v="2043.51"/>
    <n v="1979.89"/>
    <n v="1000"/>
  </r>
  <r>
    <n v="69"/>
    <s v="DGPCYN - 031 - 1688 - 2022 "/>
    <n v="9901443104"/>
    <s v="GILBERTO MORALES MORALE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1770.74"/>
    <n v="2368.0739999999996"/>
    <n v="1655.3260000000005"/>
    <n v="1000"/>
  </r>
  <r>
    <n v="70"/>
    <s v="DGPCYN - 031 - 1689 - 2022 "/>
    <n v="9901443044"/>
    <s v="GUILMAR EDUARDO CALATE HERNÁNDEZ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71"/>
    <s v="DGPCYN - 031 - 1690 - 2022 "/>
    <n v="9901443087"/>
    <s v="GONZALO SÁNCHEZ LÉMUS"/>
    <x v="4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871.81"/>
    <n v="1483.0940000000001"/>
    <n v="2565.306"/>
    <n v="1000"/>
  </r>
  <r>
    <n v="72"/>
    <s v="DGPCYN - 031 - 1691 - 2022 "/>
    <n v="9901443884"/>
    <s v="GUILLERMO ALEXANDER LÓPEZ ZETIN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3291.07"/>
    <n v="3898.4040000000005"/>
    <n v="124.99599999999964"/>
    <n v="1000"/>
  </r>
  <r>
    <n v="73"/>
    <s v="DGPCYN - 031 - 1692 - 2022 "/>
    <n v="9901442806"/>
    <s v="GUSTABO BALONA QUIXCHAN"/>
    <x v="3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m/>
    <n v="10"/>
    <m/>
    <n v="1849.13"/>
    <n v="2044.3000000000002"/>
    <n v="2039.44"/>
    <n v="1000"/>
  </r>
  <r>
    <n v="74"/>
    <s v="DGPCYN - 031 - 1693 - 2022 "/>
    <n v="9901442410"/>
    <s v="GUSTAVO ADOLFO QUIXCHÁN COHUOJ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395.67"/>
    <n v="2006.9540000000002"/>
    <n v="2041.4459999999999"/>
    <n v="1000"/>
  </r>
  <r>
    <n v="75"/>
    <s v="DGPCYN - 031 - 1694 - 2022 "/>
    <n v="9901442634"/>
    <s v="HENRY ADOLFO CASTRO CASTELLANOS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880.17"/>
    <n v="2073.63"/>
    <n v="1974.77"/>
    <n v="1000"/>
  </r>
  <r>
    <n v="76"/>
    <s v="DGPCYN - 031 - 1696 - 2022 "/>
    <n v="9901443080"/>
    <s v="HUGO RENÉ ALVAREZ CHAJÓN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77"/>
    <s v="DGPCYN - 031 - 1697 - 2022 "/>
    <n v="9901443111"/>
    <s v="INELDO BAUTISTA BAUTISTA VELÁSQUEZ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78"/>
    <s v="DGPCYN - 031 - 1698 - 2022 "/>
    <n v="9901443720"/>
    <s v="ISRAEL CALATE GONZÁLE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e v="#REF!"/>
    <n v="10"/>
    <m/>
    <m/>
    <e v="#REF!"/>
    <e v="#REF!"/>
    <n v="1000"/>
  </r>
  <r>
    <n v="79"/>
    <s v="DGPCYN - 031 - 1699 - 2022 "/>
    <n v="9901442603"/>
    <s v="ISRAEL VÁSQUEZ RAMO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80"/>
    <s v="DGPCYN - 031 - 1701 - 2022 "/>
    <n v="9901443117"/>
    <s v="JAPCEL MARCONY GÓMEZ PÉR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388.62"/>
    <n v="1580.8799999999999"/>
    <n v="2442.5200000000004"/>
    <n v="1000"/>
  </r>
  <r>
    <n v="81"/>
    <s v="DGPCYN - 031 - 1702 - 2022 "/>
    <n v="9901443098"/>
    <s v="JEREMÍAS ANTONIO VALLES PÉR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886.06"/>
    <n v="2078.3199999999997"/>
    <n v="1945.0800000000004"/>
    <n v="1000"/>
  </r>
  <r>
    <n v="82"/>
    <s v="DGPCYN - 031 - 1703 - 2022 "/>
    <n v="9901443096"/>
    <s v="JESÚS NAZARET RAMIREZ ORTI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83"/>
    <s v="DGPCYN - 031 - 1704 - 2022 "/>
    <n v="9901442274"/>
    <s v="JESÚS RIGOBERTO AX BO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n v="1630.85"/>
    <n v="1824.81"/>
    <n v="2233.9300000000003"/>
    <n v="1000"/>
  </r>
  <r>
    <n v="84"/>
    <s v="DGPCYN - 031 - 1705 - 2022 "/>
    <n v="9901443171"/>
    <s v="JOEL CHUP (ÚNICO APELLIDO)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81.42"/>
    <n v="1973.68"/>
    <n v="2049.7200000000003"/>
    <n v="1000"/>
  </r>
  <r>
    <n v="85"/>
    <s v="DGPCYN - 031 - 1706 - 2022 "/>
    <n v="9901442392"/>
    <s v="JORGE ARNALDO ALVARADO BALONA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758.89"/>
    <n v="1952.3500000000001"/>
    <n v="2096.0500000000002"/>
    <n v="1000"/>
  </r>
  <r>
    <n v="86"/>
    <s v="DGPCYN - 031 - 1707 - 2022 "/>
    <n v="9901442610"/>
    <s v="JORGE CASTILLO PINEDA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m/>
    <m/>
    <n v="1084.2"/>
    <n v="1268.1600000000001"/>
    <n v="2790.58"/>
    <n v="1000"/>
  </r>
  <r>
    <n v="87"/>
    <s v="DGPCYN - 031 - 1708 - 2022 "/>
    <n v="9901106633"/>
    <s v="JOSÉ ALBERTO BURGOS MORENO"/>
    <x v="8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88"/>
    <s v="DGPCYN - 031 - 1709 - 2022 "/>
    <n v="9901442844"/>
    <s v="JOSÉ ALBERTO CARÍAS LÉMU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310.51"/>
    <n v="1917.8440000000001"/>
    <n v="2105.556"/>
    <n v="1000"/>
  </r>
  <r>
    <n v="89"/>
    <s v="DGPCYN - 031 - 1710 - 2022 "/>
    <n v="9901443107"/>
    <s v="JOSÉ ALBERTO JUÁREZ CORADO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90"/>
    <s v="DGPCYN - 031 - 1711 - 2022 "/>
    <n v="9901442633"/>
    <s v="JOSÉ ALBERTO PÉREZ PÉRE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91"/>
    <s v="DGPCYN - 031 - 1712 - 2022 "/>
    <n v="9901442846"/>
    <s v="JOSÉ ALFREDO GARCIA RUI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92"/>
    <s v="DGPCYN - 031 - 1713 - 2022 "/>
    <n v="9901443093"/>
    <s v="JOSÉ ANIBAL RAMÍREZ LIMA"/>
    <x v="4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964.62"/>
    <n v="1575.904"/>
    <n v="2472.4960000000001"/>
    <n v="1000"/>
  </r>
  <r>
    <n v="93"/>
    <s v="DGPCYN - 031 - 1714 - 2022 "/>
    <n v="9901443090"/>
    <s v="JOSÉ ANTONIO PÉREZ Y PÉREZ"/>
    <x v="4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m/>
    <n v="10"/>
    <m/>
    <n v="1387.82"/>
    <n v="1579.35"/>
    <n v="2429.0500000000002"/>
    <n v="1000"/>
  </r>
  <r>
    <n v="94"/>
    <s v="DGPCYN - 031 - 1715 - 2022 "/>
    <n v="9901443172"/>
    <s v="JOSÉ DAVID LIMA GUZMÁN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81.42"/>
    <n v="1973.68"/>
    <n v="2049.7200000000003"/>
    <n v="1000"/>
  </r>
  <r>
    <n v="95"/>
    <s v="DGPCYN - 031 - 1716 - 2022 "/>
    <n v="9901442604"/>
    <s v="JOSÉ ELFIDO ALDANA NÚÑEZ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n v="661.24"/>
    <n v="855.2"/>
    <n v="3203.54"/>
    <n v="1000"/>
  </r>
  <r>
    <n v="96"/>
    <s v="DGPCYN - 031 - 1718 - 2022 "/>
    <n v="9901443088"/>
    <s v="JOSÉ GUILLERMO BARILLAS MONTECINOS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97"/>
    <s v="DGPCYN - 031 - 1719 - 2022 "/>
    <n v="9901442847"/>
    <s v="JOSÉ LUIS GREGORIO (ÚNICO APELLIDO)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770.74"/>
    <n v="2378.0739999999996"/>
    <n v="1645.3260000000005"/>
    <n v="1000"/>
  </r>
  <r>
    <n v="98"/>
    <s v="DGPCYN - 031 - 1720 - 2022 "/>
    <n v="9901442834"/>
    <s v="JOSÉ LUIS REVOLORIO OCHO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99"/>
    <s v="DGPCYN - 031 - 1721 - 2022 "/>
    <n v="9901443800"/>
    <s v="JOSÉ NICOLÁS CANIZALES SALAZAR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n v="1303.19"/>
    <m/>
    <n v="1483.03"/>
    <n v="2490.37"/>
    <n v="1000"/>
  </r>
  <r>
    <n v="100"/>
    <s v="DGPCYN - 031 - 1722 - 2022 "/>
    <n v="9901442351"/>
    <s v="JOSÉ RUPERTÓ GALICIA GONZÁL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981.08"/>
    <n v="1173.3400000000001"/>
    <n v="2850.06"/>
    <n v="1000"/>
  </r>
  <r>
    <n v="101"/>
    <s v="DGPCYN - 031 - 1723 - 2022 "/>
    <n v="9901443086"/>
    <s v="JOSÉ TOBAR (ÚNICO APELLIDO)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02"/>
    <s v="DGPCYN - 031 - 1725 - 2022 "/>
    <n v="9901442832"/>
    <s v="JOSÚE RAMÍREZ MARTÍNEZ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03"/>
    <s v="DGPCYN - 031 - 1726 - 2022 "/>
    <n v="9901451149"/>
    <s v="JUAN ANTONIO TESUCÚN CHAYAX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04"/>
    <s v="DGPCYN - 031 - 1727 - 2022 "/>
    <n v="9901443194"/>
    <s v="JUAN NORBERTO CAAL OCHAETA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05"/>
    <s v="DGPCYN - 031 - 1728 - 2022 "/>
    <n v="9901442184"/>
    <s v="JULIO CÉSAR BOCHOC CEB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06"/>
    <s v="DGPCYN - 031 - 1729 - 2022 "/>
    <n v="9901442826"/>
    <s v="JULIO CESAR MISS BAÑO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107"/>
    <s v="DGPCYN - 031 - 1730 - 2022 "/>
    <n v="9901442393"/>
    <s v="JULIO CESAR ROMANO OCHAETA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08"/>
    <s v="DGPCYN - 031 - 1731 - 2022 "/>
    <n v="9901442269"/>
    <s v="JULIO NAZARIO PAAU QUIB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09"/>
    <s v="DGPCYN - 031 - 1732 - 2022 "/>
    <n v="9901442831"/>
    <s v="KENY DíAZ PEÑ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10"/>
    <s v="DGPCYN - 031 - 1733 - 2022 "/>
    <n v="9901442907"/>
    <s v="LEONEL CASTILLO PINED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1382.89"/>
    <n v="1980.2240000000002"/>
    <n v="2043.1759999999999"/>
    <n v="1000"/>
  </r>
  <r>
    <n v="111"/>
    <s v="DGPCYN - 031 - 1735 - 2022 "/>
    <n v="9901442906"/>
    <s v="LOIDA ESTER CARÍAS LÉMU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1335.64"/>
    <n v="1932.9740000000002"/>
    <n v="2090.4259999999999"/>
    <n v="1000"/>
  </r>
  <r>
    <n v="112"/>
    <s v="DGPCYN - 031 - 1736 - 2022 "/>
    <n v="9901468901"/>
    <s v="LUIS ENRIQUE LOBOS BARRIOS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13"/>
    <s v="DGPCYN - 031 - 1737 - 2022 "/>
    <n v="9901442825"/>
    <s v="LUIS HUMBERTO LÓPEZ BARRER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840.31"/>
    <n v="1032.57"/>
    <n v="2990.83"/>
    <n v="1000"/>
  </r>
  <r>
    <n v="114"/>
    <s v="DGPCYN - 031 - 1738 - 2022 "/>
    <n v="9901468902"/>
    <s v="LUIS REYNERIO LÓPEZ MORALES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m/>
    <m/>
    <m/>
    <n v="589.41399999999999"/>
    <n v="3383.9859999999999"/>
    <n v="1000"/>
  </r>
  <r>
    <n v="115"/>
    <s v="DGPCYN - 031 - 1739 - 2022 "/>
    <n v="9901443004"/>
    <s v="MANUEL ALFONSO TESUCÚN ALDAN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2042.41"/>
    <n v="2234.67"/>
    <n v="1788.73"/>
    <n v="1000"/>
  </r>
  <r>
    <n v="116"/>
    <s v="DGPCYN - 031 - 1742 - 2022 "/>
    <n v="9901469336"/>
    <s v="MANUEL DE JESÚS MIRANDA (ÚNICO APELLIDO)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89.84"/>
    <n v="3783.56"/>
    <n v="1000"/>
  </r>
  <r>
    <n v="117"/>
    <s v="DGPCYN - 031 - 1743 - 2022 "/>
    <n v="9901443728"/>
    <s v="MANUEL DE JESUS QUETZAL CAAL 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18"/>
    <s v="DGPCYN - 031 - 1744 - 2022 "/>
    <n v="9901442607"/>
    <s v="MANUEL YAT (ÚNICO APELLIDO)"/>
    <x v="6"/>
    <n v="31"/>
    <n v="78.25"/>
    <n v="2425.75"/>
    <n v="9390"/>
    <n v="4"/>
    <x v="2"/>
    <n v="1760"/>
    <n v="1510"/>
    <n v="250"/>
    <n v="4235.75"/>
    <n v="1302.5"/>
    <n v="1284.6575342465753"/>
    <n v="65.753424657534239"/>
    <n v="16630"/>
    <n v="19282.910958904111"/>
    <n v="192.51"/>
    <m/>
    <n v="10"/>
    <m/>
    <n v="3908.24"/>
    <n v="4110.75"/>
    <n v="125"/>
    <n v="1000"/>
  </r>
  <r>
    <n v="119"/>
    <s v="DGPCYN - 031 - 1745 - 2022 "/>
    <n v="9901442404"/>
    <s v="MARCO ANTONIO PAAU QUIB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20"/>
    <s v="DGPCYN - 031 - 1746 - 2022 "/>
    <n v="9901443909"/>
    <s v="MARCO TULIO MARROQUIN VALLES"/>
    <x v="3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n v="1280.06"/>
    <n v="1896.9414000000002"/>
    <n v="2186.7986000000001"/>
    <n v="1000"/>
  </r>
  <r>
    <n v="121"/>
    <s v="DGPCYN - 031 - 1747 - 2022 "/>
    <n v="9901442818"/>
    <s v="MARCO TULIO POP SÁNCH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22"/>
    <s v="DGPCYN - 031 - 1748 - 2022 "/>
    <n v="9901443906"/>
    <s v="MARCOS ALEJANDRO COLLÍ CACAU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23"/>
    <s v="DGPCYN - 031 - 1749 - 2022 "/>
    <n v="9901443082"/>
    <s v="MARCOS ANTONIO RAMÍREZ (ÚNICO APELLIDO)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m/>
    <n v="597.33400000000006"/>
    <n v="3426.0659999999998"/>
    <n v="1000"/>
  </r>
  <r>
    <n v="124"/>
    <s v="DGPCYN - 031 - 1750 - 2022 "/>
    <n v="9901443121"/>
    <s v="MARÍA LÚZ FLORES VILLAVICENCIO DE LOP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521.17"/>
    <n v="1713.43"/>
    <n v="2309.9700000000003"/>
    <n v="1000"/>
  </r>
  <r>
    <n v="125"/>
    <s v="DGPCYN - 031 - 1751 - 2022 "/>
    <n v="9901442836"/>
    <s v="MARIO HUMBERTO NICOLÁS CARDON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26"/>
    <s v="DGPCYN - 031 - 1752 - 2022 "/>
    <n v="9901443733"/>
    <s v="MARVIN AUGUSTO VIVAR ALDAN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27"/>
    <s v="DGPCYN - 031 - 1753 - 2022 "/>
    <n v="9901443115"/>
    <s v="MARVIN ROMEO JUÁREZ ARÉVALO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28"/>
    <s v="DGPCYN - 031 - 1754 - 2022 "/>
    <n v="9901443754"/>
    <s v="MIGUEL ANGEL CHACÓN CASTILLO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41.38"/>
    <n v="1933.64"/>
    <n v="2089.7600000000002"/>
    <n v="1000"/>
  </r>
  <r>
    <n v="129"/>
    <s v="DGPCYN - 031 - 1755 - 2022 "/>
    <n v="9901442678"/>
    <s v="MIGUEL ANGEL POLANCO (ÚNICO APELLIDO)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2718.59"/>
    <n v="2910.8500000000004"/>
    <n v="1112.5499999999997"/>
    <n v="1000"/>
  </r>
  <r>
    <n v="130"/>
    <s v="DGPCYN - 031 - 1756 - 2022 "/>
    <n v="9901443122"/>
    <s v="MIRIAM LORENA MANSILLA CORZO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m/>
    <m/>
    <n v="805.26"/>
    <n v="1400.2139999999999"/>
    <n v="2608.1860000000001"/>
    <n v="1000"/>
  </r>
  <r>
    <n v="131"/>
    <s v="DGPCYN - 031 - 1757 - 2022 "/>
    <n v="9901477311"/>
    <s v="MYNOR ANTONIO ESCALERA BURGOS"/>
    <x v="9"/>
    <n v="31"/>
    <n v="78.25"/>
    <n v="2425.75"/>
    <n v="9390"/>
    <n v="4"/>
    <x v="0"/>
    <n v="1760"/>
    <n v="1510"/>
    <n v="250"/>
    <n v="4185.75"/>
    <n v="1285.8333333333333"/>
    <n v="1268.2191780821918"/>
    <n v="65.753424657534239"/>
    <n v="16430"/>
    <n v="19049.805936073059"/>
    <n v="190.1"/>
    <m/>
    <n v="10"/>
    <m/>
    <n v="794.37"/>
    <n v="994.47"/>
    <n v="3191.2799999999997"/>
    <n v="1000"/>
  </r>
  <r>
    <n v="132"/>
    <s v="DGPCYN - 031 - 1758 - 2022 "/>
    <n v="9901451144"/>
    <s v="NECTALÍ ISAIAS OLIVEROS CASTELLANOS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n v="1221.97"/>
    <n v="1411.81"/>
    <n v="2561.59"/>
    <n v="1000"/>
  </r>
  <r>
    <n v="133"/>
    <s v="DGPCYN - 031 - 1759 - 2022 "/>
    <n v="9901443897"/>
    <s v="NELSON ANTONIO LÓPEZ REYMUNDO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3716.14"/>
    <n v="3898.3999999999996"/>
    <n v="125.00000000000045"/>
    <n v="1000"/>
  </r>
  <r>
    <n v="134"/>
    <s v="DGPCYN - 031 - 1760 - 2022 "/>
    <n v="9901442883"/>
    <s v="NEPTALÍ RAMOS HERNANDE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35"/>
    <s v="DGPCYN - 031 - 1761 - 2022 "/>
    <n v="9901442877"/>
    <s v="NESTOR CORDERO PAIZ"/>
    <x v="3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m/>
    <n v="616.88139999999999"/>
    <n v="3466.8586000000005"/>
    <n v="1000"/>
  </r>
  <r>
    <n v="136"/>
    <s v="DGPCYN - 031 - 1762 - 2022 "/>
    <n v="9901443883"/>
    <s v="NOÉ CARÍAS TRINIDAD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37"/>
    <s v="DGPCYN - 031 - 1763 - 2022 "/>
    <n v="9901443094"/>
    <s v="NOÉ YAT SALAN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n v="418.96140000000003"/>
    <n v="10"/>
    <m/>
    <n v="1877.52"/>
    <n v="2490.4414000000002"/>
    <n v="1568.2986000000001"/>
    <n v="1000"/>
  </r>
  <r>
    <n v="138"/>
    <s v="DGPCYN - 031 - 1764 - 2022 "/>
    <n v="9901442839"/>
    <s v="ODWER ROLANDO HERNÁNDEZ PINELO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39"/>
    <s v="DGPCYN - 031 - 1766 - 2022 "/>
    <n v="9901443713"/>
    <s v="ONECIFERO ANTONIO CASTELLANOS GUERRA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40"/>
    <s v="DGPCYN - 031 - 1767 - 2022 "/>
    <n v="9901442843"/>
    <s v="ORVAL DARWIN OCH GARCÍA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n v="418.96140000000003"/>
    <n v="10"/>
    <m/>
    <n v="885.95"/>
    <n v="1498.8714"/>
    <n v="2559.8686000000002"/>
    <n v="1000"/>
  </r>
  <r>
    <n v="141"/>
    <s v="DGPCYN - 031 - 1768 - 2022 "/>
    <n v="9901443116"/>
    <s v="OSCAR AMILCAR MORALES (ÚNICO APELLIDO)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1364.79"/>
    <n v="1962.124"/>
    <n v="2061.2759999999998"/>
    <n v="1000"/>
  </r>
  <r>
    <n v="142"/>
    <s v="DGPCYN - 031 - 1769 - 2022 "/>
    <n v="9901443062"/>
    <s v="OSCAR LEONEL GARCÍA ORTI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796.36"/>
    <n v="1978.62"/>
    <n v="2044.7800000000002"/>
    <n v="1000"/>
  </r>
  <r>
    <n v="143"/>
    <s v="DGPCYN - 031 - 1770 - 2022 "/>
    <n v="9901442394"/>
    <s v="OSCAR LÓPEZ BARRERA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m/>
    <n v="193.46"/>
    <n v="3854.94"/>
    <n v="1000"/>
  </r>
  <r>
    <n v="144"/>
    <s v="DGPCYN - 031 - 1771 - 2022 "/>
    <n v="9901443896"/>
    <s v="OSCAR ROLANDO MORALES (ÚNICO APELLIDO)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387.93"/>
    <n v="1580.19"/>
    <n v="2443.21"/>
    <n v="1000"/>
  </r>
  <r>
    <n v="145"/>
    <s v="DGPCYN - 031 - 1772 - 2022 "/>
    <n v="9901442680"/>
    <s v="OSWALDO ENRIQUE JOGE SUNTECÚN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n v="930.85"/>
    <m/>
    <n v="1538.184"/>
    <n v="2485.2160000000003"/>
    <n v="1000"/>
  </r>
  <r>
    <n v="146"/>
    <s v="DGPCYN - 031 - 1773 - 2022 "/>
    <n v="9901443119"/>
    <s v="OTONIÉL ELEAZAR QUIXCHÁN SINTURIÓN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n v="10"/>
    <m/>
    <m/>
    <n v="193.96"/>
    <n v="3864.78"/>
    <n v="1000"/>
  </r>
  <r>
    <n v="147"/>
    <s v="DGPCYN - 031 - 1774 - 2022 "/>
    <n v="9901443113"/>
    <s v="PASTORA GARCIA AMADOR"/>
    <x v="10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m/>
    <m/>
    <m/>
    <n v="183.96"/>
    <n v="3874.78"/>
    <n v="1000"/>
  </r>
  <r>
    <n v="148"/>
    <s v="DGPCYN - 031 - 1775 - 2022 "/>
    <n v="9901443000"/>
    <s v="PEDRO ALBERTO DELGADO ROSALES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m/>
    <m/>
    <n v="1344.18"/>
    <n v="1528.14"/>
    <n v="2530.6000000000004"/>
    <n v="1000"/>
  </r>
  <r>
    <n v="149"/>
    <s v="DGPCYN - 031 - 1776 - 2022 "/>
    <n v="9901442403"/>
    <s v="PEDRO ANTONIO RODRIGUEZ AVILA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m/>
    <m/>
    <m/>
    <n v="601.28399999999999"/>
    <n v="3447.116"/>
    <n v="1000"/>
  </r>
  <r>
    <n v="150"/>
    <s v="DGPCYN - 031 - 1777 - 2022 "/>
    <n v="9901442609"/>
    <s v="PLACIDO ALDANA (ÚNICO APELLIDO)"/>
    <x v="3"/>
    <n v="31"/>
    <n v="72.540000000000006"/>
    <n v="2248.7400000000002"/>
    <n v="8704.8000000000011"/>
    <n v="4"/>
    <x v="2"/>
    <n v="1760"/>
    <n v="1510"/>
    <n v="250"/>
    <n v="4058.7400000000002"/>
    <n v="1245.4000000000001"/>
    <n v="1228.3397260273973"/>
    <n v="65.753424657534239"/>
    <n v="15944.800000000001"/>
    <n v="18484.293150684935"/>
    <n v="183.96"/>
    <m/>
    <m/>
    <m/>
    <n v="1781.42"/>
    <n v="1965.38"/>
    <n v="2093.36"/>
    <n v="1000"/>
  </r>
  <r>
    <n v="151"/>
    <s v="DGPCYN - 031 - 1778 - 2022 "/>
    <n v="9901442627"/>
    <s v="RAÚL ANTONIO GUERRA TORRES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m/>
    <m/>
    <m/>
    <n v="594.95400000000006"/>
    <n v="3413.4459999999999"/>
    <n v="1000"/>
  </r>
  <r>
    <n v="152"/>
    <s v="DGPCYN - 031 - 1779 - 2022 "/>
    <n v="9901442833"/>
    <s v="REGINO ARÉVALO CÓRDOV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53"/>
    <s v="DGPCYN - 031 - 1780 - 2022 "/>
    <n v="9901443192"/>
    <s v="RENÉ ALBERTO GÓNGORA SIN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495.4"/>
    <n v="2102.7340000000004"/>
    <n v="1920.6659999999997"/>
    <n v="1000"/>
  </r>
  <r>
    <n v="154"/>
    <s v="DGPCYN - 031 - 1781 - 2022 "/>
    <n v="9901443912"/>
    <s v="RENÉ ALBERTO MÉNDEZ IPIÑ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400.79"/>
    <n v="1583.05"/>
    <n v="2440.3500000000004"/>
    <n v="1000"/>
  </r>
  <r>
    <n v="155"/>
    <s v="DGPCYN - 031 - 1782 - 2022 "/>
    <n v="9901442273"/>
    <s v="REYES AX TUX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269.6099999999999"/>
    <n v="1451.87"/>
    <n v="2571.5300000000002"/>
    <n v="1000"/>
  </r>
  <r>
    <n v="156"/>
    <s v="DGPCYN - 031 - 1783 - 2022 "/>
    <n v="9901442910"/>
    <s v="REYES MURCIA PER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81.42"/>
    <n v="1973.68"/>
    <n v="2049.7200000000003"/>
    <n v="1000"/>
  </r>
  <r>
    <n v="157"/>
    <s v="DGPCYN - 031 - 1784 - 2022 "/>
    <n v="9901443089"/>
    <s v="RICARDO HERNANDEZ DIAZ"/>
    <x v="4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142.03"/>
    <n v="1753.3140000000001"/>
    <n v="2295.0860000000002"/>
    <n v="1000"/>
  </r>
  <r>
    <n v="158"/>
    <s v="DGPCYN - 031 - 1785 - 2022 "/>
    <n v="9901442216"/>
    <s v="ROBERTO QUIIX (ÚNICO APELLIDO)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59"/>
    <s v="DGPCYN - 031 - 1786 - 2022 "/>
    <n v="9901443118"/>
    <s v="RODOLFO RAMIREZ VILLANUEVA"/>
    <x v="1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599.41399999999999"/>
    <n v="3373.9859999999999"/>
    <n v="1000"/>
  </r>
  <r>
    <n v="160"/>
    <s v="DGPCYN - 031 - 1787 - 2022 "/>
    <n v="9901442398"/>
    <s v="ROLANDO GÓMEZ COLINDRES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61"/>
    <s v="DGPCYN - 031 - 1788 - 2022 "/>
    <n v="9901442807"/>
    <s v="RONY GUADALUPE AGUILAR OCHAETA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1868.98"/>
    <n v="2062.44"/>
    <n v="1985.96"/>
    <n v="1000"/>
  </r>
  <r>
    <n v="162"/>
    <s v="DGPCYN - 031 - 1789 - 2022 "/>
    <n v="9901442599"/>
    <s v="RONY WUILFREDO HERNANDEZ CIFUENTES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63"/>
    <s v="DGPCYN - 031 - 1790 - 2022 "/>
    <n v="9901442355"/>
    <s v="ROSA ANTONIA ALVARADO LOBO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017.01"/>
    <n v="1624.3440000000001"/>
    <n v="2399.056"/>
    <n v="1000"/>
  </r>
  <r>
    <n v="164"/>
    <s v="DGPCYN - 031 - 1791 - 2022 "/>
    <n v="9901442822"/>
    <s v="ROSALBA FLORES GUERR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65"/>
    <s v="DGPCYN - 031 - 1792 - 2022 "/>
    <n v="9901442406"/>
    <s v="RUDY MORALES MAYEN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m/>
    <n v="10"/>
    <m/>
    <n v="783.04"/>
    <n v="976.5"/>
    <n v="3071.9"/>
    <n v="1000"/>
  </r>
  <r>
    <n v="166"/>
    <s v="DGPCYN - 031 - 1793 - 2022 "/>
    <n v="9901443196"/>
    <s v="SAMUEL ISAÍAS PÉREZ TZUL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67"/>
    <s v="DGPCYN - 031 - 1794 - 2022 "/>
    <n v="9901442408"/>
    <s v="SAMUEL ORTEGA JUAREZ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68"/>
    <s v="DGPCYN - 031 - 1795 - 2022 "/>
    <n v="9901443712"/>
    <s v="SAMUEL PEÑA DE LA ROS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69"/>
    <s v="DGPCYN - 031 - 1796 - 2022 "/>
    <n v="9901442409"/>
    <s v="SANTIAGO BATÉN HERNÁNDEZ"/>
    <x v="3"/>
    <n v="31"/>
    <n v="72.540000000000006"/>
    <n v="2248.7400000000002"/>
    <n v="8704.8000000000011"/>
    <n v="4"/>
    <x v="1"/>
    <n v="1760"/>
    <n v="1510"/>
    <n v="250"/>
    <n v="4083.7400000000002"/>
    <n v="1253.7333333333333"/>
    <n v="1236.5589041095891"/>
    <n v="65.753424657534239"/>
    <n v="16044.800000000001"/>
    <n v="18600.845662100459"/>
    <n v="185.17"/>
    <n v="421.71140000000003"/>
    <n v="10"/>
    <m/>
    <m/>
    <n v="616.88139999999999"/>
    <n v="3466.8586000000005"/>
    <n v="1000"/>
  </r>
  <r>
    <n v="170"/>
    <s v="DGPCYN - 031 - 1797 - 2022 "/>
    <n v="9901442395"/>
    <s v="SANTIAGO GARCÍA ROMERO"/>
    <x v="1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71"/>
    <s v="DGPCYN - 031 - 1798 - 2022 "/>
    <n v="9901443910"/>
    <s v="SELVYN GABRIEL TIUL SEB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72"/>
    <s v="DGPCYN - 031 - 1799 - 2022 "/>
    <n v="9901442601"/>
    <s v="SERGIO ARNULFO MORALES LUNA"/>
    <x v="6"/>
    <n v="31"/>
    <n v="78.25"/>
    <n v="2425.75"/>
    <n v="9390"/>
    <n v="4"/>
    <x v="2"/>
    <n v="1760"/>
    <n v="1510"/>
    <n v="250"/>
    <n v="4235.75"/>
    <n v="1302.5"/>
    <n v="1284.6575342465753"/>
    <n v="65.753424657534239"/>
    <n v="16630"/>
    <n v="19282.910958904111"/>
    <n v="192.51"/>
    <m/>
    <n v="10"/>
    <m/>
    <n v="1442.45"/>
    <n v="1644.96"/>
    <n v="2590.79"/>
    <n v="1000"/>
  </r>
  <r>
    <n v="173"/>
    <s v="DGPCYN - 031 - 1800 - 2022 "/>
    <n v="9901442998"/>
    <s v="SIMÓN ALBERTO PERALTA PIÑA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n v="1312.23"/>
    <n v="1494.49"/>
    <n v="2528.91"/>
    <n v="1000"/>
  </r>
  <r>
    <n v="174"/>
    <s v="DGPCYN - 031 - 1801 - 2022 "/>
    <n v="9901443097"/>
    <s v="SOCORRO WALDEMAR RAMIREZ GUTIERREZ"/>
    <x v="4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m/>
    <n v="611.28399999999999"/>
    <n v="3437.116"/>
    <n v="1000"/>
  </r>
  <r>
    <n v="175"/>
    <s v="DGPCYN - 031 - 1802 - 2022 "/>
    <n v="9901443913"/>
    <s v="TOMÁS ANTONIO ESPAÑA NUÑEZ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76"/>
    <s v="DGPCYN - 031 - 1803 - 2022 "/>
    <n v="9901442808"/>
    <s v="URBANO CORTÉZ RAMOS"/>
    <x v="5"/>
    <n v="31"/>
    <n v="71.400000000000006"/>
    <n v="2213.4"/>
    <n v="8568"/>
    <n v="4"/>
    <x v="1"/>
    <n v="1760"/>
    <n v="1510"/>
    <n v="250"/>
    <n v="4048.4"/>
    <n v="1242.3333333333333"/>
    <n v="1225.3150684931506"/>
    <n v="65.753424657534239"/>
    <n v="15908"/>
    <n v="18441.401826484016"/>
    <n v="183.46"/>
    <n v="417.82400000000001"/>
    <n v="10"/>
    <m/>
    <n v="1306.3"/>
    <n v="1917.5840000000001"/>
    <n v="2130.8159999999998"/>
    <n v="1000"/>
  </r>
  <r>
    <n v="177"/>
    <s v="DGPCYN - 031 - 1804 - 2022 "/>
    <n v="9901442399"/>
    <s v="VALENTIN REYES GARCÍA"/>
    <x v="11"/>
    <n v="31"/>
    <n v="76.59"/>
    <n v="2374.29"/>
    <n v="9190.8000000000011"/>
    <n v="4"/>
    <x v="1"/>
    <n v="1760"/>
    <n v="1510"/>
    <n v="250"/>
    <n v="4209.29"/>
    <n v="1294.2333333333333"/>
    <n v="1276.5041095890413"/>
    <n v="65.753424657534239"/>
    <n v="16530.800000000003"/>
    <n v="19167.290867579912"/>
    <n v="191.23"/>
    <n v="435.52190000000002"/>
    <n v="10"/>
    <m/>
    <m/>
    <n v="636.75189999999998"/>
    <n v="3572.5380999999998"/>
    <n v="1000"/>
  </r>
  <r>
    <n v="178"/>
    <s v="DGPCYN - 031 - 1805 - 2022 "/>
    <n v="9901443078"/>
    <s v="VICENTE MUCÚ CHOC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m/>
    <m/>
    <n v="1364.57"/>
    <n v="1961.904"/>
    <n v="2061.4960000000001"/>
    <n v="1000"/>
  </r>
  <r>
    <n v="179"/>
    <s v="DGPCYN - 031 - 1806 - 2022 "/>
    <n v="9901451141"/>
    <s v="VICTOR ABEL URIZAR COSSEMAN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n v="1822.4"/>
    <n v="2429.7340000000004"/>
    <n v="1593.6659999999997"/>
    <n v="1000"/>
  </r>
  <r>
    <n v="180"/>
    <s v="DGPCYN - 031 - 1807 - 2022 "/>
    <n v="9901442428"/>
    <s v="VICTOR FRANCISCO CHATA CORTEZ"/>
    <x v="6"/>
    <n v="31"/>
    <n v="78.25"/>
    <n v="2425.75"/>
    <n v="9390"/>
    <n v="4"/>
    <x v="2"/>
    <n v="1760"/>
    <n v="1510"/>
    <n v="250"/>
    <n v="4235.75"/>
    <n v="1302.5"/>
    <n v="1284.6575342465753"/>
    <n v="65.753424657534239"/>
    <n v="16630"/>
    <n v="19282.910958904111"/>
    <n v="192.51"/>
    <n v="438.4325"/>
    <n v="10"/>
    <m/>
    <n v="1866.84"/>
    <n v="2507.7825000000003"/>
    <n v="1727.9674999999997"/>
    <n v="1000"/>
  </r>
  <r>
    <n v="181"/>
    <s v="DGPCYN - 031 - 1808 - 2022 "/>
    <n v="9901442842"/>
    <s v="VICTOR MARIANO MORALES MONTEJO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82"/>
    <s v="DGPCYN - 031 - 1809 - 2022 "/>
    <n v="9901443146"/>
    <s v="VICTOR UBALDO ZAC TESUCÚN"/>
    <x v="2"/>
    <n v="31"/>
    <n v="71.400000000000006"/>
    <n v="2213.4"/>
    <n v="8568"/>
    <n v="4"/>
    <x v="3"/>
    <n v="1760"/>
    <n v="1510"/>
    <n v="250"/>
    <n v="4008.4"/>
    <n v="1229"/>
    <n v="1212.1643835616437"/>
    <n v="65.753424657534239"/>
    <n v="15748"/>
    <n v="18254.917808219179"/>
    <n v="181.53"/>
    <n v="413.42400000000004"/>
    <m/>
    <m/>
    <m/>
    <n v="594.95400000000006"/>
    <n v="3413.4459999999999"/>
    <n v="1000"/>
  </r>
  <r>
    <n v="183"/>
    <s v="DGPCYN - 031 - 1810 - 2022 "/>
    <n v="9901442823"/>
    <s v="VIRGILIO XITUMUL IXPATA"/>
    <x v="4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84"/>
    <s v="DGPCYN - 031 - 1811 - 2022 "/>
    <n v="9901442841"/>
    <s v="VIRGINIA DELGADO ROSALE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m/>
    <m/>
    <m/>
    <n v="182.26"/>
    <n v="3841.1400000000003"/>
    <n v="1000"/>
  </r>
  <r>
    <n v="185"/>
    <s v="DGPCYN - 031 - 1812 - 2022 "/>
    <n v="9901442835"/>
    <s v="VIRIATO ANTONIO CORTEZ ZAC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730.72"/>
    <n v="1922.98"/>
    <n v="2100.42"/>
    <n v="1000"/>
  </r>
  <r>
    <n v="186"/>
    <s v="DGPCYN - 031 - 1813 - 2022 "/>
    <n v="9901443103"/>
    <s v="WALDEMAR RODRIGO FLORES GONZÁLEZ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1579.73"/>
    <n v="1771.99"/>
    <n v="2251.41"/>
    <n v="1000"/>
  </r>
  <r>
    <n v="187"/>
    <s v="DGPCYN - 031 - 1814 - 2022 "/>
    <n v="9901442611"/>
    <s v="WALTER ANTONIO BARRIENTOS CALDERAS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m/>
    <n v="192.26"/>
    <n v="3831.1400000000003"/>
    <n v="1000"/>
  </r>
  <r>
    <n v="188"/>
    <s v="DGPCYN - 031 - 1815 - 2022 "/>
    <n v="9901442608"/>
    <s v="WALTER MATEO ICÓN"/>
    <x v="5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m/>
    <n v="10"/>
    <m/>
    <n v="985.98"/>
    <n v="1178.24"/>
    <n v="2845.16"/>
    <n v="1000"/>
  </r>
  <r>
    <n v="189"/>
    <s v="DGPCYN - 031 - 1816 - 2022 "/>
    <n v="9901443274"/>
    <s v="WILIAM ALONZO DEL CID CORRALE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n v="607.33400000000006"/>
    <n v="3416.0659999999998"/>
    <n v="1000"/>
  </r>
  <r>
    <n v="190"/>
    <s v="DGPCYN - 031 - 1817 - 2022 "/>
    <n v="9901442824"/>
    <s v="WILMER ROLANDO CAAL FLORES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n v="913"/>
    <m/>
    <n v="1520.3340000000001"/>
    <n v="2503.0659999999998"/>
    <n v="1000"/>
  </r>
  <r>
    <n v="191"/>
    <s v="DGPCYN - 031 - 1818 - 2022 "/>
    <n v="9901443066"/>
    <s v="YUVICZA YOMAIRA MÉNDEZ GALÁN DE CUNIL"/>
    <x v="1"/>
    <n v="31"/>
    <n v="71.400000000000006"/>
    <n v="2213.4"/>
    <n v="8568"/>
    <n v="4"/>
    <x v="2"/>
    <n v="1760"/>
    <n v="1510"/>
    <n v="250"/>
    <n v="4023.4"/>
    <n v="1234"/>
    <n v="1217.0958904109589"/>
    <n v="65.753424657534239"/>
    <n v="15808"/>
    <n v="18324.849315068492"/>
    <n v="182.26"/>
    <n v="415.07400000000001"/>
    <n v="10"/>
    <m/>
    <m/>
    <m/>
    <m/>
    <n v="1000"/>
  </r>
  <r>
    <n v="192"/>
    <s v="DGPCYN - 031 - 1819 - 2022 "/>
    <n v="9901532783"/>
    <s v="JULIO NEEMIAS VÁSQUEZ GUERRA"/>
    <x v="4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n v="409.57400000000001"/>
    <n v="10"/>
    <m/>
    <m/>
    <n v="607.33400000000006"/>
    <n v="3416.0659999999998"/>
    <n v="1000"/>
  </r>
  <r>
    <n v="193"/>
    <s v="DGPCYN - 031 - 772 - 2022 "/>
    <n v="9901546127"/>
    <s v="HUGO DAVID VICENTE PAZ"/>
    <x v="1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607.33400000000006"/>
    <n v="3416.0659999999998"/>
    <n v="1000"/>
  </r>
  <r>
    <n v="194"/>
    <s v="DGPCYN - 031 - 1820 - 2022 "/>
    <n v="9901548860"/>
    <s v="DOUGLAS ESTUARDO CRUZ BONILLA"/>
    <x v="1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92.26"/>
    <n v="3831.1400000000003"/>
    <n v="1000"/>
  </r>
  <r>
    <n v="195"/>
    <s v="DGPCYN - 031 - 620 - 2022 "/>
    <n v="9901552690"/>
    <s v="DENNIS RONALDO MELÉNDEZ CABRERA"/>
    <x v="4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599.41399999999999"/>
    <n v="3373.9859999999999"/>
    <n v="1000"/>
  </r>
  <r>
    <n v="196"/>
    <s v="DGPCYN - 031 - 621 - 2022 "/>
    <n v="9901552691"/>
    <s v="JHONATAN GERARDO SINTÚ MEJÍA"/>
    <x v="4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n v="10"/>
    <m/>
    <m/>
    <n v="179.84"/>
    <n v="3793.56"/>
    <n v="1000"/>
  </r>
  <r>
    <n v="197"/>
    <s v="DGPCYN - 031 - 650 - 2022 "/>
    <n v="9901557374"/>
    <s v="KATHELYN ROSMERY GARCÍA RAMOS "/>
    <x v="12"/>
    <n v="31"/>
    <n v="71.400000000000006"/>
    <n v="2213.4"/>
    <n v="8568"/>
    <n v="4"/>
    <x v="4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98"/>
    <m/>
    <n v="9901563301"/>
    <s v="ALEX GUSTAVO FAJARDO HERNÁNDEZ"/>
    <x v="8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  <r>
    <n v="199"/>
    <m/>
    <n v="9901576087"/>
    <s v="VÍCTOR ESTUARDO SOC (ÚNICO APELLIDO)"/>
    <x v="13"/>
    <n v="31"/>
    <n v="72.540000000000006"/>
    <n v="2248.7400000000002"/>
    <n v="8704.8000000000011"/>
    <n v="4"/>
    <x v="0"/>
    <n v="1760"/>
    <n v="1510"/>
    <n v="250"/>
    <n v="4008.7400000000002"/>
    <n v="1228.7333333333333"/>
    <n v="1211.9013698630138"/>
    <n v="65.753424657534239"/>
    <n v="15744.800000000001"/>
    <n v="18251.188127853882"/>
    <n v="181.55"/>
    <m/>
    <m/>
    <m/>
    <m/>
    <n v="189.84"/>
    <n v="3783.56"/>
    <n v="1000"/>
  </r>
  <r>
    <n v="200"/>
    <m/>
    <n v="9901576096"/>
    <s v="RUDY ALBERTO ORDOÑEZ GALEANO"/>
    <x v="2"/>
    <n v="31"/>
    <n v="71.400000000000006"/>
    <n v="2213.4"/>
    <n v="8568"/>
    <n v="4"/>
    <x v="0"/>
    <n v="1760"/>
    <n v="1510"/>
    <n v="250"/>
    <n v="3973.4"/>
    <n v="1217.3333333333333"/>
    <n v="1200.6575342465753"/>
    <n v="65.753424657534239"/>
    <n v="15608"/>
    <n v="18091.744292237443"/>
    <n v="179.84"/>
    <m/>
    <m/>
    <m/>
    <m/>
    <n v="179.84"/>
    <n v="3793.56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Q1:T10" firstHeaderRow="0" firstDataRow="1" firstDataCol="1"/>
  <pivotFields count="15">
    <pivotField showAll="0"/>
    <pivotField showAll="0"/>
    <pivotField showAll="0"/>
    <pivotField showAll="0"/>
    <pivotField axis="axisRow" dataField="1" showAll="0">
      <items count="9">
        <item x="1"/>
        <item x="2"/>
        <item x="3"/>
        <item x="7"/>
        <item x="6"/>
        <item x="4"/>
        <item x="5"/>
        <item x="0"/>
        <item t="default"/>
      </items>
    </pivotField>
    <pivotField showAll="0"/>
    <pivotField dataField="1" showAll="0"/>
    <pivotField numFmtId="44" showAll="0"/>
    <pivotField numFmtId="44" showAll="0"/>
    <pivotField numFmtId="49" showAll="0"/>
    <pivotField dataField="1" showAll="0">
      <items count="6">
        <item x="0"/>
        <item x="1"/>
        <item x="3"/>
        <item x="4"/>
        <item x="2"/>
        <item t="default"/>
      </items>
    </pivotField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UESTO NOMINAL" fld="4" subtotal="count" baseField="0" baseItem="0"/>
    <dataField name="Máx. de 031 JORNAL" fld="6" subtotal="max" baseField="4" baseItem="0"/>
    <dataField name="Suma de 032 B ANT" fld="10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E3:AH7" firstHeaderRow="0" firstDataRow="1" firstDataCol="1"/>
  <pivotFields count="28">
    <pivotField showAll="0"/>
    <pivotField showAll="0"/>
    <pivotField showAll="0"/>
    <pivotField showAll="0"/>
    <pivotField axis="axisRow" dataField="1" showAll="0">
      <items count="6">
        <item x="0"/>
        <item m="1" x="3"/>
        <item x="2"/>
        <item m="1" x="4"/>
        <item x="1"/>
        <item t="default"/>
      </items>
    </pivotField>
    <pivotField showAll="0"/>
    <pivotField dataField="1" numFmtId="44" showAll="0"/>
    <pivotField numFmtId="44" showAll="0"/>
    <pivotField showAll="0"/>
    <pivotField numFmtId="49" showAll="0"/>
    <pivotField dataField="1" showAll="0"/>
    <pivotField showAll="0"/>
    <pivotField showAll="0"/>
    <pivotField showAll="0"/>
    <pivotField numFmtId="44" showAll="0"/>
    <pivotField numFmtId="165" showAll="0"/>
    <pivotField numFmtId="165" showAll="0"/>
    <pivotField numFmtId="165" showAll="0"/>
    <pivotField numFmtId="165" showAll="0"/>
    <pivotField numFmtId="165" showAll="0"/>
    <pivotField numFmtId="169" showAll="0"/>
    <pivotField showAll="0"/>
    <pivotField showAll="0"/>
    <pivotField showAll="0"/>
    <pivotField showAll="0"/>
    <pivotField numFmtId="44" showAll="0"/>
    <pivotField numFmtId="44" showAll="0"/>
    <pivotField numFmtId="165" showAll="0"/>
  </pivotFields>
  <rowFields count="1">
    <field x="4"/>
  </rowFields>
  <rowItems count="4">
    <i>
      <x/>
    </i>
    <i>
      <x v="2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UESTO NOMINAL" fld="4" subtotal="count" baseField="0" baseItem="0"/>
    <dataField name="Suma de 032 B ANT" fld="10" baseField="4" baseItem="2"/>
    <dataField name="Máx. de 031 JORNAL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 dinámica9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F3:AI32" firstHeaderRow="0" firstDataRow="1" firstDataCol="1"/>
  <pivotFields count="28">
    <pivotField showAll="0"/>
    <pivotField showAll="0"/>
    <pivotField showAll="0"/>
    <pivotField showAll="0"/>
    <pivotField axis="axisRow" dataField="1" showAll="0">
      <items count="29">
        <item x="1"/>
        <item x="16"/>
        <item x="15"/>
        <item x="21"/>
        <item x="20"/>
        <item x="12"/>
        <item x="14"/>
        <item x="27"/>
        <item x="3"/>
        <item x="2"/>
        <item x="25"/>
        <item x="9"/>
        <item x="6"/>
        <item x="18"/>
        <item x="23"/>
        <item x="8"/>
        <item x="11"/>
        <item x="19"/>
        <item x="26"/>
        <item x="5"/>
        <item x="24"/>
        <item x="0"/>
        <item x="13"/>
        <item x="4"/>
        <item x="10"/>
        <item x="7"/>
        <item x="22"/>
        <item x="17"/>
        <item t="default"/>
      </items>
    </pivotField>
    <pivotField showAll="0"/>
    <pivotField dataField="1" showAll="0"/>
    <pivotField numFmtId="44" showAll="0"/>
    <pivotField numFmtId="44" showAll="0"/>
    <pivotField numFmtId="49" showAll="0"/>
    <pivotField dataField="1"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numFmtId="44" showAll="0"/>
    <pivotField numFmtId="165" showAll="0"/>
    <pivotField numFmtId="165" showAll="0"/>
    <pivotField numFmtId="165" showAll="0"/>
    <pivotField numFmtId="165" showAll="0"/>
    <pivotField numFmtId="165" showAll="0"/>
    <pivotField numFmtId="169" showAll="0"/>
    <pivotField showAll="0"/>
    <pivotField showAll="0"/>
    <pivotField showAll="0"/>
    <pivotField showAll="0"/>
    <pivotField showAll="0"/>
    <pivotField showAll="0"/>
    <pivotField numFmtId="165" showAll="0"/>
  </pivotFields>
  <rowFields count="1">
    <field x="4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UESTO NOMINAL" fld="4" subtotal="count" baseField="0" baseItem="0"/>
    <dataField name="Máx. de 031 JORNAL" fld="6" subtotal="max" baseField="4" baseItem="0"/>
    <dataField name="Suma de 032 B ANT" fld="10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15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F491:AI503" firstHeaderRow="0" firstDataRow="1" firstDataCol="1"/>
  <pivotFields count="28">
    <pivotField showAll="0"/>
    <pivotField showAll="0"/>
    <pivotField showAll="0"/>
    <pivotField showAll="0"/>
    <pivotField axis="axisRow" dataField="1" showAll="0">
      <items count="13">
        <item x="5"/>
        <item x="2"/>
        <item x="8"/>
        <item x="6"/>
        <item x="1"/>
        <item x="10"/>
        <item x="4"/>
        <item x="7"/>
        <item x="9"/>
        <item x="3"/>
        <item m="1" x="11"/>
        <item x="0"/>
        <item t="default"/>
      </items>
    </pivotField>
    <pivotField showAll="0"/>
    <pivotField dataField="1" showAll="0"/>
    <pivotField numFmtId="44" showAll="0"/>
    <pivotField numFmtId="44" showAll="0"/>
    <pivotField numFmtId="49" showAll="0"/>
    <pivotField dataField="1" showAll="0">
      <items count="6">
        <item x="4"/>
        <item x="3"/>
        <item x="0"/>
        <item x="1"/>
        <item x="2"/>
        <item t="default"/>
      </items>
    </pivotField>
    <pivotField numFmtId="44" showAll="0"/>
    <pivotField numFmtId="44" showAll="0"/>
    <pivotField numFmtId="44" showAll="0"/>
    <pivotField numFmtId="44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showAll="0"/>
    <pivotField numFmtId="44" showAll="0"/>
    <pivotField numFmtId="44" showAll="0"/>
    <pivotField numFmtId="165"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UESTO NOMINAL" fld="4" subtotal="count" baseField="0" baseItem="0"/>
    <dataField name="Máx. de 031 JORNAL" fld="6" subtotal="max" baseField="4" baseItem="4"/>
    <dataField name="Suma de 032 B ANT" fld="10" baseField="4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4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F10:AI31" firstHeaderRow="0" firstDataRow="1" firstDataCol="1"/>
  <pivotFields count="28">
    <pivotField showAll="0"/>
    <pivotField showAll="0"/>
    <pivotField showAll="0"/>
    <pivotField showAll="0"/>
    <pivotField axis="axisRow" dataField="1" showAll="0">
      <items count="22">
        <item x="1"/>
        <item x="15"/>
        <item x="7"/>
        <item x="2"/>
        <item x="12"/>
        <item x="11"/>
        <item x="14"/>
        <item x="0"/>
        <item x="13"/>
        <item x="10"/>
        <item x="17"/>
        <item x="18"/>
        <item x="5"/>
        <item x="8"/>
        <item x="19"/>
        <item x="9"/>
        <item x="4"/>
        <item m="1" x="20"/>
        <item x="6"/>
        <item x="3"/>
        <item x="16"/>
        <item t="default"/>
      </items>
    </pivotField>
    <pivotField showAll="0"/>
    <pivotField dataField="1" showAll="0"/>
    <pivotField numFmtId="44" showAll="0"/>
    <pivotField numFmtId="44" showAll="0"/>
    <pivotField numFmtId="49" showAll="0"/>
    <pivotField dataField="1" showAll="0">
      <items count="6">
        <item x="1"/>
        <item x="0"/>
        <item x="2"/>
        <item x="3"/>
        <item x="4"/>
        <item t="default"/>
      </items>
    </pivotField>
    <pivotField numFmtId="44" showAll="0"/>
    <pivotField numFmtId="44" showAll="0"/>
    <pivotField numFmtId="44" showAll="0"/>
    <pivotField numFmtId="44" showAll="0"/>
    <pivotField numFmtId="165" showAll="0"/>
    <pivotField numFmtId="165" showAll="0"/>
    <pivotField numFmtId="165" showAll="0"/>
    <pivotField numFmtId="165" showAll="0"/>
    <pivotField numFmtId="165" showAll="0"/>
    <pivotField numFmtId="169" showAll="0"/>
    <pivotField showAll="0"/>
    <pivotField showAll="0"/>
    <pivotField showAll="0"/>
    <pivotField showAll="0"/>
    <pivotField showAll="0"/>
    <pivotField showAll="0"/>
    <pivotField numFmtId="165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UESTO NOMINAL" fld="4" subtotal="count" baseField="0" baseItem="0"/>
    <dataField name="Máx. de 031 JORNAL" fld="6" subtotal="max" baseField="4" baseItem="13"/>
    <dataField name="Suma de 032 B ANT" fld="10" baseField="4" baseItem="1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 dinámica7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E5:AH15" firstHeaderRow="0" firstDataRow="1" firstDataCol="1"/>
  <pivotFields count="28">
    <pivotField showAll="0"/>
    <pivotField showAll="0"/>
    <pivotField showAll="0"/>
    <pivotField showAll="0"/>
    <pivotField axis="axisRow" dataField="1" showAll="0">
      <items count="10">
        <item x="2"/>
        <item x="3"/>
        <item x="5"/>
        <item x="0"/>
        <item x="6"/>
        <item x="4"/>
        <item x="7"/>
        <item x="8"/>
        <item x="1"/>
        <item t="default"/>
      </items>
    </pivotField>
    <pivotField showAll="0"/>
    <pivotField dataField="1" showAll="0"/>
    <pivotField numFmtId="44" showAll="0"/>
    <pivotField numFmtId="44" showAll="0"/>
    <pivotField numFmtId="49" showAll="0"/>
    <pivotField dataField="1" showAll="0">
      <items count="6">
        <item x="4"/>
        <item x="3"/>
        <item x="1"/>
        <item x="2"/>
        <item x="0"/>
        <item t="default"/>
      </items>
    </pivotField>
    <pivotField numFmtId="44" showAll="0"/>
    <pivotField numFmtId="44" showAll="0"/>
    <pivotField numFmtId="44" showAll="0"/>
    <pivotField numFmtId="44" showAll="0"/>
    <pivotField numFmtId="165" showAll="0"/>
    <pivotField numFmtId="165" showAll="0"/>
    <pivotField numFmtId="165" showAll="0"/>
    <pivotField numFmtId="165" showAll="0"/>
    <pivotField numFmtId="165" showAll="0"/>
    <pivotField numFmtId="169" showAll="0"/>
    <pivotField showAll="0"/>
    <pivotField showAll="0"/>
    <pivotField showAll="0"/>
    <pivotField showAll="0"/>
    <pivotField numFmtId="44" showAll="0"/>
    <pivotField numFmtId="44" showAll="0"/>
    <pivotField numFmtId="165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UESTO NOMINAL" fld="4" subtotal="count" baseField="0" baseItem="0"/>
    <dataField name="Máx. de 031 JORNAL" fld="6" subtotal="max" baseField="4" baseItem="0"/>
    <dataField name="Suma de 032 B ANT" fld="10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6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D5:AG20" firstHeaderRow="0" firstDataRow="1" firstDataCol="1"/>
  <pivotFields count="28">
    <pivotField showAll="0"/>
    <pivotField showAll="0"/>
    <pivotField showAll="0"/>
    <pivotField showAll="0"/>
    <pivotField axis="axisRow" dataField="1" showAll="0">
      <items count="15">
        <item x="3"/>
        <item x="5"/>
        <item x="12"/>
        <item x="8"/>
        <item x="0"/>
        <item x="2"/>
        <item x="11"/>
        <item x="10"/>
        <item x="7"/>
        <item x="6"/>
        <item x="13"/>
        <item x="1"/>
        <item x="4"/>
        <item x="9"/>
        <item t="default"/>
      </items>
    </pivotField>
    <pivotField showAll="0"/>
    <pivotField dataField="1" numFmtId="43" showAll="0"/>
    <pivotField numFmtId="44" showAll="0"/>
    <pivotField numFmtId="44" showAll="0"/>
    <pivotField numFmtId="49" showAll="0"/>
    <pivotField dataField="1" showAll="0">
      <items count="6">
        <item x="4"/>
        <item x="3"/>
        <item x="2"/>
        <item x="1"/>
        <item x="0"/>
        <item t="default"/>
      </items>
    </pivotField>
    <pivotField numFmtId="44" showAll="0"/>
    <pivotField numFmtId="44" showAll="0"/>
    <pivotField numFmtId="44" showAll="0"/>
    <pivotField numFmtId="44" showAll="0"/>
    <pivotField numFmtId="165" showAll="0"/>
    <pivotField numFmtId="165" showAll="0"/>
    <pivotField numFmtId="165" showAll="0"/>
    <pivotField numFmtId="165" showAll="0"/>
    <pivotField numFmtId="165" showAll="0"/>
    <pivotField numFmtId="169" showAll="0"/>
    <pivotField showAll="0"/>
    <pivotField showAll="0"/>
    <pivotField showAll="0"/>
    <pivotField showAll="0"/>
    <pivotField showAll="0"/>
    <pivotField showAll="0"/>
    <pivotField numFmtId="165" showAll="0"/>
  </pivotFields>
  <rowFields count="1">
    <field x="4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UESTO NOMINAL" fld="4" subtotal="count" baseField="0" baseItem="0"/>
    <dataField name="Máx. de 031 JORNAL" fld="6" subtotal="max" baseField="4" baseItem="0"/>
    <dataField name="Suma de 032 B ANT" fld="10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 dinámica1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E5:AH24" firstHeaderRow="0" firstDataRow="1" firstDataCol="1"/>
  <pivotFields count="28">
    <pivotField showAll="0"/>
    <pivotField showAll="0"/>
    <pivotField showAll="0"/>
    <pivotField showAll="0"/>
    <pivotField axis="axisRow" dataField="1" showAll="0">
      <items count="19">
        <item x="0"/>
        <item x="3"/>
        <item x="6"/>
        <item x="2"/>
        <item x="16"/>
        <item x="4"/>
        <item x="14"/>
        <item x="5"/>
        <item x="9"/>
        <item x="15"/>
        <item x="8"/>
        <item x="12"/>
        <item x="1"/>
        <item x="11"/>
        <item x="17"/>
        <item x="7"/>
        <item x="13"/>
        <item x="10"/>
        <item t="default"/>
      </items>
    </pivotField>
    <pivotField showAll="0"/>
    <pivotField dataField="1" showAll="0">
      <items count="9">
        <item x="2"/>
        <item x="0"/>
        <item x="3"/>
        <item x="5"/>
        <item x="7"/>
        <item x="1"/>
        <item x="4"/>
        <item x="6"/>
        <item t="default"/>
      </items>
    </pivotField>
    <pivotField numFmtId="44" showAll="0"/>
    <pivotField showAll="0"/>
    <pivotField numFmtId="49" showAll="0"/>
    <pivotField dataField="1" showAll="0">
      <items count="6">
        <item x="4"/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9" showAll="0"/>
    <pivotField showAll="0"/>
    <pivotField showAll="0"/>
    <pivotField showAll="0"/>
    <pivotField showAll="0"/>
    <pivotField numFmtId="44" showAll="0"/>
    <pivotField numFmtId="44" showAll="0"/>
    <pivotField numFmtId="165" showAll="0"/>
  </pivotFields>
  <rowFields count="1">
    <field x="4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UESTO NOMINAL" fld="4" subtotal="count" baseField="0" baseItem="0"/>
    <dataField name="Máx. de 031 JORNAL" fld="6" subtotal="max" baseField="4" baseItem="0"/>
    <dataField name="Suma de 032 B ANT" fld="10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39"/>
  <sheetViews>
    <sheetView tabSelected="1" zoomScale="70" zoomScaleNormal="70" zoomScaleSheetLayoutView="40" zoomScalePageLayoutView="85" workbookViewId="0">
      <pane xSplit="5" ySplit="19" topLeftCell="V20" activePane="bottomRight" state="frozen"/>
      <selection pane="topRight" activeCell="F1" sqref="F1"/>
      <selection pane="bottomLeft" activeCell="A20" sqref="A20"/>
      <selection pane="bottomRight" activeCell="AB8" sqref="AB8"/>
    </sheetView>
  </sheetViews>
  <sheetFormatPr baseColWidth="10" defaultRowHeight="15"/>
  <cols>
    <col min="1" max="1" width="2.85546875" customWidth="1"/>
    <col min="2" max="2" width="6" customWidth="1"/>
    <col min="3" max="3" width="25.140625" style="10" customWidth="1"/>
    <col min="4" max="4" width="34.7109375" style="2" customWidth="1"/>
    <col min="5" max="5" width="11.42578125" style="11" customWidth="1"/>
    <col min="6" max="6" width="12.7109375" style="4" customWidth="1"/>
    <col min="7" max="7" width="14.85546875" style="3" bestFit="1" customWidth="1"/>
    <col min="8" max="8" width="12.7109375" style="4" customWidth="1"/>
    <col min="9" max="9" width="14.85546875" style="3" bestFit="1" customWidth="1"/>
    <col min="10" max="10" width="12.7109375" style="5" customWidth="1"/>
    <col min="11" max="11" width="14.85546875" style="3" customWidth="1"/>
    <col min="12" max="12" width="12.7109375" style="4" customWidth="1"/>
    <col min="13" max="13" width="14.85546875" style="3" customWidth="1"/>
    <col min="14" max="14" width="12.7109375" style="4" customWidth="1"/>
    <col min="15" max="15" width="14.85546875" style="3" customWidth="1"/>
    <col min="16" max="16" width="12.7109375" style="4" customWidth="1"/>
    <col min="17" max="17" width="14.85546875" style="3" customWidth="1"/>
    <col min="18" max="18" width="12.7109375" style="4" customWidth="1"/>
    <col min="19" max="19" width="16.42578125" style="3" customWidth="1"/>
    <col min="20" max="20" width="12.7109375" style="4" customWidth="1"/>
    <col min="21" max="21" width="16.140625" style="3" customWidth="1"/>
    <col min="22" max="22" width="12.7109375" style="6" customWidth="1"/>
    <col min="23" max="23" width="14.5703125" style="3" customWidth="1"/>
    <col min="24" max="24" width="12.7109375" style="6" customWidth="1"/>
    <col min="25" max="25" width="14.5703125" style="3" customWidth="1"/>
    <col min="26" max="26" width="12.7109375" style="6" customWidth="1"/>
    <col min="27" max="27" width="14.5703125" style="3" customWidth="1"/>
    <col min="28" max="28" width="12.7109375" style="4" customWidth="1"/>
    <col min="29" max="29" width="14.85546875" style="3" customWidth="1"/>
    <col min="30" max="30" width="14" hidden="1" customWidth="1"/>
    <col min="31" max="31" width="15.28515625" hidden="1" customWidth="1"/>
    <col min="32" max="32" width="14" bestFit="1" customWidth="1"/>
    <col min="33" max="33" width="15.28515625" customWidth="1"/>
    <col min="34" max="34" width="16.7109375" customWidth="1"/>
    <col min="35" max="35" width="14.85546875" hidden="1" customWidth="1"/>
    <col min="36" max="37" width="14.85546875" customWidth="1"/>
    <col min="38" max="38" width="14" style="3" customWidth="1"/>
    <col min="39" max="39" width="14.42578125" style="3" bestFit="1" customWidth="1"/>
    <col min="40" max="40" width="12.42578125" style="3" bestFit="1" customWidth="1"/>
    <col min="41" max="41" width="17.85546875" bestFit="1" customWidth="1"/>
    <col min="43" max="43" width="16" customWidth="1"/>
    <col min="44" max="45" width="13" bestFit="1" customWidth="1"/>
  </cols>
  <sheetData>
    <row r="1" spans="1:42">
      <c r="D1" s="4"/>
      <c r="E1" s="10"/>
      <c r="F1"/>
      <c r="G1"/>
      <c r="H1"/>
    </row>
    <row r="2" spans="1:42">
      <c r="D2" s="4"/>
      <c r="E2" s="10"/>
      <c r="F2"/>
      <c r="G2"/>
      <c r="H2"/>
    </row>
    <row r="3" spans="1:42">
      <c r="D3" s="4"/>
      <c r="E3" s="10"/>
      <c r="F3"/>
      <c r="G3"/>
      <c r="H3"/>
    </row>
    <row r="4" spans="1:42">
      <c r="D4" s="4"/>
      <c r="E4" s="10"/>
      <c r="F4"/>
      <c r="G4"/>
      <c r="H4"/>
    </row>
    <row r="5" spans="1:42">
      <c r="D5" s="4"/>
      <c r="E5" s="10"/>
      <c r="F5"/>
      <c r="G5"/>
      <c r="H5"/>
    </row>
    <row r="6" spans="1:42">
      <c r="D6" s="4"/>
      <c r="E6" s="10"/>
      <c r="F6"/>
      <c r="G6"/>
      <c r="H6"/>
    </row>
    <row r="7" spans="1:42" ht="26.25">
      <c r="B7" s="700" t="s">
        <v>28</v>
      </c>
      <c r="C7" s="700"/>
      <c r="D7" s="700"/>
      <c r="E7" s="10"/>
      <c r="F7"/>
      <c r="G7"/>
      <c r="H7"/>
    </row>
    <row r="8" spans="1:42" ht="18.75" customHeight="1">
      <c r="B8" s="706" t="s">
        <v>29</v>
      </c>
      <c r="C8" s="706"/>
      <c r="D8" s="706"/>
      <c r="E8" s="706"/>
      <c r="F8" s="706"/>
      <c r="G8" s="23"/>
      <c r="H8" s="23"/>
    </row>
    <row r="9" spans="1:42" ht="23.25" customHeight="1">
      <c r="B9" s="705" t="s">
        <v>30</v>
      </c>
      <c r="C9" s="705"/>
      <c r="D9" s="705"/>
      <c r="E9" s="705"/>
      <c r="F9" s="705"/>
      <c r="G9"/>
      <c r="H9"/>
    </row>
    <row r="10" spans="1:42" ht="18.75" customHeight="1">
      <c r="B10" s="704" t="s">
        <v>33</v>
      </c>
      <c r="C10" s="704"/>
      <c r="D10" s="704"/>
      <c r="E10" s="10"/>
      <c r="F10"/>
      <c r="G10"/>
      <c r="H10"/>
    </row>
    <row r="11" spans="1:42" ht="18.75" customHeight="1">
      <c r="B11" s="704" t="s">
        <v>88</v>
      </c>
      <c r="C11" s="704"/>
      <c r="D11" s="704"/>
      <c r="E11" s="704"/>
      <c r="F11" s="704"/>
      <c r="G11"/>
      <c r="H11"/>
    </row>
    <row r="12" spans="1:42" ht="18.75" customHeight="1">
      <c r="B12" s="707" t="s">
        <v>2414</v>
      </c>
      <c r="C12" s="707"/>
      <c r="D12" s="707"/>
      <c r="E12" s="10"/>
      <c r="F12"/>
      <c r="G12"/>
      <c r="H12"/>
    </row>
    <row r="13" spans="1:42" ht="15" customHeight="1">
      <c r="B13" s="1"/>
    </row>
    <row r="14" spans="1:42" ht="15.75" customHeight="1" thickBot="1">
      <c r="B14" s="14"/>
      <c r="C14" s="15"/>
      <c r="D14" s="16"/>
      <c r="E14" s="17"/>
      <c r="F14" s="18"/>
      <c r="G14" s="19"/>
      <c r="H14" s="18"/>
      <c r="I14" s="19"/>
      <c r="J14" s="20"/>
      <c r="K14" s="19"/>
      <c r="L14" s="18"/>
      <c r="M14" s="19"/>
      <c r="N14" s="18"/>
      <c r="O14" s="19"/>
      <c r="P14" s="18"/>
      <c r="Q14" s="19"/>
      <c r="R14" s="18"/>
      <c r="S14" s="19"/>
      <c r="T14" s="18"/>
      <c r="U14" s="19"/>
      <c r="V14" s="21"/>
      <c r="W14" s="19"/>
      <c r="X14" s="21"/>
      <c r="Y14" s="19"/>
      <c r="Z14" s="21"/>
      <c r="AA14" s="19"/>
      <c r="AB14" s="18"/>
      <c r="AC14" s="19"/>
      <c r="AD14" s="14"/>
      <c r="AE14" s="14"/>
      <c r="AF14" s="14"/>
      <c r="AG14" s="14"/>
      <c r="AH14" s="14"/>
      <c r="AI14" s="14"/>
      <c r="AJ14" s="14"/>
      <c r="AK14" s="14"/>
      <c r="AL14" s="19"/>
      <c r="AM14" s="19"/>
      <c r="AN14" s="19"/>
      <c r="AO14" s="14"/>
    </row>
    <row r="15" spans="1:42" s="7" customFormat="1" ht="35.1" customHeight="1">
      <c r="A15" s="27"/>
      <c r="B15" s="708" t="s">
        <v>0</v>
      </c>
      <c r="C15" s="685" t="s">
        <v>1</v>
      </c>
      <c r="D15" s="711" t="s">
        <v>2</v>
      </c>
      <c r="E15" s="701" t="s">
        <v>3</v>
      </c>
      <c r="F15" s="714" t="s">
        <v>4</v>
      </c>
      <c r="G15" s="715"/>
      <c r="H15" s="715"/>
      <c r="I15" s="715"/>
      <c r="J15" s="715"/>
      <c r="K15" s="715"/>
      <c r="L15" s="715"/>
      <c r="M15" s="715"/>
      <c r="N15" s="715"/>
      <c r="O15" s="715"/>
      <c r="P15" s="715"/>
      <c r="Q15" s="715"/>
      <c r="R15" s="715"/>
      <c r="S15" s="715"/>
      <c r="T15" s="715"/>
      <c r="U15" s="715"/>
      <c r="V15" s="715"/>
      <c r="W15" s="715"/>
      <c r="X15" s="715"/>
      <c r="Y15" s="715"/>
      <c r="Z15" s="715"/>
      <c r="AA15" s="715"/>
      <c r="AB15" s="715"/>
      <c r="AC15" s="716"/>
      <c r="AD15" s="685" t="s">
        <v>5</v>
      </c>
      <c r="AE15" s="685"/>
      <c r="AF15" s="685"/>
      <c r="AG15" s="685"/>
      <c r="AH15" s="685"/>
      <c r="AI15" s="685"/>
      <c r="AJ15" s="685"/>
      <c r="AK15" s="685"/>
      <c r="AL15" s="685"/>
      <c r="AM15" s="685"/>
      <c r="AN15" s="685"/>
      <c r="AO15" s="725" t="s">
        <v>6</v>
      </c>
      <c r="AP15" s="27"/>
    </row>
    <row r="16" spans="1:42" s="7" customFormat="1" ht="35.1" customHeight="1">
      <c r="A16" s="27"/>
      <c r="B16" s="709"/>
      <c r="C16" s="686"/>
      <c r="D16" s="712"/>
      <c r="E16" s="702"/>
      <c r="F16" s="717"/>
      <c r="G16" s="718"/>
      <c r="H16" s="718"/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8"/>
      <c r="AB16" s="718"/>
      <c r="AC16" s="719"/>
      <c r="AD16" s="693" t="s">
        <v>7</v>
      </c>
      <c r="AE16" s="693"/>
      <c r="AF16" s="693" t="s">
        <v>7</v>
      </c>
      <c r="AG16" s="693"/>
      <c r="AH16" s="688" t="s">
        <v>8</v>
      </c>
      <c r="AI16" s="689"/>
      <c r="AJ16" s="689"/>
      <c r="AK16" s="690"/>
      <c r="AL16" s="728" t="s">
        <v>9</v>
      </c>
      <c r="AM16" s="728" t="s">
        <v>10</v>
      </c>
      <c r="AN16" s="728" t="s">
        <v>11</v>
      </c>
      <c r="AO16" s="726"/>
      <c r="AP16" s="27"/>
    </row>
    <row r="17" spans="1:42" s="7" customFormat="1" ht="35.1" customHeight="1">
      <c r="A17" s="27"/>
      <c r="B17" s="709"/>
      <c r="C17" s="686"/>
      <c r="D17" s="712"/>
      <c r="E17" s="702"/>
      <c r="F17" s="686" t="s">
        <v>12</v>
      </c>
      <c r="G17" s="686"/>
      <c r="H17" s="686" t="s">
        <v>13</v>
      </c>
      <c r="I17" s="686"/>
      <c r="J17" s="686" t="s">
        <v>14</v>
      </c>
      <c r="K17" s="686"/>
      <c r="L17" s="686" t="s">
        <v>15</v>
      </c>
      <c r="M17" s="686"/>
      <c r="N17" s="720" t="s">
        <v>16</v>
      </c>
      <c r="O17" s="721"/>
      <c r="P17" s="720" t="s">
        <v>17</v>
      </c>
      <c r="Q17" s="721"/>
      <c r="R17" s="720" t="s">
        <v>18</v>
      </c>
      <c r="S17" s="721"/>
      <c r="T17" s="686" t="s">
        <v>19</v>
      </c>
      <c r="U17" s="686"/>
      <c r="V17" s="686" t="s">
        <v>20</v>
      </c>
      <c r="W17" s="686"/>
      <c r="X17" s="686" t="s">
        <v>21</v>
      </c>
      <c r="Y17" s="686"/>
      <c r="Z17" s="686" t="s">
        <v>22</v>
      </c>
      <c r="AA17" s="686"/>
      <c r="AB17" s="686" t="s">
        <v>23</v>
      </c>
      <c r="AC17" s="686"/>
      <c r="AD17" s="686" t="s">
        <v>24</v>
      </c>
      <c r="AE17" s="686" t="s">
        <v>25</v>
      </c>
      <c r="AF17" s="686" t="s">
        <v>24</v>
      </c>
      <c r="AG17" s="686" t="s">
        <v>25</v>
      </c>
      <c r="AH17" s="686" t="s">
        <v>24</v>
      </c>
      <c r="AI17" s="686" t="s">
        <v>25</v>
      </c>
      <c r="AJ17" s="686" t="s">
        <v>25</v>
      </c>
      <c r="AK17" s="691" t="s">
        <v>148</v>
      </c>
      <c r="AL17" s="728"/>
      <c r="AM17" s="728"/>
      <c r="AN17" s="728"/>
      <c r="AO17" s="726"/>
      <c r="AP17" s="27"/>
    </row>
    <row r="18" spans="1:42" s="7" customFormat="1" ht="45" customHeight="1" thickBot="1">
      <c r="A18" s="27"/>
      <c r="B18" s="710"/>
      <c r="C18" s="687"/>
      <c r="D18" s="713"/>
      <c r="E18" s="703"/>
      <c r="F18" s="442" t="s">
        <v>26</v>
      </c>
      <c r="G18" s="441" t="s">
        <v>6</v>
      </c>
      <c r="H18" s="442" t="s">
        <v>26</v>
      </c>
      <c r="I18" s="441" t="s">
        <v>6</v>
      </c>
      <c r="J18" s="8" t="s">
        <v>26</v>
      </c>
      <c r="K18" s="441" t="s">
        <v>6</v>
      </c>
      <c r="L18" s="442" t="s">
        <v>26</v>
      </c>
      <c r="M18" s="441" t="s">
        <v>6</v>
      </c>
      <c r="N18" s="442" t="s">
        <v>26</v>
      </c>
      <c r="O18" s="441" t="s">
        <v>6</v>
      </c>
      <c r="P18" s="442" t="s">
        <v>26</v>
      </c>
      <c r="Q18" s="441" t="s">
        <v>6</v>
      </c>
      <c r="R18" s="442" t="s">
        <v>26</v>
      </c>
      <c r="S18" s="441" t="s">
        <v>6</v>
      </c>
      <c r="T18" s="442" t="s">
        <v>26</v>
      </c>
      <c r="U18" s="441" t="s">
        <v>6</v>
      </c>
      <c r="V18" s="9" t="s">
        <v>26</v>
      </c>
      <c r="W18" s="441" t="s">
        <v>6</v>
      </c>
      <c r="X18" s="9" t="s">
        <v>26</v>
      </c>
      <c r="Y18" s="441" t="s">
        <v>6</v>
      </c>
      <c r="Z18" s="9" t="s">
        <v>26</v>
      </c>
      <c r="AA18" s="441" t="s">
        <v>6</v>
      </c>
      <c r="AB18" s="442" t="s">
        <v>26</v>
      </c>
      <c r="AC18" s="441" t="s">
        <v>6</v>
      </c>
      <c r="AD18" s="687"/>
      <c r="AE18" s="687"/>
      <c r="AF18" s="687"/>
      <c r="AG18" s="687"/>
      <c r="AH18" s="687"/>
      <c r="AI18" s="687"/>
      <c r="AJ18" s="687"/>
      <c r="AK18" s="692"/>
      <c r="AL18" s="729"/>
      <c r="AM18" s="729"/>
      <c r="AN18" s="729"/>
      <c r="AO18" s="727"/>
      <c r="AP18" s="27"/>
    </row>
    <row r="19" spans="1:42" s="7" customFormat="1" ht="15" customHeight="1" thickBot="1">
      <c r="A19" s="27"/>
      <c r="B19" s="722" t="s">
        <v>87</v>
      </c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4"/>
      <c r="AP19" s="27"/>
    </row>
    <row r="20" spans="1:42" s="24" customFormat="1" ht="15" customHeight="1" thickBot="1">
      <c r="A20" s="28"/>
      <c r="B20" s="627">
        <v>1</v>
      </c>
      <c r="C20" s="695" t="s">
        <v>34</v>
      </c>
      <c r="D20" s="628" t="s">
        <v>35</v>
      </c>
      <c r="E20" s="639">
        <v>71.400000000000006</v>
      </c>
      <c r="F20" s="638">
        <v>14</v>
      </c>
      <c r="G20" s="629">
        <f>+E20*F20*31</f>
        <v>30987.600000000006</v>
      </c>
      <c r="H20" s="630">
        <v>14</v>
      </c>
      <c r="I20" s="25">
        <f>+H20*E20*28</f>
        <v>27988.800000000003</v>
      </c>
      <c r="J20" s="631"/>
      <c r="K20" s="629"/>
      <c r="L20" s="632"/>
      <c r="M20" s="629"/>
      <c r="N20" s="630"/>
      <c r="O20" s="629"/>
      <c r="P20" s="630"/>
      <c r="Q20" s="629"/>
      <c r="R20" s="630"/>
      <c r="S20" s="629"/>
      <c r="T20" s="633"/>
      <c r="U20" s="634"/>
      <c r="V20" s="630"/>
      <c r="W20" s="629"/>
      <c r="X20" s="630"/>
      <c r="Y20" s="629"/>
      <c r="Z20" s="630"/>
      <c r="AA20" s="629"/>
      <c r="AB20" s="630"/>
      <c r="AC20" s="629"/>
      <c r="AD20" s="643">
        <f t="shared" ref="AD20:AD83" si="0">+AE20*12</f>
        <v>420</v>
      </c>
      <c r="AE20" s="643">
        <v>35</v>
      </c>
      <c r="AF20" s="643">
        <f t="shared" ref="AF20:AF83" si="1">+AG20*12</f>
        <v>420</v>
      </c>
      <c r="AG20" s="643">
        <v>35</v>
      </c>
      <c r="AH20" s="629">
        <f>+AI20*12</f>
        <v>295680</v>
      </c>
      <c r="AI20" s="629">
        <f t="shared" ref="AI20:AI25" si="2">1760*F20</f>
        <v>24640</v>
      </c>
      <c r="AJ20" s="629">
        <f t="shared" ref="AJ20:AJ25" si="3">1760*H20</f>
        <v>24640</v>
      </c>
      <c r="AK20" s="629">
        <v>0</v>
      </c>
      <c r="AL20" s="629">
        <v>0</v>
      </c>
      <c r="AM20" s="629">
        <v>0</v>
      </c>
      <c r="AN20" s="629">
        <v>0</v>
      </c>
      <c r="AO20" s="635">
        <f>+G20+I20+K20+M20+O20+Q20+S20+AJ20+U20+W20+Y20+AA20+AC20+AE20+AG20+AI20+AK20+AL20+AM20+AN20</f>
        <v>108326.40000000001</v>
      </c>
      <c r="AP20" s="28"/>
    </row>
    <row r="21" spans="1:42" s="7" customFormat="1" ht="15.75" thickBot="1">
      <c r="A21" s="27"/>
      <c r="B21" s="636">
        <v>2</v>
      </c>
      <c r="C21" s="694"/>
      <c r="D21" s="625" t="s">
        <v>38</v>
      </c>
      <c r="E21" s="640">
        <v>71.400000000000006</v>
      </c>
      <c r="F21" s="637">
        <v>4</v>
      </c>
      <c r="G21" s="25">
        <f t="shared" ref="G21:G83" si="4">+E21*F21*31</f>
        <v>8853.6</v>
      </c>
      <c r="H21" s="440">
        <v>4</v>
      </c>
      <c r="I21" s="25">
        <f t="shared" ref="I21:I86" si="5">+H21*E21*28</f>
        <v>7996.8000000000011</v>
      </c>
      <c r="J21" s="626"/>
      <c r="K21" s="25"/>
      <c r="L21" s="443"/>
      <c r="M21" s="25"/>
      <c r="N21" s="440"/>
      <c r="O21" s="25"/>
      <c r="P21" s="440"/>
      <c r="Q21" s="25"/>
      <c r="R21" s="440"/>
      <c r="S21" s="25"/>
      <c r="T21" s="444"/>
      <c r="U21" s="445"/>
      <c r="V21" s="440"/>
      <c r="W21" s="25"/>
      <c r="X21" s="440"/>
      <c r="Y21" s="25"/>
      <c r="Z21" s="440"/>
      <c r="AA21" s="25"/>
      <c r="AB21" s="440"/>
      <c r="AC21" s="25"/>
      <c r="AD21" s="642">
        <f t="shared" si="0"/>
        <v>600</v>
      </c>
      <c r="AE21" s="642">
        <v>50</v>
      </c>
      <c r="AF21" s="642">
        <f t="shared" si="1"/>
        <v>600</v>
      </c>
      <c r="AG21" s="642">
        <v>50</v>
      </c>
      <c r="AH21" s="25">
        <f t="shared" ref="AH21:AH84" si="6">+AI21*12</f>
        <v>84480</v>
      </c>
      <c r="AI21" s="25">
        <f t="shared" si="2"/>
        <v>7040</v>
      </c>
      <c r="AJ21" s="25">
        <f t="shared" si="3"/>
        <v>7040</v>
      </c>
      <c r="AK21" s="25">
        <v>0</v>
      </c>
      <c r="AL21" s="25">
        <v>0</v>
      </c>
      <c r="AM21" s="25">
        <v>0</v>
      </c>
      <c r="AN21" s="25">
        <v>0</v>
      </c>
      <c r="AO21" s="635">
        <f t="shared" ref="AO21:AO84" si="7">+G21+I21+K21+M21+O21+Q21+S21+AJ21+U21+W21+Y21+AA21+AC21+AE21+AG21+AI21+AK21+AL21+AM21+AN21</f>
        <v>31030.400000000001</v>
      </c>
      <c r="AP21" s="27"/>
    </row>
    <row r="22" spans="1:42" s="7" customFormat="1" ht="15.75" thickBot="1">
      <c r="A22" s="27"/>
      <c r="B22" s="636">
        <v>3</v>
      </c>
      <c r="C22" s="694"/>
      <c r="D22" s="625" t="s">
        <v>39</v>
      </c>
      <c r="E22" s="640">
        <v>78.25</v>
      </c>
      <c r="F22" s="637">
        <v>1</v>
      </c>
      <c r="G22" s="25">
        <f t="shared" si="4"/>
        <v>2425.75</v>
      </c>
      <c r="H22" s="440">
        <v>1</v>
      </c>
      <c r="I22" s="25">
        <f t="shared" si="5"/>
        <v>2191</v>
      </c>
      <c r="J22" s="626"/>
      <c r="K22" s="25"/>
      <c r="L22" s="443"/>
      <c r="M22" s="25"/>
      <c r="N22" s="440"/>
      <c r="O22" s="25"/>
      <c r="P22" s="440"/>
      <c r="Q22" s="25"/>
      <c r="R22" s="440"/>
      <c r="S22" s="25"/>
      <c r="T22" s="444"/>
      <c r="U22" s="445"/>
      <c r="V22" s="440"/>
      <c r="W22" s="25"/>
      <c r="X22" s="440"/>
      <c r="Y22" s="25"/>
      <c r="Z22" s="440"/>
      <c r="AA22" s="25"/>
      <c r="AB22" s="440"/>
      <c r="AC22" s="25"/>
      <c r="AD22" s="642">
        <f t="shared" si="0"/>
        <v>600</v>
      </c>
      <c r="AE22" s="642">
        <v>50</v>
      </c>
      <c r="AF22" s="642">
        <f t="shared" si="1"/>
        <v>600</v>
      </c>
      <c r="AG22" s="642">
        <v>50</v>
      </c>
      <c r="AH22" s="25">
        <f t="shared" si="6"/>
        <v>21120</v>
      </c>
      <c r="AI22" s="25">
        <f t="shared" si="2"/>
        <v>1760</v>
      </c>
      <c r="AJ22" s="25">
        <f t="shared" si="3"/>
        <v>1760</v>
      </c>
      <c r="AK22" s="25">
        <v>0</v>
      </c>
      <c r="AL22" s="25">
        <v>0</v>
      </c>
      <c r="AM22" s="25">
        <v>0</v>
      </c>
      <c r="AN22" s="25">
        <v>0</v>
      </c>
      <c r="AO22" s="635">
        <f t="shared" si="7"/>
        <v>8236.75</v>
      </c>
      <c r="AP22" s="27"/>
    </row>
    <row r="23" spans="1:42" s="7" customFormat="1" ht="15.75" thickBot="1">
      <c r="A23" s="27"/>
      <c r="B23" s="636">
        <v>4</v>
      </c>
      <c r="C23" s="694"/>
      <c r="D23" s="625" t="s">
        <v>31</v>
      </c>
      <c r="E23" s="640">
        <v>72.540000000000006</v>
      </c>
      <c r="F23" s="637">
        <v>2</v>
      </c>
      <c r="G23" s="25">
        <f t="shared" si="4"/>
        <v>4497.4800000000005</v>
      </c>
      <c r="H23" s="440">
        <v>2</v>
      </c>
      <c r="I23" s="25">
        <f t="shared" si="5"/>
        <v>4062.2400000000002</v>
      </c>
      <c r="J23" s="626"/>
      <c r="K23" s="25"/>
      <c r="L23" s="443"/>
      <c r="M23" s="25"/>
      <c r="N23" s="440"/>
      <c r="O23" s="25"/>
      <c r="P23" s="440"/>
      <c r="Q23" s="25"/>
      <c r="R23" s="440"/>
      <c r="S23" s="25"/>
      <c r="T23" s="444"/>
      <c r="U23" s="445"/>
      <c r="V23" s="440"/>
      <c r="W23" s="25"/>
      <c r="X23" s="440"/>
      <c r="Y23" s="25"/>
      <c r="Z23" s="440"/>
      <c r="AA23" s="25"/>
      <c r="AB23" s="440"/>
      <c r="AC23" s="25"/>
      <c r="AD23" s="642">
        <f t="shared" si="0"/>
        <v>0</v>
      </c>
      <c r="AE23" s="642">
        <v>0</v>
      </c>
      <c r="AF23" s="642">
        <f t="shared" si="1"/>
        <v>0</v>
      </c>
      <c r="AG23" s="642">
        <v>0</v>
      </c>
      <c r="AH23" s="25">
        <f t="shared" si="6"/>
        <v>42240</v>
      </c>
      <c r="AI23" s="25">
        <f t="shared" si="2"/>
        <v>3520</v>
      </c>
      <c r="AJ23" s="25">
        <f t="shared" si="3"/>
        <v>3520</v>
      </c>
      <c r="AK23" s="25">
        <v>0</v>
      </c>
      <c r="AL23" s="25">
        <v>0</v>
      </c>
      <c r="AM23" s="25">
        <v>0</v>
      </c>
      <c r="AN23" s="25">
        <v>0</v>
      </c>
      <c r="AO23" s="635">
        <f t="shared" si="7"/>
        <v>15599.720000000001</v>
      </c>
      <c r="AP23" s="27"/>
    </row>
    <row r="24" spans="1:42" s="7" customFormat="1" ht="15.75" thickBot="1">
      <c r="A24" s="27"/>
      <c r="B24" s="439">
        <v>5</v>
      </c>
      <c r="C24" s="694"/>
      <c r="D24" s="625" t="s">
        <v>40</v>
      </c>
      <c r="E24" s="640">
        <v>73.59</v>
      </c>
      <c r="F24" s="637">
        <v>1</v>
      </c>
      <c r="G24" s="25">
        <f t="shared" si="4"/>
        <v>2281.29</v>
      </c>
      <c r="H24" s="440">
        <v>1</v>
      </c>
      <c r="I24" s="25">
        <f t="shared" si="5"/>
        <v>2060.52</v>
      </c>
      <c r="J24" s="626"/>
      <c r="K24" s="25"/>
      <c r="L24" s="443"/>
      <c r="M24" s="25"/>
      <c r="N24" s="440"/>
      <c r="O24" s="25"/>
      <c r="P24" s="440"/>
      <c r="Q24" s="25"/>
      <c r="R24" s="440"/>
      <c r="S24" s="25"/>
      <c r="T24" s="444"/>
      <c r="U24" s="445"/>
      <c r="V24" s="440"/>
      <c r="W24" s="25"/>
      <c r="X24" s="440"/>
      <c r="Y24" s="25"/>
      <c r="Z24" s="440"/>
      <c r="AA24" s="25"/>
      <c r="AB24" s="440"/>
      <c r="AC24" s="25"/>
      <c r="AD24" s="642">
        <f t="shared" si="0"/>
        <v>900</v>
      </c>
      <c r="AE24" s="642">
        <v>75</v>
      </c>
      <c r="AF24" s="642">
        <f t="shared" si="1"/>
        <v>900</v>
      </c>
      <c r="AG24" s="642">
        <v>75</v>
      </c>
      <c r="AH24" s="25">
        <f t="shared" si="6"/>
        <v>21120</v>
      </c>
      <c r="AI24" s="25">
        <f t="shared" si="2"/>
        <v>1760</v>
      </c>
      <c r="AJ24" s="25">
        <f t="shared" si="3"/>
        <v>1760</v>
      </c>
      <c r="AK24" s="25">
        <v>0</v>
      </c>
      <c r="AL24" s="25">
        <v>0</v>
      </c>
      <c r="AM24" s="25">
        <v>0</v>
      </c>
      <c r="AN24" s="25">
        <v>0</v>
      </c>
      <c r="AO24" s="635">
        <f t="shared" si="7"/>
        <v>8011.8099999999995</v>
      </c>
      <c r="AP24" s="27"/>
    </row>
    <row r="25" spans="1:42" s="7" customFormat="1" ht="15.75" thickBot="1">
      <c r="A25" s="27"/>
      <c r="B25" s="636">
        <v>6</v>
      </c>
      <c r="C25" s="694"/>
      <c r="D25" s="625" t="s">
        <v>41</v>
      </c>
      <c r="E25" s="640">
        <v>75.64</v>
      </c>
      <c r="F25" s="637">
        <v>5</v>
      </c>
      <c r="G25" s="25">
        <f t="shared" si="4"/>
        <v>11724.199999999999</v>
      </c>
      <c r="H25" s="440">
        <v>5</v>
      </c>
      <c r="I25" s="25">
        <f t="shared" si="5"/>
        <v>10589.6</v>
      </c>
      <c r="J25" s="626"/>
      <c r="K25" s="25"/>
      <c r="L25" s="443"/>
      <c r="M25" s="25"/>
      <c r="N25" s="440"/>
      <c r="O25" s="25"/>
      <c r="P25" s="440"/>
      <c r="Q25" s="25"/>
      <c r="R25" s="440"/>
      <c r="S25" s="25"/>
      <c r="T25" s="444"/>
      <c r="U25" s="445"/>
      <c r="V25" s="440"/>
      <c r="W25" s="25"/>
      <c r="X25" s="440"/>
      <c r="Y25" s="25"/>
      <c r="Z25" s="440"/>
      <c r="AA25" s="25"/>
      <c r="AB25" s="440"/>
      <c r="AC25" s="25"/>
      <c r="AD25" s="642">
        <f t="shared" si="0"/>
        <v>600</v>
      </c>
      <c r="AE25" s="642">
        <v>50</v>
      </c>
      <c r="AF25" s="642">
        <f t="shared" si="1"/>
        <v>600</v>
      </c>
      <c r="AG25" s="642">
        <v>50</v>
      </c>
      <c r="AH25" s="25">
        <f t="shared" si="6"/>
        <v>105600</v>
      </c>
      <c r="AI25" s="25">
        <f t="shared" si="2"/>
        <v>8800</v>
      </c>
      <c r="AJ25" s="25">
        <f t="shared" si="3"/>
        <v>8800</v>
      </c>
      <c r="AK25" s="25">
        <v>0</v>
      </c>
      <c r="AL25" s="25">
        <v>0</v>
      </c>
      <c r="AM25" s="25">
        <v>0</v>
      </c>
      <c r="AN25" s="25">
        <v>0</v>
      </c>
      <c r="AO25" s="635">
        <f t="shared" si="7"/>
        <v>40013.800000000003</v>
      </c>
      <c r="AP25" s="27"/>
    </row>
    <row r="26" spans="1:42" s="7" customFormat="1" ht="15.75" thickBot="1">
      <c r="A26" s="27"/>
      <c r="B26" s="636">
        <v>7</v>
      </c>
      <c r="C26" s="694"/>
      <c r="D26" s="625" t="s">
        <v>42</v>
      </c>
      <c r="E26" s="640">
        <v>75.64</v>
      </c>
      <c r="F26" s="637">
        <v>3</v>
      </c>
      <c r="G26" s="25">
        <f>+E26*2*31</f>
        <v>4689.68</v>
      </c>
      <c r="H26" s="440">
        <v>2</v>
      </c>
      <c r="I26" s="25">
        <f t="shared" si="5"/>
        <v>4235.84</v>
      </c>
      <c r="J26" s="626"/>
      <c r="K26" s="25"/>
      <c r="L26" s="443"/>
      <c r="M26" s="25"/>
      <c r="N26" s="440"/>
      <c r="O26" s="25"/>
      <c r="P26" s="440"/>
      <c r="Q26" s="25"/>
      <c r="R26" s="440"/>
      <c r="S26" s="25"/>
      <c r="T26" s="444"/>
      <c r="U26" s="445"/>
      <c r="V26" s="440"/>
      <c r="W26" s="25"/>
      <c r="X26" s="440"/>
      <c r="Y26" s="25"/>
      <c r="Z26" s="440"/>
      <c r="AA26" s="25"/>
      <c r="AB26" s="440"/>
      <c r="AC26" s="25"/>
      <c r="AD26" s="642">
        <f t="shared" si="0"/>
        <v>600</v>
      </c>
      <c r="AE26" s="642">
        <v>50</v>
      </c>
      <c r="AF26" s="642">
        <f t="shared" si="1"/>
        <v>600</v>
      </c>
      <c r="AG26" s="642">
        <v>50</v>
      </c>
      <c r="AH26" s="25">
        <f t="shared" si="6"/>
        <v>42240</v>
      </c>
      <c r="AI26" s="25">
        <f>1760*2</f>
        <v>3520</v>
      </c>
      <c r="AJ26" s="25">
        <f>1760*2</f>
        <v>3520</v>
      </c>
      <c r="AK26" s="25">
        <v>0</v>
      </c>
      <c r="AL26" s="25">
        <v>0</v>
      </c>
      <c r="AM26" s="25">
        <v>0</v>
      </c>
      <c r="AN26" s="25">
        <v>0</v>
      </c>
      <c r="AO26" s="635">
        <f t="shared" si="7"/>
        <v>16065.52</v>
      </c>
      <c r="AP26" s="27"/>
    </row>
    <row r="27" spans="1:42" s="7" customFormat="1" ht="15.75" thickBot="1">
      <c r="A27" s="27"/>
      <c r="B27" s="636">
        <v>8</v>
      </c>
      <c r="C27" s="694"/>
      <c r="D27" s="625" t="s">
        <v>37</v>
      </c>
      <c r="E27" s="640">
        <v>80.86</v>
      </c>
      <c r="F27" s="637">
        <v>3</v>
      </c>
      <c r="G27" s="25">
        <f t="shared" si="4"/>
        <v>7519.98</v>
      </c>
      <c r="H27" s="440">
        <v>3</v>
      </c>
      <c r="I27" s="25">
        <f t="shared" si="5"/>
        <v>6792.24</v>
      </c>
      <c r="J27" s="626"/>
      <c r="K27" s="25"/>
      <c r="L27" s="443"/>
      <c r="M27" s="25"/>
      <c r="N27" s="440"/>
      <c r="O27" s="25"/>
      <c r="P27" s="440"/>
      <c r="Q27" s="25"/>
      <c r="R27" s="440"/>
      <c r="S27" s="25"/>
      <c r="T27" s="444"/>
      <c r="U27" s="445"/>
      <c r="V27" s="440"/>
      <c r="W27" s="25"/>
      <c r="X27" s="440"/>
      <c r="Y27" s="25"/>
      <c r="Z27" s="440"/>
      <c r="AA27" s="25"/>
      <c r="AB27" s="440"/>
      <c r="AC27" s="25"/>
      <c r="AD27" s="642">
        <f t="shared" si="0"/>
        <v>420</v>
      </c>
      <c r="AE27" s="642">
        <v>35</v>
      </c>
      <c r="AF27" s="642">
        <f t="shared" si="1"/>
        <v>420</v>
      </c>
      <c r="AG27" s="642">
        <v>35</v>
      </c>
      <c r="AH27" s="25">
        <f t="shared" si="6"/>
        <v>63360</v>
      </c>
      <c r="AI27" s="25">
        <f t="shared" ref="AI27:AI50" si="8">1760*F27</f>
        <v>5280</v>
      </c>
      <c r="AJ27" s="25">
        <f>1760*H27</f>
        <v>5280</v>
      </c>
      <c r="AK27" s="25">
        <v>0</v>
      </c>
      <c r="AL27" s="25">
        <v>0</v>
      </c>
      <c r="AM27" s="25">
        <v>0</v>
      </c>
      <c r="AN27" s="25">
        <v>0</v>
      </c>
      <c r="AO27" s="635">
        <f t="shared" si="7"/>
        <v>24942.22</v>
      </c>
      <c r="AP27" s="27"/>
    </row>
    <row r="28" spans="1:42" s="7" customFormat="1" ht="15" customHeight="1" thickBot="1">
      <c r="A28" s="27"/>
      <c r="B28" s="439">
        <v>40</v>
      </c>
      <c r="C28" s="694" t="s">
        <v>43</v>
      </c>
      <c r="D28" s="446" t="s">
        <v>44</v>
      </c>
      <c r="E28" s="640">
        <v>72.540000000000006</v>
      </c>
      <c r="F28" s="444">
        <v>7</v>
      </c>
      <c r="G28" s="25">
        <f t="shared" si="4"/>
        <v>15741.18</v>
      </c>
      <c r="H28" s="444">
        <v>7</v>
      </c>
      <c r="I28" s="25">
        <f t="shared" si="5"/>
        <v>14217.84</v>
      </c>
      <c r="J28" s="444"/>
      <c r="K28" s="25"/>
      <c r="L28" s="444"/>
      <c r="M28" s="25"/>
      <c r="N28" s="444"/>
      <c r="O28" s="25"/>
      <c r="P28" s="444"/>
      <c r="Q28" s="25"/>
      <c r="R28" s="444"/>
      <c r="S28" s="25"/>
      <c r="T28" s="444"/>
      <c r="U28" s="445"/>
      <c r="V28" s="440"/>
      <c r="W28" s="25"/>
      <c r="X28" s="440"/>
      <c r="Y28" s="25"/>
      <c r="Z28" s="440"/>
      <c r="AA28" s="25"/>
      <c r="AB28" s="440"/>
      <c r="AC28" s="25"/>
      <c r="AD28" s="642">
        <f t="shared" si="0"/>
        <v>4200</v>
      </c>
      <c r="AE28" s="642">
        <v>350</v>
      </c>
      <c r="AF28" s="642">
        <f t="shared" si="1"/>
        <v>4200</v>
      </c>
      <c r="AG28" s="642">
        <v>350</v>
      </c>
      <c r="AH28" s="25">
        <f t="shared" si="6"/>
        <v>147840</v>
      </c>
      <c r="AI28" s="25">
        <f t="shared" si="8"/>
        <v>12320</v>
      </c>
      <c r="AJ28" s="25">
        <f t="shared" ref="AJ28:AJ84" si="9">1760*H28</f>
        <v>12320</v>
      </c>
      <c r="AK28" s="25">
        <v>0</v>
      </c>
      <c r="AL28" s="25">
        <v>0</v>
      </c>
      <c r="AM28" s="25">
        <v>0</v>
      </c>
      <c r="AN28" s="25">
        <v>0</v>
      </c>
      <c r="AO28" s="635">
        <f t="shared" si="7"/>
        <v>55299.020000000004</v>
      </c>
      <c r="AP28" s="27"/>
    </row>
    <row r="29" spans="1:42" s="7" customFormat="1" ht="15.75" thickBot="1">
      <c r="A29" s="27"/>
      <c r="B29" s="636">
        <v>41</v>
      </c>
      <c r="C29" s="694"/>
      <c r="D29" s="446" t="s">
        <v>35</v>
      </c>
      <c r="E29" s="640">
        <v>71.400000000000006</v>
      </c>
      <c r="F29" s="444">
        <v>5</v>
      </c>
      <c r="G29" s="25">
        <f t="shared" si="4"/>
        <v>11067</v>
      </c>
      <c r="H29" s="444">
        <v>5</v>
      </c>
      <c r="I29" s="25">
        <f t="shared" si="5"/>
        <v>9996</v>
      </c>
      <c r="J29" s="444"/>
      <c r="K29" s="25"/>
      <c r="L29" s="444"/>
      <c r="M29" s="25"/>
      <c r="N29" s="444"/>
      <c r="O29" s="25"/>
      <c r="P29" s="444"/>
      <c r="Q29" s="25"/>
      <c r="R29" s="444"/>
      <c r="S29" s="25"/>
      <c r="T29" s="444"/>
      <c r="U29" s="445"/>
      <c r="V29" s="440"/>
      <c r="W29" s="25"/>
      <c r="X29" s="440"/>
      <c r="Y29" s="25"/>
      <c r="Z29" s="440"/>
      <c r="AA29" s="25"/>
      <c r="AB29" s="440"/>
      <c r="AC29" s="25"/>
      <c r="AD29" s="642">
        <f t="shared" si="0"/>
        <v>600</v>
      </c>
      <c r="AE29" s="642">
        <v>50</v>
      </c>
      <c r="AF29" s="642">
        <f t="shared" si="1"/>
        <v>600</v>
      </c>
      <c r="AG29" s="642">
        <v>50</v>
      </c>
      <c r="AH29" s="25">
        <f t="shared" si="6"/>
        <v>105600</v>
      </c>
      <c r="AI29" s="25">
        <f t="shared" si="8"/>
        <v>8800</v>
      </c>
      <c r="AJ29" s="25">
        <f t="shared" si="9"/>
        <v>8800</v>
      </c>
      <c r="AK29" s="25">
        <v>0</v>
      </c>
      <c r="AL29" s="25">
        <v>0</v>
      </c>
      <c r="AM29" s="25">
        <v>0</v>
      </c>
      <c r="AN29" s="25">
        <v>0</v>
      </c>
      <c r="AO29" s="635">
        <f t="shared" si="7"/>
        <v>38763</v>
      </c>
      <c r="AP29" s="27"/>
    </row>
    <row r="30" spans="1:42" s="7" customFormat="1" ht="18" customHeight="1" thickBot="1">
      <c r="A30" s="27"/>
      <c r="B30" s="439">
        <v>56</v>
      </c>
      <c r="C30" s="694" t="s">
        <v>45</v>
      </c>
      <c r="D30" s="625" t="s">
        <v>44</v>
      </c>
      <c r="E30" s="641">
        <v>72.540000000000006</v>
      </c>
      <c r="F30" s="637">
        <v>26</v>
      </c>
      <c r="G30" s="25">
        <f t="shared" si="4"/>
        <v>58467.240000000005</v>
      </c>
      <c r="H30" s="637">
        <v>26</v>
      </c>
      <c r="I30" s="25">
        <f t="shared" si="5"/>
        <v>52809.120000000003</v>
      </c>
      <c r="J30" s="444"/>
      <c r="K30" s="25"/>
      <c r="L30" s="444"/>
      <c r="M30" s="25"/>
      <c r="N30" s="444"/>
      <c r="O30" s="25"/>
      <c r="P30" s="444"/>
      <c r="Q30" s="25"/>
      <c r="R30" s="444"/>
      <c r="S30" s="25"/>
      <c r="T30" s="444"/>
      <c r="U30" s="25"/>
      <c r="V30" s="440"/>
      <c r="W30" s="25"/>
      <c r="X30" s="440"/>
      <c r="Y30" s="25"/>
      <c r="Z30" s="440"/>
      <c r="AA30" s="25"/>
      <c r="AB30" s="440"/>
      <c r="AC30" s="25"/>
      <c r="AD30" s="642">
        <f t="shared" si="0"/>
        <v>22800</v>
      </c>
      <c r="AE30" s="641">
        <v>1900</v>
      </c>
      <c r="AF30" s="642">
        <f t="shared" si="1"/>
        <v>22800</v>
      </c>
      <c r="AG30" s="641">
        <v>1900</v>
      </c>
      <c r="AH30" s="25">
        <f t="shared" si="6"/>
        <v>549120</v>
      </c>
      <c r="AI30" s="25">
        <f t="shared" si="8"/>
        <v>45760</v>
      </c>
      <c r="AJ30" s="25">
        <f t="shared" si="9"/>
        <v>45760</v>
      </c>
      <c r="AK30" s="25">
        <v>0</v>
      </c>
      <c r="AL30" s="25">
        <v>0</v>
      </c>
      <c r="AM30" s="25">
        <v>0</v>
      </c>
      <c r="AN30" s="25">
        <v>0</v>
      </c>
      <c r="AO30" s="635">
        <f t="shared" si="7"/>
        <v>206596.36000000002</v>
      </c>
      <c r="AP30" s="27"/>
    </row>
    <row r="31" spans="1:42" s="7" customFormat="1" ht="15" customHeight="1" thickBot="1">
      <c r="A31" s="27"/>
      <c r="B31" s="636">
        <v>57</v>
      </c>
      <c r="C31" s="694"/>
      <c r="D31" s="625" t="s">
        <v>46</v>
      </c>
      <c r="E31" s="641">
        <v>73.59</v>
      </c>
      <c r="F31" s="637">
        <v>19</v>
      </c>
      <c r="G31" s="25">
        <f t="shared" si="4"/>
        <v>43344.51</v>
      </c>
      <c r="H31" s="637">
        <v>19</v>
      </c>
      <c r="I31" s="25">
        <f t="shared" si="5"/>
        <v>39149.880000000005</v>
      </c>
      <c r="J31" s="444"/>
      <c r="K31" s="25"/>
      <c r="L31" s="444"/>
      <c r="M31" s="25"/>
      <c r="N31" s="444"/>
      <c r="O31" s="25"/>
      <c r="P31" s="444"/>
      <c r="Q31" s="25"/>
      <c r="R31" s="444"/>
      <c r="S31" s="25"/>
      <c r="T31" s="444"/>
      <c r="U31" s="25"/>
      <c r="V31" s="440"/>
      <c r="W31" s="25"/>
      <c r="X31" s="440"/>
      <c r="Y31" s="25"/>
      <c r="Z31" s="440"/>
      <c r="AA31" s="25"/>
      <c r="AB31" s="440"/>
      <c r="AC31" s="25"/>
      <c r="AD31" s="642">
        <f t="shared" si="0"/>
        <v>16800</v>
      </c>
      <c r="AE31" s="641">
        <v>1400</v>
      </c>
      <c r="AF31" s="642">
        <f t="shared" si="1"/>
        <v>16800</v>
      </c>
      <c r="AG31" s="641">
        <v>1400</v>
      </c>
      <c r="AH31" s="25">
        <f t="shared" si="6"/>
        <v>401280</v>
      </c>
      <c r="AI31" s="25">
        <f t="shared" si="8"/>
        <v>33440</v>
      </c>
      <c r="AJ31" s="25">
        <f t="shared" si="9"/>
        <v>33440</v>
      </c>
      <c r="AK31" s="25">
        <v>0</v>
      </c>
      <c r="AL31" s="25">
        <v>0</v>
      </c>
      <c r="AM31" s="25">
        <v>0</v>
      </c>
      <c r="AN31" s="25">
        <v>0</v>
      </c>
      <c r="AO31" s="635">
        <f t="shared" si="7"/>
        <v>152174.39000000001</v>
      </c>
      <c r="AP31" s="27"/>
    </row>
    <row r="32" spans="1:42" s="7" customFormat="1" ht="15" customHeight="1" thickBot="1">
      <c r="A32" s="27"/>
      <c r="B32" s="636">
        <v>58</v>
      </c>
      <c r="C32" s="694"/>
      <c r="D32" s="625" t="s">
        <v>47</v>
      </c>
      <c r="E32" s="641">
        <v>74.63</v>
      </c>
      <c r="F32" s="637">
        <v>14</v>
      </c>
      <c r="G32" s="25">
        <f t="shared" si="4"/>
        <v>32389.42</v>
      </c>
      <c r="H32" s="637">
        <v>14</v>
      </c>
      <c r="I32" s="25">
        <f t="shared" si="5"/>
        <v>29254.959999999999</v>
      </c>
      <c r="J32" s="444"/>
      <c r="K32" s="25"/>
      <c r="L32" s="444"/>
      <c r="M32" s="25"/>
      <c r="N32" s="444"/>
      <c r="O32" s="25"/>
      <c r="P32" s="444"/>
      <c r="Q32" s="25"/>
      <c r="R32" s="444"/>
      <c r="S32" s="25"/>
      <c r="T32" s="444"/>
      <c r="U32" s="25"/>
      <c r="V32" s="440"/>
      <c r="W32" s="25"/>
      <c r="X32" s="440"/>
      <c r="Y32" s="25"/>
      <c r="Z32" s="440"/>
      <c r="AA32" s="25"/>
      <c r="AB32" s="440"/>
      <c r="AC32" s="25"/>
      <c r="AD32" s="642">
        <f t="shared" si="0"/>
        <v>12600</v>
      </c>
      <c r="AE32" s="641">
        <v>1050</v>
      </c>
      <c r="AF32" s="642">
        <f t="shared" si="1"/>
        <v>12600</v>
      </c>
      <c r="AG32" s="641">
        <v>1050</v>
      </c>
      <c r="AH32" s="25">
        <f t="shared" si="6"/>
        <v>295680</v>
      </c>
      <c r="AI32" s="25">
        <f t="shared" si="8"/>
        <v>24640</v>
      </c>
      <c r="AJ32" s="25">
        <f t="shared" si="9"/>
        <v>24640</v>
      </c>
      <c r="AK32" s="25">
        <v>0</v>
      </c>
      <c r="AL32" s="25">
        <v>0</v>
      </c>
      <c r="AM32" s="25">
        <v>0</v>
      </c>
      <c r="AN32" s="25">
        <v>0</v>
      </c>
      <c r="AO32" s="635">
        <f t="shared" si="7"/>
        <v>113024.38</v>
      </c>
      <c r="AP32" s="27"/>
    </row>
    <row r="33" spans="1:44" s="7" customFormat="1" ht="15" customHeight="1" thickBot="1">
      <c r="A33" s="27"/>
      <c r="B33" s="439">
        <v>59</v>
      </c>
      <c r="C33" s="694"/>
      <c r="D33" s="625" t="s">
        <v>89</v>
      </c>
      <c r="E33" s="641">
        <v>75.64</v>
      </c>
      <c r="F33" s="637">
        <v>15</v>
      </c>
      <c r="G33" s="25">
        <f t="shared" si="4"/>
        <v>35172.6</v>
      </c>
      <c r="H33" s="637">
        <v>15</v>
      </c>
      <c r="I33" s="25">
        <f t="shared" si="5"/>
        <v>31768.799999999996</v>
      </c>
      <c r="J33" s="444"/>
      <c r="K33" s="25"/>
      <c r="L33" s="444"/>
      <c r="M33" s="25"/>
      <c r="N33" s="444"/>
      <c r="O33" s="25"/>
      <c r="P33" s="444"/>
      <c r="Q33" s="25"/>
      <c r="R33" s="444"/>
      <c r="S33" s="25"/>
      <c r="T33" s="444"/>
      <c r="U33" s="25"/>
      <c r="V33" s="440"/>
      <c r="W33" s="25"/>
      <c r="X33" s="440"/>
      <c r="Y33" s="25"/>
      <c r="Z33" s="440"/>
      <c r="AA33" s="25"/>
      <c r="AB33" s="440"/>
      <c r="AC33" s="25"/>
      <c r="AD33" s="642">
        <f t="shared" si="0"/>
        <v>0</v>
      </c>
      <c r="AE33" s="641"/>
      <c r="AF33" s="642">
        <f t="shared" si="1"/>
        <v>0</v>
      </c>
      <c r="AG33" s="641"/>
      <c r="AH33" s="25">
        <f t="shared" si="6"/>
        <v>316800</v>
      </c>
      <c r="AI33" s="25">
        <f t="shared" si="8"/>
        <v>26400</v>
      </c>
      <c r="AJ33" s="25">
        <f t="shared" si="9"/>
        <v>26400</v>
      </c>
      <c r="AK33" s="25">
        <v>0</v>
      </c>
      <c r="AL33" s="25">
        <v>0</v>
      </c>
      <c r="AM33" s="25">
        <v>0</v>
      </c>
      <c r="AN33" s="25">
        <v>0</v>
      </c>
      <c r="AO33" s="635">
        <f t="shared" si="7"/>
        <v>119741.4</v>
      </c>
      <c r="AP33" s="27"/>
    </row>
    <row r="34" spans="1:44" s="7" customFormat="1" ht="15" customHeight="1" thickBot="1">
      <c r="A34" s="27"/>
      <c r="B34" s="439">
        <v>60</v>
      </c>
      <c r="C34" s="694"/>
      <c r="D34" s="625" t="s">
        <v>59</v>
      </c>
      <c r="E34" s="641">
        <v>77.59</v>
      </c>
      <c r="F34" s="637">
        <v>21</v>
      </c>
      <c r="G34" s="25">
        <f t="shared" si="4"/>
        <v>50511.090000000004</v>
      </c>
      <c r="H34" s="637">
        <v>21</v>
      </c>
      <c r="I34" s="25">
        <f t="shared" si="5"/>
        <v>45622.920000000006</v>
      </c>
      <c r="J34" s="444"/>
      <c r="K34" s="25"/>
      <c r="L34" s="444"/>
      <c r="M34" s="25"/>
      <c r="N34" s="444"/>
      <c r="O34" s="25"/>
      <c r="P34" s="444"/>
      <c r="Q34" s="25"/>
      <c r="R34" s="444"/>
      <c r="S34" s="25"/>
      <c r="T34" s="444"/>
      <c r="U34" s="25"/>
      <c r="V34" s="440"/>
      <c r="W34" s="25"/>
      <c r="X34" s="440"/>
      <c r="Y34" s="25"/>
      <c r="Z34" s="440"/>
      <c r="AA34" s="25"/>
      <c r="AB34" s="440"/>
      <c r="AC34" s="25"/>
      <c r="AD34" s="642">
        <f t="shared" si="0"/>
        <v>0</v>
      </c>
      <c r="AE34" s="641"/>
      <c r="AF34" s="642">
        <f t="shared" si="1"/>
        <v>0</v>
      </c>
      <c r="AG34" s="641"/>
      <c r="AH34" s="25">
        <f t="shared" si="6"/>
        <v>443520</v>
      </c>
      <c r="AI34" s="25">
        <f t="shared" si="8"/>
        <v>36960</v>
      </c>
      <c r="AJ34" s="25">
        <f t="shared" si="9"/>
        <v>36960</v>
      </c>
      <c r="AK34" s="25">
        <v>0</v>
      </c>
      <c r="AL34" s="25">
        <v>0</v>
      </c>
      <c r="AM34" s="25">
        <v>0</v>
      </c>
      <c r="AN34" s="25">
        <v>0</v>
      </c>
      <c r="AO34" s="635">
        <f t="shared" si="7"/>
        <v>170054.01</v>
      </c>
      <c r="AP34" s="27"/>
    </row>
    <row r="35" spans="1:44" s="7" customFormat="1" ht="15" customHeight="1" thickBot="1">
      <c r="A35" s="27"/>
      <c r="B35" s="636">
        <v>61</v>
      </c>
      <c r="C35" s="694"/>
      <c r="D35" s="625" t="s">
        <v>72</v>
      </c>
      <c r="E35" s="641">
        <v>71.400000000000006</v>
      </c>
      <c r="F35" s="637">
        <v>6</v>
      </c>
      <c r="G35" s="25">
        <f t="shared" si="4"/>
        <v>13280.400000000001</v>
      </c>
      <c r="H35" s="637">
        <v>6</v>
      </c>
      <c r="I35" s="25">
        <f t="shared" si="5"/>
        <v>11995.2</v>
      </c>
      <c r="J35" s="444"/>
      <c r="K35" s="25"/>
      <c r="L35" s="444"/>
      <c r="M35" s="25"/>
      <c r="N35" s="444"/>
      <c r="O35" s="25"/>
      <c r="P35" s="444"/>
      <c r="Q35" s="25"/>
      <c r="R35" s="444"/>
      <c r="S35" s="25"/>
      <c r="T35" s="444"/>
      <c r="U35" s="25"/>
      <c r="V35" s="440"/>
      <c r="W35" s="25"/>
      <c r="X35" s="440"/>
      <c r="Y35" s="25"/>
      <c r="Z35" s="440"/>
      <c r="AA35" s="25"/>
      <c r="AB35" s="440"/>
      <c r="AC35" s="25"/>
      <c r="AD35" s="642">
        <f t="shared" si="0"/>
        <v>4200</v>
      </c>
      <c r="AE35" s="641">
        <v>350</v>
      </c>
      <c r="AF35" s="642">
        <f t="shared" si="1"/>
        <v>4200</v>
      </c>
      <c r="AG35" s="641">
        <v>350</v>
      </c>
      <c r="AH35" s="25">
        <f t="shared" si="6"/>
        <v>126720</v>
      </c>
      <c r="AI35" s="25">
        <f t="shared" si="8"/>
        <v>10560</v>
      </c>
      <c r="AJ35" s="25">
        <f>1760*H35</f>
        <v>10560</v>
      </c>
      <c r="AK35" s="25">
        <v>0</v>
      </c>
      <c r="AL35" s="25">
        <v>0</v>
      </c>
      <c r="AM35" s="25">
        <v>0</v>
      </c>
      <c r="AN35" s="25">
        <v>0</v>
      </c>
      <c r="AO35" s="635">
        <f t="shared" si="7"/>
        <v>47095.600000000006</v>
      </c>
      <c r="AP35" s="27"/>
    </row>
    <row r="36" spans="1:44" s="7" customFormat="1" ht="15.75" thickBot="1">
      <c r="A36" s="27"/>
      <c r="B36" s="636">
        <v>62</v>
      </c>
      <c r="C36" s="694"/>
      <c r="D36" s="625" t="s">
        <v>48</v>
      </c>
      <c r="E36" s="641">
        <v>71.400000000000006</v>
      </c>
      <c r="F36" s="637">
        <v>1</v>
      </c>
      <c r="G36" s="25">
        <f t="shared" si="4"/>
        <v>2213.4</v>
      </c>
      <c r="H36" s="637">
        <v>1</v>
      </c>
      <c r="I36" s="25">
        <f t="shared" si="5"/>
        <v>1999.2000000000003</v>
      </c>
      <c r="J36" s="444"/>
      <c r="K36" s="25"/>
      <c r="L36" s="444"/>
      <c r="M36" s="25"/>
      <c r="N36" s="444"/>
      <c r="O36" s="25"/>
      <c r="P36" s="444"/>
      <c r="Q36" s="25"/>
      <c r="R36" s="444"/>
      <c r="S36" s="25"/>
      <c r="T36" s="444"/>
      <c r="U36" s="25"/>
      <c r="V36" s="440"/>
      <c r="W36" s="25"/>
      <c r="X36" s="440"/>
      <c r="Y36" s="25"/>
      <c r="Z36" s="440"/>
      <c r="AA36" s="25"/>
      <c r="AB36" s="440"/>
      <c r="AC36" s="25"/>
      <c r="AD36" s="642">
        <f t="shared" si="0"/>
        <v>0</v>
      </c>
      <c r="AE36" s="641"/>
      <c r="AF36" s="642">
        <f t="shared" si="1"/>
        <v>0</v>
      </c>
      <c r="AG36" s="641"/>
      <c r="AH36" s="25">
        <f t="shared" si="6"/>
        <v>21120</v>
      </c>
      <c r="AI36" s="25">
        <f t="shared" si="8"/>
        <v>1760</v>
      </c>
      <c r="AJ36" s="25">
        <f t="shared" si="9"/>
        <v>1760</v>
      </c>
      <c r="AK36" s="25">
        <v>0</v>
      </c>
      <c r="AL36" s="25">
        <v>0</v>
      </c>
      <c r="AM36" s="25">
        <v>0</v>
      </c>
      <c r="AN36" s="25">
        <v>0</v>
      </c>
      <c r="AO36" s="635">
        <f t="shared" si="7"/>
        <v>7732.6</v>
      </c>
      <c r="AP36" s="27"/>
    </row>
    <row r="37" spans="1:44" s="7" customFormat="1" ht="15" customHeight="1" thickBot="1">
      <c r="A37" s="27"/>
      <c r="B37" s="439">
        <v>63</v>
      </c>
      <c r="C37" s="694"/>
      <c r="D37" s="625" t="s">
        <v>73</v>
      </c>
      <c r="E37" s="641">
        <v>71.400000000000006</v>
      </c>
      <c r="F37" s="637">
        <v>1</v>
      </c>
      <c r="G37" s="25">
        <f t="shared" si="4"/>
        <v>2213.4</v>
      </c>
      <c r="H37" s="637">
        <v>1</v>
      </c>
      <c r="I37" s="25">
        <f t="shared" si="5"/>
        <v>1999.2000000000003</v>
      </c>
      <c r="J37" s="447"/>
      <c r="K37" s="25"/>
      <c r="L37" s="447"/>
      <c r="M37" s="25"/>
      <c r="N37" s="447"/>
      <c r="O37" s="25"/>
      <c r="P37" s="447"/>
      <c r="Q37" s="25"/>
      <c r="R37" s="447"/>
      <c r="S37" s="25"/>
      <c r="T37" s="447"/>
      <c r="U37" s="25"/>
      <c r="V37" s="440"/>
      <c r="W37" s="25"/>
      <c r="X37" s="440"/>
      <c r="Y37" s="25"/>
      <c r="Z37" s="440"/>
      <c r="AA37" s="25"/>
      <c r="AB37" s="440"/>
      <c r="AC37" s="25"/>
      <c r="AD37" s="642">
        <f t="shared" si="0"/>
        <v>600</v>
      </c>
      <c r="AE37" s="641">
        <v>50</v>
      </c>
      <c r="AF37" s="642">
        <f t="shared" si="1"/>
        <v>600</v>
      </c>
      <c r="AG37" s="641">
        <v>50</v>
      </c>
      <c r="AH37" s="25">
        <f t="shared" si="6"/>
        <v>21120</v>
      </c>
      <c r="AI37" s="25">
        <f t="shared" si="8"/>
        <v>1760</v>
      </c>
      <c r="AJ37" s="25">
        <f t="shared" si="9"/>
        <v>1760</v>
      </c>
      <c r="AK37" s="25">
        <v>0</v>
      </c>
      <c r="AL37" s="25">
        <v>0</v>
      </c>
      <c r="AM37" s="25">
        <v>0</v>
      </c>
      <c r="AN37" s="25">
        <v>0</v>
      </c>
      <c r="AO37" s="635">
        <f t="shared" si="7"/>
        <v>7832.6</v>
      </c>
      <c r="AP37" s="27"/>
    </row>
    <row r="38" spans="1:44" s="13" customFormat="1" ht="15" customHeight="1" thickBot="1">
      <c r="A38" s="644"/>
      <c r="B38" s="645">
        <v>64</v>
      </c>
      <c r="C38" s="694"/>
      <c r="D38" s="646" t="s">
        <v>49</v>
      </c>
      <c r="E38" s="647">
        <v>74.63</v>
      </c>
      <c r="F38" s="648">
        <v>1</v>
      </c>
      <c r="G38" s="649">
        <f t="shared" si="4"/>
        <v>2313.5299999999997</v>
      </c>
      <c r="H38" s="648">
        <v>1</v>
      </c>
      <c r="I38" s="649">
        <f t="shared" si="5"/>
        <v>2089.64</v>
      </c>
      <c r="J38" s="650"/>
      <c r="K38" s="649"/>
      <c r="L38" s="650"/>
      <c r="M38" s="649"/>
      <c r="N38" s="650"/>
      <c r="O38" s="649"/>
      <c r="P38" s="650"/>
      <c r="Q38" s="649"/>
      <c r="R38" s="650"/>
      <c r="S38" s="649"/>
      <c r="T38" s="650"/>
      <c r="U38" s="649"/>
      <c r="V38" s="651"/>
      <c r="W38" s="649"/>
      <c r="X38" s="651"/>
      <c r="Y38" s="649"/>
      <c r="Z38" s="651"/>
      <c r="AA38" s="649"/>
      <c r="AB38" s="651"/>
      <c r="AC38" s="649"/>
      <c r="AD38" s="652">
        <f t="shared" si="0"/>
        <v>900</v>
      </c>
      <c r="AE38" s="647">
        <v>75</v>
      </c>
      <c r="AF38" s="652">
        <f t="shared" si="1"/>
        <v>900</v>
      </c>
      <c r="AG38" s="647">
        <v>75</v>
      </c>
      <c r="AH38" s="649">
        <f t="shared" si="6"/>
        <v>21120</v>
      </c>
      <c r="AI38" s="649">
        <f t="shared" si="8"/>
        <v>1760</v>
      </c>
      <c r="AJ38" s="649">
        <f t="shared" si="9"/>
        <v>1760</v>
      </c>
      <c r="AK38" s="649">
        <v>0</v>
      </c>
      <c r="AL38" s="649">
        <v>0</v>
      </c>
      <c r="AM38" s="649">
        <v>0</v>
      </c>
      <c r="AN38" s="649">
        <v>0</v>
      </c>
      <c r="AO38" s="653">
        <f t="shared" si="7"/>
        <v>8073.17</v>
      </c>
      <c r="AP38" s="644"/>
    </row>
    <row r="39" spans="1:44" s="13" customFormat="1" ht="15" customHeight="1" thickBot="1">
      <c r="A39" s="644"/>
      <c r="B39" s="654">
        <v>65</v>
      </c>
      <c r="C39" s="694"/>
      <c r="D39" s="646" t="s">
        <v>35</v>
      </c>
      <c r="E39" s="647">
        <v>71.400000000000006</v>
      </c>
      <c r="F39" s="648">
        <v>29</v>
      </c>
      <c r="G39" s="649">
        <f t="shared" si="4"/>
        <v>64188.600000000013</v>
      </c>
      <c r="H39" s="648">
        <v>29</v>
      </c>
      <c r="I39" s="649">
        <f>28*E39*28</f>
        <v>55977.600000000006</v>
      </c>
      <c r="J39" s="650"/>
      <c r="K39" s="649"/>
      <c r="L39" s="650"/>
      <c r="M39" s="649"/>
      <c r="N39" s="650"/>
      <c r="O39" s="649"/>
      <c r="P39" s="650"/>
      <c r="Q39" s="649"/>
      <c r="R39" s="650"/>
      <c r="S39" s="649"/>
      <c r="T39" s="650"/>
      <c r="U39" s="649"/>
      <c r="V39" s="651"/>
      <c r="W39" s="649"/>
      <c r="X39" s="651"/>
      <c r="Y39" s="649"/>
      <c r="Z39" s="651"/>
      <c r="AA39" s="649"/>
      <c r="AB39" s="651"/>
      <c r="AC39" s="649"/>
      <c r="AD39" s="652">
        <f t="shared" si="0"/>
        <v>4200</v>
      </c>
      <c r="AE39" s="647">
        <v>350</v>
      </c>
      <c r="AF39" s="652">
        <f t="shared" si="1"/>
        <v>3780</v>
      </c>
      <c r="AG39" s="647">
        <v>315</v>
      </c>
      <c r="AH39" s="649">
        <f t="shared" si="6"/>
        <v>612480</v>
      </c>
      <c r="AI39" s="649">
        <f t="shared" si="8"/>
        <v>51040</v>
      </c>
      <c r="AJ39" s="649">
        <f>1760*28+250</f>
        <v>49530</v>
      </c>
      <c r="AK39" s="649">
        <v>0</v>
      </c>
      <c r="AL39" s="649">
        <v>0</v>
      </c>
      <c r="AM39" s="649">
        <v>0</v>
      </c>
      <c r="AN39" s="649">
        <v>0</v>
      </c>
      <c r="AO39" s="653">
        <f t="shared" si="7"/>
        <v>221401.2</v>
      </c>
      <c r="AP39" s="644"/>
    </row>
    <row r="40" spans="1:44" s="13" customFormat="1" ht="15" customHeight="1" thickBot="1">
      <c r="A40" s="644"/>
      <c r="B40" s="654">
        <v>66</v>
      </c>
      <c r="C40" s="694"/>
      <c r="D40" s="646" t="s">
        <v>67</v>
      </c>
      <c r="E40" s="647">
        <v>73.59</v>
      </c>
      <c r="F40" s="648">
        <v>4</v>
      </c>
      <c r="G40" s="649">
        <f t="shared" si="4"/>
        <v>9125.16</v>
      </c>
      <c r="H40" s="648">
        <v>4</v>
      </c>
      <c r="I40" s="649">
        <f t="shared" si="5"/>
        <v>8242.08</v>
      </c>
      <c r="J40" s="650"/>
      <c r="K40" s="649"/>
      <c r="L40" s="650"/>
      <c r="M40" s="649"/>
      <c r="N40" s="650"/>
      <c r="O40" s="649"/>
      <c r="P40" s="650"/>
      <c r="Q40" s="649"/>
      <c r="R40" s="650"/>
      <c r="S40" s="649"/>
      <c r="T40" s="650"/>
      <c r="U40" s="649"/>
      <c r="V40" s="651"/>
      <c r="W40" s="649"/>
      <c r="X40" s="651"/>
      <c r="Y40" s="649"/>
      <c r="Z40" s="651"/>
      <c r="AA40" s="649"/>
      <c r="AB40" s="651"/>
      <c r="AC40" s="649"/>
      <c r="AD40" s="652">
        <f t="shared" si="0"/>
        <v>3600</v>
      </c>
      <c r="AE40" s="647">
        <v>300</v>
      </c>
      <c r="AF40" s="652">
        <f t="shared" si="1"/>
        <v>3600</v>
      </c>
      <c r="AG40" s="647">
        <v>300</v>
      </c>
      <c r="AH40" s="649">
        <f t="shared" si="6"/>
        <v>84480</v>
      </c>
      <c r="AI40" s="649">
        <f t="shared" si="8"/>
        <v>7040</v>
      </c>
      <c r="AJ40" s="649">
        <f t="shared" si="9"/>
        <v>7040</v>
      </c>
      <c r="AK40" s="649">
        <v>0</v>
      </c>
      <c r="AL40" s="649">
        <v>0</v>
      </c>
      <c r="AM40" s="649">
        <v>0</v>
      </c>
      <c r="AN40" s="649">
        <v>0</v>
      </c>
      <c r="AO40" s="653">
        <f t="shared" si="7"/>
        <v>32047.239999999998</v>
      </c>
      <c r="AP40" s="644"/>
    </row>
    <row r="41" spans="1:44" s="13" customFormat="1" ht="15" customHeight="1" thickBot="1">
      <c r="A41" s="644"/>
      <c r="B41" s="645">
        <v>67</v>
      </c>
      <c r="C41" s="694"/>
      <c r="D41" s="646" t="s">
        <v>50</v>
      </c>
      <c r="E41" s="647">
        <v>74.63</v>
      </c>
      <c r="F41" s="648">
        <v>2</v>
      </c>
      <c r="G41" s="649">
        <f t="shared" si="4"/>
        <v>4627.0599999999995</v>
      </c>
      <c r="H41" s="648">
        <v>2</v>
      </c>
      <c r="I41" s="649">
        <f t="shared" si="5"/>
        <v>4179.28</v>
      </c>
      <c r="J41" s="650"/>
      <c r="K41" s="649"/>
      <c r="L41" s="650"/>
      <c r="M41" s="649"/>
      <c r="N41" s="650"/>
      <c r="O41" s="649"/>
      <c r="P41" s="650"/>
      <c r="Q41" s="649"/>
      <c r="R41" s="650"/>
      <c r="S41" s="649"/>
      <c r="T41" s="650"/>
      <c r="U41" s="649"/>
      <c r="V41" s="651"/>
      <c r="W41" s="649"/>
      <c r="X41" s="651"/>
      <c r="Y41" s="649"/>
      <c r="Z41" s="651"/>
      <c r="AA41" s="649"/>
      <c r="AB41" s="651"/>
      <c r="AC41" s="649"/>
      <c r="AD41" s="652">
        <f t="shared" si="0"/>
        <v>1500</v>
      </c>
      <c r="AE41" s="647">
        <v>125</v>
      </c>
      <c r="AF41" s="652">
        <f t="shared" si="1"/>
        <v>1500</v>
      </c>
      <c r="AG41" s="647">
        <v>125</v>
      </c>
      <c r="AH41" s="649">
        <f t="shared" si="6"/>
        <v>42240</v>
      </c>
      <c r="AI41" s="649">
        <f t="shared" si="8"/>
        <v>3520</v>
      </c>
      <c r="AJ41" s="649">
        <f t="shared" si="9"/>
        <v>3520</v>
      </c>
      <c r="AK41" s="649">
        <v>0</v>
      </c>
      <c r="AL41" s="649">
        <v>0</v>
      </c>
      <c r="AM41" s="649">
        <v>0</v>
      </c>
      <c r="AN41" s="649">
        <v>0</v>
      </c>
      <c r="AO41" s="653">
        <f t="shared" si="7"/>
        <v>16096.34</v>
      </c>
      <c r="AP41" s="644"/>
    </row>
    <row r="42" spans="1:44" s="13" customFormat="1" ht="15" customHeight="1" thickBot="1">
      <c r="A42" s="644"/>
      <c r="B42" s="645">
        <v>68</v>
      </c>
      <c r="C42" s="694"/>
      <c r="D42" s="646" t="s">
        <v>51</v>
      </c>
      <c r="E42" s="647">
        <v>74.63</v>
      </c>
      <c r="F42" s="648">
        <v>1</v>
      </c>
      <c r="G42" s="649">
        <f t="shared" si="4"/>
        <v>2313.5299999999997</v>
      </c>
      <c r="H42" s="648">
        <v>1</v>
      </c>
      <c r="I42" s="649">
        <f t="shared" si="5"/>
        <v>2089.64</v>
      </c>
      <c r="J42" s="650"/>
      <c r="K42" s="649"/>
      <c r="L42" s="650"/>
      <c r="M42" s="649"/>
      <c r="N42" s="650"/>
      <c r="O42" s="649"/>
      <c r="P42" s="650"/>
      <c r="Q42" s="649"/>
      <c r="R42" s="650"/>
      <c r="S42" s="649"/>
      <c r="T42" s="650"/>
      <c r="U42" s="649"/>
      <c r="V42" s="651"/>
      <c r="W42" s="649"/>
      <c r="X42" s="651"/>
      <c r="Y42" s="649"/>
      <c r="Z42" s="651"/>
      <c r="AA42" s="649"/>
      <c r="AB42" s="651"/>
      <c r="AC42" s="649"/>
      <c r="AD42" s="652">
        <f t="shared" si="0"/>
        <v>900</v>
      </c>
      <c r="AE42" s="647">
        <v>75</v>
      </c>
      <c r="AF42" s="652">
        <f t="shared" si="1"/>
        <v>900</v>
      </c>
      <c r="AG42" s="647">
        <v>75</v>
      </c>
      <c r="AH42" s="649">
        <f t="shared" si="6"/>
        <v>21120</v>
      </c>
      <c r="AI42" s="649">
        <f t="shared" si="8"/>
        <v>1760</v>
      </c>
      <c r="AJ42" s="649">
        <f t="shared" si="9"/>
        <v>1760</v>
      </c>
      <c r="AK42" s="649">
        <v>0</v>
      </c>
      <c r="AL42" s="649">
        <v>0</v>
      </c>
      <c r="AM42" s="649">
        <v>0</v>
      </c>
      <c r="AN42" s="649">
        <v>0</v>
      </c>
      <c r="AO42" s="653">
        <f t="shared" si="7"/>
        <v>8073.17</v>
      </c>
      <c r="AP42" s="644"/>
    </row>
    <row r="43" spans="1:44" s="13" customFormat="1" ht="15" customHeight="1" thickBot="1">
      <c r="A43" s="644"/>
      <c r="B43" s="654">
        <v>69</v>
      </c>
      <c r="C43" s="694"/>
      <c r="D43" s="646" t="s">
        <v>61</v>
      </c>
      <c r="E43" s="647">
        <v>77.59</v>
      </c>
      <c r="F43" s="648">
        <v>4</v>
      </c>
      <c r="G43" s="649">
        <f t="shared" si="4"/>
        <v>9621.16</v>
      </c>
      <c r="H43" s="648">
        <v>4</v>
      </c>
      <c r="I43" s="649">
        <f t="shared" si="5"/>
        <v>8690.08</v>
      </c>
      <c r="J43" s="650"/>
      <c r="K43" s="649"/>
      <c r="L43" s="650"/>
      <c r="M43" s="649"/>
      <c r="N43" s="650"/>
      <c r="O43" s="649"/>
      <c r="P43" s="650"/>
      <c r="Q43" s="649"/>
      <c r="R43" s="650"/>
      <c r="S43" s="649"/>
      <c r="T43" s="650"/>
      <c r="U43" s="649"/>
      <c r="V43" s="651"/>
      <c r="W43" s="649"/>
      <c r="X43" s="651"/>
      <c r="Y43" s="649"/>
      <c r="Z43" s="651"/>
      <c r="AA43" s="649"/>
      <c r="AB43" s="651"/>
      <c r="AC43" s="649"/>
      <c r="AD43" s="652">
        <f t="shared" si="0"/>
        <v>0</v>
      </c>
      <c r="AE43" s="647"/>
      <c r="AF43" s="652">
        <f t="shared" si="1"/>
        <v>0</v>
      </c>
      <c r="AG43" s="647"/>
      <c r="AH43" s="649">
        <f t="shared" si="6"/>
        <v>84480</v>
      </c>
      <c r="AI43" s="649">
        <f t="shared" si="8"/>
        <v>7040</v>
      </c>
      <c r="AJ43" s="649">
        <f t="shared" si="9"/>
        <v>7040</v>
      </c>
      <c r="AK43" s="649">
        <v>0</v>
      </c>
      <c r="AL43" s="649">
        <v>0</v>
      </c>
      <c r="AM43" s="649">
        <v>0</v>
      </c>
      <c r="AN43" s="649">
        <v>0</v>
      </c>
      <c r="AO43" s="653">
        <f t="shared" si="7"/>
        <v>32391.239999999998</v>
      </c>
      <c r="AP43" s="644"/>
    </row>
    <row r="44" spans="1:44" s="13" customFormat="1" ht="15" customHeight="1" thickBot="1">
      <c r="A44" s="644"/>
      <c r="B44" s="654">
        <v>70</v>
      </c>
      <c r="C44" s="694"/>
      <c r="D44" s="646" t="s">
        <v>77</v>
      </c>
      <c r="E44" s="647">
        <v>72.540000000000006</v>
      </c>
      <c r="F44" s="648">
        <v>1</v>
      </c>
      <c r="G44" s="649">
        <f t="shared" si="4"/>
        <v>2248.7400000000002</v>
      </c>
      <c r="H44" s="648">
        <v>1</v>
      </c>
      <c r="I44" s="649">
        <f t="shared" si="5"/>
        <v>2031.1200000000001</v>
      </c>
      <c r="J44" s="650"/>
      <c r="K44" s="649"/>
      <c r="L44" s="650"/>
      <c r="M44" s="649"/>
      <c r="N44" s="650"/>
      <c r="O44" s="649"/>
      <c r="P44" s="650"/>
      <c r="Q44" s="649"/>
      <c r="R44" s="650"/>
      <c r="S44" s="649"/>
      <c r="T44" s="650"/>
      <c r="U44" s="649"/>
      <c r="V44" s="651"/>
      <c r="W44" s="649"/>
      <c r="X44" s="651"/>
      <c r="Y44" s="649"/>
      <c r="Z44" s="651"/>
      <c r="AA44" s="649"/>
      <c r="AB44" s="651"/>
      <c r="AC44" s="649"/>
      <c r="AD44" s="652">
        <f t="shared" si="0"/>
        <v>900</v>
      </c>
      <c r="AE44" s="647">
        <v>75</v>
      </c>
      <c r="AF44" s="652">
        <f t="shared" si="1"/>
        <v>900</v>
      </c>
      <c r="AG44" s="647">
        <v>75</v>
      </c>
      <c r="AH44" s="649">
        <f t="shared" si="6"/>
        <v>21120</v>
      </c>
      <c r="AI44" s="649">
        <f t="shared" si="8"/>
        <v>1760</v>
      </c>
      <c r="AJ44" s="649">
        <f t="shared" si="9"/>
        <v>1760</v>
      </c>
      <c r="AK44" s="649">
        <v>0</v>
      </c>
      <c r="AL44" s="649">
        <v>0</v>
      </c>
      <c r="AM44" s="649">
        <v>0</v>
      </c>
      <c r="AN44" s="649">
        <v>0</v>
      </c>
      <c r="AO44" s="653">
        <f t="shared" si="7"/>
        <v>7949.8600000000006</v>
      </c>
      <c r="AP44" s="644"/>
    </row>
    <row r="45" spans="1:44" s="13" customFormat="1" ht="15" customHeight="1" thickBot="1">
      <c r="A45" s="644"/>
      <c r="B45" s="645">
        <v>71</v>
      </c>
      <c r="C45" s="694"/>
      <c r="D45" s="646" t="s">
        <v>53</v>
      </c>
      <c r="E45" s="647">
        <v>72.540000000000006</v>
      </c>
      <c r="F45" s="648">
        <v>1</v>
      </c>
      <c r="G45" s="649">
        <f t="shared" si="4"/>
        <v>2248.7400000000002</v>
      </c>
      <c r="H45" s="648">
        <v>1</v>
      </c>
      <c r="I45" s="649">
        <f t="shared" si="5"/>
        <v>2031.1200000000001</v>
      </c>
      <c r="J45" s="650"/>
      <c r="K45" s="649"/>
      <c r="L45" s="650"/>
      <c r="M45" s="649"/>
      <c r="N45" s="650"/>
      <c r="O45" s="649"/>
      <c r="P45" s="650"/>
      <c r="Q45" s="649"/>
      <c r="R45" s="650"/>
      <c r="S45" s="649"/>
      <c r="T45" s="650"/>
      <c r="U45" s="649"/>
      <c r="V45" s="651"/>
      <c r="W45" s="649"/>
      <c r="X45" s="651"/>
      <c r="Y45" s="649"/>
      <c r="Z45" s="651"/>
      <c r="AA45" s="649"/>
      <c r="AB45" s="651"/>
      <c r="AC45" s="649"/>
      <c r="AD45" s="652">
        <f t="shared" si="0"/>
        <v>900</v>
      </c>
      <c r="AE45" s="647">
        <v>75</v>
      </c>
      <c r="AF45" s="652">
        <f t="shared" si="1"/>
        <v>900</v>
      </c>
      <c r="AG45" s="647">
        <v>75</v>
      </c>
      <c r="AH45" s="649">
        <f t="shared" si="6"/>
        <v>21120</v>
      </c>
      <c r="AI45" s="649">
        <f t="shared" si="8"/>
        <v>1760</v>
      </c>
      <c r="AJ45" s="649">
        <f t="shared" si="9"/>
        <v>1760</v>
      </c>
      <c r="AK45" s="649">
        <v>0</v>
      </c>
      <c r="AL45" s="649">
        <v>0</v>
      </c>
      <c r="AM45" s="649">
        <v>0</v>
      </c>
      <c r="AN45" s="649">
        <v>0</v>
      </c>
      <c r="AO45" s="653">
        <f t="shared" si="7"/>
        <v>7949.8600000000006</v>
      </c>
      <c r="AP45" s="644"/>
      <c r="AQ45" s="655"/>
      <c r="AR45" s="655"/>
    </row>
    <row r="46" spans="1:44" s="13" customFormat="1" ht="15" customHeight="1" thickBot="1">
      <c r="A46" s="644"/>
      <c r="B46" s="645">
        <v>72</v>
      </c>
      <c r="C46" s="694"/>
      <c r="D46" s="646" t="s">
        <v>38</v>
      </c>
      <c r="E46" s="647">
        <v>71.400000000000006</v>
      </c>
      <c r="F46" s="648">
        <v>4</v>
      </c>
      <c r="G46" s="649">
        <f t="shared" si="4"/>
        <v>8853.6</v>
      </c>
      <c r="H46" s="648">
        <v>4</v>
      </c>
      <c r="I46" s="649">
        <f t="shared" si="5"/>
        <v>7996.8000000000011</v>
      </c>
      <c r="J46" s="650"/>
      <c r="K46" s="649"/>
      <c r="L46" s="650"/>
      <c r="M46" s="649"/>
      <c r="N46" s="650"/>
      <c r="O46" s="649"/>
      <c r="P46" s="650"/>
      <c r="Q46" s="649"/>
      <c r="R46" s="650"/>
      <c r="S46" s="649"/>
      <c r="T46" s="650"/>
      <c r="U46" s="649"/>
      <c r="V46" s="651"/>
      <c r="W46" s="649"/>
      <c r="X46" s="651"/>
      <c r="Y46" s="649"/>
      <c r="Z46" s="651"/>
      <c r="AA46" s="649"/>
      <c r="AB46" s="651"/>
      <c r="AC46" s="649"/>
      <c r="AD46" s="652">
        <f t="shared" si="0"/>
        <v>2400</v>
      </c>
      <c r="AE46" s="647">
        <v>200</v>
      </c>
      <c r="AF46" s="652">
        <f t="shared" si="1"/>
        <v>2400</v>
      </c>
      <c r="AG46" s="647">
        <v>200</v>
      </c>
      <c r="AH46" s="649">
        <f t="shared" si="6"/>
        <v>84480</v>
      </c>
      <c r="AI46" s="649">
        <f t="shared" si="8"/>
        <v>7040</v>
      </c>
      <c r="AJ46" s="649">
        <f t="shared" si="9"/>
        <v>7040</v>
      </c>
      <c r="AK46" s="649">
        <v>0</v>
      </c>
      <c r="AL46" s="649">
        <v>0</v>
      </c>
      <c r="AM46" s="649">
        <v>0</v>
      </c>
      <c r="AN46" s="649">
        <v>0</v>
      </c>
      <c r="AO46" s="653">
        <f t="shared" si="7"/>
        <v>31330.400000000001</v>
      </c>
      <c r="AP46" s="644"/>
      <c r="AQ46" s="655"/>
      <c r="AR46" s="655"/>
    </row>
    <row r="47" spans="1:44" s="13" customFormat="1" ht="15" customHeight="1" thickBot="1">
      <c r="A47" s="644"/>
      <c r="B47" s="654">
        <v>73</v>
      </c>
      <c r="C47" s="694"/>
      <c r="D47" s="646" t="s">
        <v>62</v>
      </c>
      <c r="E47" s="647">
        <v>75.64</v>
      </c>
      <c r="F47" s="648">
        <v>2</v>
      </c>
      <c r="G47" s="649">
        <f t="shared" si="4"/>
        <v>4689.68</v>
      </c>
      <c r="H47" s="648">
        <v>2</v>
      </c>
      <c r="I47" s="649">
        <f t="shared" si="5"/>
        <v>4235.84</v>
      </c>
      <c r="J47" s="650"/>
      <c r="K47" s="649"/>
      <c r="L47" s="650"/>
      <c r="M47" s="649"/>
      <c r="N47" s="650"/>
      <c r="O47" s="649"/>
      <c r="P47" s="650"/>
      <c r="Q47" s="649"/>
      <c r="R47" s="650"/>
      <c r="S47" s="649"/>
      <c r="T47" s="650"/>
      <c r="U47" s="649"/>
      <c r="V47" s="651"/>
      <c r="W47" s="649"/>
      <c r="X47" s="651"/>
      <c r="Y47" s="649"/>
      <c r="Z47" s="651"/>
      <c r="AA47" s="649"/>
      <c r="AB47" s="651"/>
      <c r="AC47" s="649"/>
      <c r="AD47" s="652">
        <f t="shared" si="0"/>
        <v>0</v>
      </c>
      <c r="AE47" s="647"/>
      <c r="AF47" s="652">
        <f t="shared" si="1"/>
        <v>0</v>
      </c>
      <c r="AG47" s="647"/>
      <c r="AH47" s="649">
        <f t="shared" si="6"/>
        <v>42240</v>
      </c>
      <c r="AI47" s="649">
        <f t="shared" si="8"/>
        <v>3520</v>
      </c>
      <c r="AJ47" s="649">
        <f t="shared" si="9"/>
        <v>3520</v>
      </c>
      <c r="AK47" s="649">
        <v>0</v>
      </c>
      <c r="AL47" s="649">
        <v>0</v>
      </c>
      <c r="AM47" s="649">
        <v>0</v>
      </c>
      <c r="AN47" s="649">
        <v>0</v>
      </c>
      <c r="AO47" s="653">
        <f t="shared" si="7"/>
        <v>15965.52</v>
      </c>
      <c r="AP47" s="656"/>
    </row>
    <row r="48" spans="1:44" s="13" customFormat="1" ht="15" customHeight="1" thickBot="1">
      <c r="A48" s="644"/>
      <c r="B48" s="654">
        <v>74</v>
      </c>
      <c r="C48" s="694"/>
      <c r="D48" s="646" t="s">
        <v>63</v>
      </c>
      <c r="E48" s="647">
        <v>80.86</v>
      </c>
      <c r="F48" s="648">
        <v>1</v>
      </c>
      <c r="G48" s="649">
        <f t="shared" si="4"/>
        <v>2506.66</v>
      </c>
      <c r="H48" s="648">
        <v>1</v>
      </c>
      <c r="I48" s="649">
        <f t="shared" si="5"/>
        <v>2264.08</v>
      </c>
      <c r="J48" s="650"/>
      <c r="K48" s="649"/>
      <c r="L48" s="650"/>
      <c r="M48" s="649"/>
      <c r="N48" s="650"/>
      <c r="O48" s="649"/>
      <c r="P48" s="650"/>
      <c r="Q48" s="649"/>
      <c r="R48" s="650"/>
      <c r="S48" s="649"/>
      <c r="T48" s="650"/>
      <c r="U48" s="649"/>
      <c r="V48" s="651"/>
      <c r="W48" s="649"/>
      <c r="X48" s="651"/>
      <c r="Y48" s="649"/>
      <c r="Z48" s="651"/>
      <c r="AA48" s="649"/>
      <c r="AB48" s="651"/>
      <c r="AC48" s="649"/>
      <c r="AD48" s="652">
        <f t="shared" si="0"/>
        <v>0</v>
      </c>
      <c r="AE48" s="647"/>
      <c r="AF48" s="652">
        <f t="shared" si="1"/>
        <v>0</v>
      </c>
      <c r="AG48" s="647"/>
      <c r="AH48" s="649">
        <f t="shared" si="6"/>
        <v>21120</v>
      </c>
      <c r="AI48" s="649">
        <f t="shared" si="8"/>
        <v>1760</v>
      </c>
      <c r="AJ48" s="649">
        <f t="shared" si="9"/>
        <v>1760</v>
      </c>
      <c r="AK48" s="649">
        <v>0</v>
      </c>
      <c r="AL48" s="649">
        <v>0</v>
      </c>
      <c r="AM48" s="649">
        <v>0</v>
      </c>
      <c r="AN48" s="649">
        <v>0</v>
      </c>
      <c r="AO48" s="653">
        <f t="shared" si="7"/>
        <v>8290.74</v>
      </c>
      <c r="AP48" s="644"/>
    </row>
    <row r="49" spans="1:42" s="13" customFormat="1" ht="15" customHeight="1" thickBot="1">
      <c r="A49" s="644"/>
      <c r="B49" s="645">
        <v>75</v>
      </c>
      <c r="C49" s="694"/>
      <c r="D49" s="646" t="s">
        <v>39</v>
      </c>
      <c r="E49" s="647">
        <v>78.25</v>
      </c>
      <c r="F49" s="648">
        <v>39</v>
      </c>
      <c r="G49" s="649">
        <f t="shared" si="4"/>
        <v>94604.25</v>
      </c>
      <c r="H49" s="648">
        <v>39</v>
      </c>
      <c r="I49" s="649">
        <f t="shared" si="5"/>
        <v>85449</v>
      </c>
      <c r="J49" s="650"/>
      <c r="K49" s="649"/>
      <c r="L49" s="650"/>
      <c r="M49" s="649"/>
      <c r="N49" s="650"/>
      <c r="O49" s="649"/>
      <c r="P49" s="650"/>
      <c r="Q49" s="649"/>
      <c r="R49" s="650"/>
      <c r="S49" s="649"/>
      <c r="T49" s="650"/>
      <c r="U49" s="649"/>
      <c r="V49" s="651"/>
      <c r="W49" s="649"/>
      <c r="X49" s="651"/>
      <c r="Y49" s="649"/>
      <c r="Z49" s="651"/>
      <c r="AA49" s="649"/>
      <c r="AB49" s="651"/>
      <c r="AC49" s="649"/>
      <c r="AD49" s="652">
        <f t="shared" si="0"/>
        <v>28620</v>
      </c>
      <c r="AE49" s="647">
        <v>2385</v>
      </c>
      <c r="AF49" s="652">
        <f t="shared" si="1"/>
        <v>28920</v>
      </c>
      <c r="AG49" s="647">
        <v>2410</v>
      </c>
      <c r="AH49" s="649">
        <f t="shared" si="6"/>
        <v>823680</v>
      </c>
      <c r="AI49" s="649">
        <f t="shared" si="8"/>
        <v>68640</v>
      </c>
      <c r="AJ49" s="649">
        <f t="shared" si="9"/>
        <v>68640</v>
      </c>
      <c r="AK49" s="649">
        <v>0</v>
      </c>
      <c r="AL49" s="649">
        <v>0</v>
      </c>
      <c r="AM49" s="649">
        <v>0</v>
      </c>
      <c r="AN49" s="649">
        <v>0</v>
      </c>
      <c r="AO49" s="653">
        <f t="shared" si="7"/>
        <v>322128.25</v>
      </c>
      <c r="AP49" s="644"/>
    </row>
    <row r="50" spans="1:42" s="13" customFormat="1" ht="15" customHeight="1" thickBot="1">
      <c r="A50" s="644"/>
      <c r="B50" s="645">
        <v>76</v>
      </c>
      <c r="C50" s="694"/>
      <c r="D50" s="646" t="s">
        <v>78</v>
      </c>
      <c r="E50" s="647">
        <v>72.540000000000006</v>
      </c>
      <c r="F50" s="648">
        <v>2</v>
      </c>
      <c r="G50" s="649">
        <f t="shared" si="4"/>
        <v>4497.4800000000005</v>
      </c>
      <c r="H50" s="648">
        <v>2</v>
      </c>
      <c r="I50" s="649">
        <f t="shared" si="5"/>
        <v>4062.2400000000002</v>
      </c>
      <c r="J50" s="657"/>
      <c r="K50" s="649"/>
      <c r="L50" s="657"/>
      <c r="M50" s="649"/>
      <c r="N50" s="657"/>
      <c r="O50" s="649"/>
      <c r="P50" s="657"/>
      <c r="Q50" s="649"/>
      <c r="R50" s="657"/>
      <c r="S50" s="649"/>
      <c r="T50" s="657"/>
      <c r="U50" s="649"/>
      <c r="V50" s="651"/>
      <c r="W50" s="649"/>
      <c r="X50" s="651"/>
      <c r="Y50" s="649"/>
      <c r="Z50" s="651"/>
      <c r="AA50" s="649"/>
      <c r="AB50" s="651"/>
      <c r="AC50" s="649"/>
      <c r="AD50" s="652">
        <f t="shared" si="0"/>
        <v>1800</v>
      </c>
      <c r="AE50" s="647">
        <v>150</v>
      </c>
      <c r="AF50" s="652">
        <f t="shared" si="1"/>
        <v>1800</v>
      </c>
      <c r="AG50" s="647">
        <v>150</v>
      </c>
      <c r="AH50" s="649">
        <f t="shared" si="6"/>
        <v>42240</v>
      </c>
      <c r="AI50" s="649">
        <f t="shared" si="8"/>
        <v>3520</v>
      </c>
      <c r="AJ50" s="649">
        <f t="shared" si="9"/>
        <v>3520</v>
      </c>
      <c r="AK50" s="649">
        <v>0</v>
      </c>
      <c r="AL50" s="649">
        <v>0</v>
      </c>
      <c r="AM50" s="649">
        <v>0</v>
      </c>
      <c r="AN50" s="649">
        <v>0</v>
      </c>
      <c r="AO50" s="653">
        <f t="shared" si="7"/>
        <v>15899.720000000001</v>
      </c>
      <c r="AP50" s="644"/>
    </row>
    <row r="51" spans="1:42" s="13" customFormat="1" ht="15" customHeight="1" thickBot="1">
      <c r="A51" s="644"/>
      <c r="B51" s="654">
        <v>77</v>
      </c>
      <c r="C51" s="694"/>
      <c r="D51" s="646" t="s">
        <v>32</v>
      </c>
      <c r="E51" s="647">
        <v>71.400000000000006</v>
      </c>
      <c r="F51" s="648">
        <v>93</v>
      </c>
      <c r="G51" s="649">
        <f>+E51*92*31</f>
        <v>203632.80000000002</v>
      </c>
      <c r="H51" s="648">
        <v>93</v>
      </c>
      <c r="I51" s="649">
        <f>92*E51*28</f>
        <v>183926.39999999999</v>
      </c>
      <c r="J51" s="657"/>
      <c r="K51" s="649"/>
      <c r="L51" s="657"/>
      <c r="M51" s="649"/>
      <c r="N51" s="657"/>
      <c r="O51" s="649"/>
      <c r="P51" s="657"/>
      <c r="Q51" s="649"/>
      <c r="R51" s="657"/>
      <c r="S51" s="649"/>
      <c r="T51" s="657"/>
      <c r="U51" s="649"/>
      <c r="V51" s="651"/>
      <c r="W51" s="649"/>
      <c r="X51" s="651"/>
      <c r="Y51" s="649"/>
      <c r="Z51" s="651"/>
      <c r="AA51" s="649"/>
      <c r="AB51" s="651"/>
      <c r="AC51" s="649"/>
      <c r="AD51" s="652">
        <f t="shared" si="0"/>
        <v>61740</v>
      </c>
      <c r="AE51" s="647">
        <v>5145</v>
      </c>
      <c r="AF51" s="652">
        <f t="shared" si="1"/>
        <v>60000</v>
      </c>
      <c r="AG51" s="647">
        <v>5000</v>
      </c>
      <c r="AH51" s="649">
        <f t="shared" si="6"/>
        <v>1943040</v>
      </c>
      <c r="AI51" s="649">
        <f>1760*92</f>
        <v>161920</v>
      </c>
      <c r="AJ51" s="649">
        <f>1760*92+500</f>
        <v>162420</v>
      </c>
      <c r="AK51" s="649">
        <v>0</v>
      </c>
      <c r="AL51" s="649">
        <v>0</v>
      </c>
      <c r="AM51" s="649">
        <v>0</v>
      </c>
      <c r="AN51" s="649">
        <v>0</v>
      </c>
      <c r="AO51" s="653">
        <f t="shared" si="7"/>
        <v>722044.2</v>
      </c>
      <c r="AP51" s="644"/>
    </row>
    <row r="52" spans="1:42" s="13" customFormat="1" ht="15" customHeight="1" thickBot="1">
      <c r="A52" s="644"/>
      <c r="B52" s="654"/>
      <c r="C52" s="694"/>
      <c r="D52" s="646" t="s">
        <v>1175</v>
      </c>
      <c r="E52" s="647">
        <v>71.400000000000006</v>
      </c>
      <c r="F52" s="648">
        <v>179</v>
      </c>
      <c r="G52" s="649">
        <f t="shared" si="4"/>
        <v>396198.60000000003</v>
      </c>
      <c r="H52" s="648">
        <v>179</v>
      </c>
      <c r="I52" s="649">
        <f t="shared" si="5"/>
        <v>357856.8</v>
      </c>
      <c r="J52" s="657"/>
      <c r="K52" s="649"/>
      <c r="L52" s="657"/>
      <c r="M52" s="649"/>
      <c r="N52" s="657"/>
      <c r="O52" s="649"/>
      <c r="P52" s="657"/>
      <c r="Q52" s="649"/>
      <c r="R52" s="657"/>
      <c r="S52" s="649"/>
      <c r="T52" s="657"/>
      <c r="U52" s="649"/>
      <c r="V52" s="651"/>
      <c r="W52" s="649"/>
      <c r="X52" s="651"/>
      <c r="Y52" s="649"/>
      <c r="Z52" s="651"/>
      <c r="AA52" s="649"/>
      <c r="AB52" s="651"/>
      <c r="AC52" s="649"/>
      <c r="AD52" s="652">
        <f t="shared" si="0"/>
        <v>110880</v>
      </c>
      <c r="AE52" s="647">
        <v>9240</v>
      </c>
      <c r="AF52" s="652">
        <f t="shared" si="1"/>
        <v>114180</v>
      </c>
      <c r="AG52" s="647">
        <v>9515</v>
      </c>
      <c r="AH52" s="649">
        <f t="shared" si="6"/>
        <v>3780480</v>
      </c>
      <c r="AI52" s="649">
        <f t="shared" ref="AI52:AI68" si="10">1760*F52</f>
        <v>315040</v>
      </c>
      <c r="AJ52" s="649">
        <f t="shared" si="9"/>
        <v>315040</v>
      </c>
      <c r="AK52" s="649">
        <v>0</v>
      </c>
      <c r="AL52" s="649">
        <v>0</v>
      </c>
      <c r="AM52" s="649">
        <v>0</v>
      </c>
      <c r="AN52" s="649">
        <v>0</v>
      </c>
      <c r="AO52" s="653">
        <f t="shared" si="7"/>
        <v>1402890.4</v>
      </c>
      <c r="AP52" s="644"/>
    </row>
    <row r="53" spans="1:42" s="13" customFormat="1" ht="15" customHeight="1" thickBot="1">
      <c r="A53" s="644"/>
      <c r="B53" s="654"/>
      <c r="C53" s="694"/>
      <c r="D53" s="646" t="s">
        <v>1173</v>
      </c>
      <c r="E53" s="647">
        <v>72.540000000000006</v>
      </c>
      <c r="F53" s="648">
        <v>9</v>
      </c>
      <c r="G53" s="649">
        <f t="shared" si="4"/>
        <v>20238.66</v>
      </c>
      <c r="H53" s="648">
        <v>9</v>
      </c>
      <c r="I53" s="649">
        <f t="shared" si="5"/>
        <v>18280.080000000002</v>
      </c>
      <c r="J53" s="657"/>
      <c r="K53" s="649"/>
      <c r="L53" s="657"/>
      <c r="M53" s="649"/>
      <c r="N53" s="657"/>
      <c r="O53" s="649"/>
      <c r="P53" s="657"/>
      <c r="Q53" s="649"/>
      <c r="R53" s="657"/>
      <c r="S53" s="649"/>
      <c r="T53" s="657"/>
      <c r="U53" s="649"/>
      <c r="V53" s="651"/>
      <c r="W53" s="649"/>
      <c r="X53" s="651"/>
      <c r="Y53" s="649"/>
      <c r="Z53" s="651"/>
      <c r="AA53" s="649"/>
      <c r="AB53" s="651"/>
      <c r="AC53" s="649"/>
      <c r="AD53" s="652">
        <f t="shared" si="0"/>
        <v>6900</v>
      </c>
      <c r="AE53" s="647">
        <v>575</v>
      </c>
      <c r="AF53" s="652">
        <f t="shared" si="1"/>
        <v>6900</v>
      </c>
      <c r="AG53" s="647">
        <v>575</v>
      </c>
      <c r="AH53" s="649">
        <f t="shared" si="6"/>
        <v>190080</v>
      </c>
      <c r="AI53" s="649">
        <f t="shared" si="10"/>
        <v>15840</v>
      </c>
      <c r="AJ53" s="649">
        <f t="shared" si="9"/>
        <v>15840</v>
      </c>
      <c r="AK53" s="649">
        <v>0</v>
      </c>
      <c r="AL53" s="649">
        <v>0</v>
      </c>
      <c r="AM53" s="649">
        <v>0</v>
      </c>
      <c r="AN53" s="649">
        <v>0</v>
      </c>
      <c r="AO53" s="653">
        <f t="shared" si="7"/>
        <v>71348.740000000005</v>
      </c>
      <c r="AP53" s="644"/>
    </row>
    <row r="54" spans="1:42" s="13" customFormat="1" ht="15" customHeight="1" thickBot="1">
      <c r="A54" s="644"/>
      <c r="B54" s="654"/>
      <c r="C54" s="694"/>
      <c r="D54" s="646" t="s">
        <v>1174</v>
      </c>
      <c r="E54" s="647">
        <v>71.400000000000006</v>
      </c>
      <c r="F54" s="648">
        <v>1</v>
      </c>
      <c r="G54" s="649">
        <f t="shared" si="4"/>
        <v>2213.4</v>
      </c>
      <c r="H54" s="648">
        <v>1</v>
      </c>
      <c r="I54" s="649">
        <f t="shared" si="5"/>
        <v>1999.2000000000003</v>
      </c>
      <c r="J54" s="657"/>
      <c r="K54" s="649"/>
      <c r="L54" s="657"/>
      <c r="M54" s="649"/>
      <c r="N54" s="657"/>
      <c r="O54" s="649"/>
      <c r="P54" s="657"/>
      <c r="Q54" s="649"/>
      <c r="R54" s="657"/>
      <c r="S54" s="649"/>
      <c r="T54" s="657"/>
      <c r="U54" s="649"/>
      <c r="V54" s="651"/>
      <c r="W54" s="649"/>
      <c r="X54" s="651"/>
      <c r="Y54" s="649"/>
      <c r="Z54" s="651"/>
      <c r="AA54" s="649"/>
      <c r="AB54" s="651"/>
      <c r="AC54" s="649"/>
      <c r="AD54" s="652">
        <f t="shared" si="0"/>
        <v>600</v>
      </c>
      <c r="AE54" s="647">
        <v>50</v>
      </c>
      <c r="AF54" s="652">
        <f t="shared" si="1"/>
        <v>600</v>
      </c>
      <c r="AG54" s="647">
        <v>50</v>
      </c>
      <c r="AH54" s="649">
        <f t="shared" si="6"/>
        <v>21120</v>
      </c>
      <c r="AI54" s="649">
        <f t="shared" si="10"/>
        <v>1760</v>
      </c>
      <c r="AJ54" s="649">
        <f t="shared" si="9"/>
        <v>1760</v>
      </c>
      <c r="AK54" s="649">
        <v>0</v>
      </c>
      <c r="AL54" s="649">
        <v>0</v>
      </c>
      <c r="AM54" s="649">
        <v>0</v>
      </c>
      <c r="AN54" s="649">
        <v>0</v>
      </c>
      <c r="AO54" s="653">
        <f t="shared" si="7"/>
        <v>7832.6</v>
      </c>
      <c r="AP54" s="644"/>
    </row>
    <row r="55" spans="1:42" s="13" customFormat="1" ht="15" customHeight="1" thickBot="1">
      <c r="A55" s="644"/>
      <c r="B55" s="654"/>
      <c r="C55" s="694"/>
      <c r="D55" s="646" t="s">
        <v>57</v>
      </c>
      <c r="E55" s="647">
        <v>74.63</v>
      </c>
      <c r="F55" s="648">
        <v>2</v>
      </c>
      <c r="G55" s="649">
        <f t="shared" si="4"/>
        <v>4627.0599999999995</v>
      </c>
      <c r="H55" s="648">
        <v>2</v>
      </c>
      <c r="I55" s="649">
        <f t="shared" si="5"/>
        <v>4179.28</v>
      </c>
      <c r="J55" s="657"/>
      <c r="K55" s="649"/>
      <c r="L55" s="657"/>
      <c r="M55" s="649"/>
      <c r="N55" s="657"/>
      <c r="O55" s="649"/>
      <c r="P55" s="657"/>
      <c r="Q55" s="649"/>
      <c r="R55" s="657"/>
      <c r="S55" s="649"/>
      <c r="T55" s="657"/>
      <c r="U55" s="649"/>
      <c r="V55" s="651"/>
      <c r="W55" s="649"/>
      <c r="X55" s="651"/>
      <c r="Y55" s="649"/>
      <c r="Z55" s="651"/>
      <c r="AA55" s="649"/>
      <c r="AB55" s="651"/>
      <c r="AC55" s="649"/>
      <c r="AD55" s="652">
        <f t="shared" si="0"/>
        <v>1800</v>
      </c>
      <c r="AE55" s="647">
        <v>150</v>
      </c>
      <c r="AF55" s="652">
        <f t="shared" si="1"/>
        <v>1800</v>
      </c>
      <c r="AG55" s="647">
        <v>150</v>
      </c>
      <c r="AH55" s="649">
        <f t="shared" si="6"/>
        <v>42240</v>
      </c>
      <c r="AI55" s="649">
        <f t="shared" si="10"/>
        <v>3520</v>
      </c>
      <c r="AJ55" s="649">
        <f t="shared" si="9"/>
        <v>3520</v>
      </c>
      <c r="AK55" s="649">
        <v>0</v>
      </c>
      <c r="AL55" s="649">
        <v>0</v>
      </c>
      <c r="AM55" s="649">
        <v>0</v>
      </c>
      <c r="AN55" s="649">
        <v>0</v>
      </c>
      <c r="AO55" s="653">
        <f t="shared" si="7"/>
        <v>16146.34</v>
      </c>
      <c r="AP55" s="644"/>
    </row>
    <row r="56" spans="1:42" s="13" customFormat="1" ht="15" customHeight="1" thickBot="1">
      <c r="A56" s="644"/>
      <c r="B56" s="654"/>
      <c r="C56" s="694"/>
      <c r="D56" s="646" t="s">
        <v>132</v>
      </c>
      <c r="E56" s="647">
        <v>75.64</v>
      </c>
      <c r="F56" s="648">
        <v>3</v>
      </c>
      <c r="G56" s="649">
        <f t="shared" si="4"/>
        <v>7034.52</v>
      </c>
      <c r="H56" s="648">
        <v>3</v>
      </c>
      <c r="I56" s="649">
        <f t="shared" si="5"/>
        <v>6353.76</v>
      </c>
      <c r="J56" s="657"/>
      <c r="K56" s="649"/>
      <c r="L56" s="657"/>
      <c r="M56" s="649"/>
      <c r="N56" s="657"/>
      <c r="O56" s="649"/>
      <c r="P56" s="657"/>
      <c r="Q56" s="649"/>
      <c r="R56" s="657"/>
      <c r="S56" s="649"/>
      <c r="T56" s="657"/>
      <c r="U56" s="649"/>
      <c r="V56" s="651"/>
      <c r="W56" s="649"/>
      <c r="X56" s="651"/>
      <c r="Y56" s="649"/>
      <c r="Z56" s="651"/>
      <c r="AA56" s="649"/>
      <c r="AB56" s="651"/>
      <c r="AC56" s="649"/>
      <c r="AD56" s="652">
        <f t="shared" si="0"/>
        <v>900</v>
      </c>
      <c r="AE56" s="647">
        <v>75</v>
      </c>
      <c r="AF56" s="652">
        <f t="shared" si="1"/>
        <v>900</v>
      </c>
      <c r="AG56" s="647">
        <v>75</v>
      </c>
      <c r="AH56" s="649">
        <f t="shared" si="6"/>
        <v>63360</v>
      </c>
      <c r="AI56" s="649">
        <f t="shared" si="10"/>
        <v>5280</v>
      </c>
      <c r="AJ56" s="649">
        <f t="shared" si="9"/>
        <v>5280</v>
      </c>
      <c r="AK56" s="649">
        <v>0</v>
      </c>
      <c r="AL56" s="649">
        <v>0</v>
      </c>
      <c r="AM56" s="649">
        <v>0</v>
      </c>
      <c r="AN56" s="649">
        <v>0</v>
      </c>
      <c r="AO56" s="653">
        <f t="shared" si="7"/>
        <v>24098.28</v>
      </c>
      <c r="AP56" s="644"/>
    </row>
    <row r="57" spans="1:42" s="13" customFormat="1" ht="15" customHeight="1" thickBot="1">
      <c r="A57" s="644"/>
      <c r="B57" s="654">
        <v>78</v>
      </c>
      <c r="C57" s="694"/>
      <c r="D57" s="646" t="s">
        <v>37</v>
      </c>
      <c r="E57" s="647">
        <v>80.86</v>
      </c>
      <c r="F57" s="648">
        <v>2</v>
      </c>
      <c r="G57" s="649">
        <f t="shared" si="4"/>
        <v>5013.32</v>
      </c>
      <c r="H57" s="648">
        <v>2</v>
      </c>
      <c r="I57" s="649">
        <f>1*E57*28</f>
        <v>2264.08</v>
      </c>
      <c r="J57" s="657"/>
      <c r="K57" s="649"/>
      <c r="L57" s="657"/>
      <c r="M57" s="649"/>
      <c r="N57" s="657"/>
      <c r="O57" s="649"/>
      <c r="P57" s="657"/>
      <c r="Q57" s="649"/>
      <c r="R57" s="657"/>
      <c r="S57" s="649"/>
      <c r="T57" s="657"/>
      <c r="U57" s="649"/>
      <c r="V57" s="651"/>
      <c r="W57" s="649"/>
      <c r="X57" s="651"/>
      <c r="Y57" s="649"/>
      <c r="Z57" s="651"/>
      <c r="AA57" s="649"/>
      <c r="AB57" s="651"/>
      <c r="AC57" s="649"/>
      <c r="AD57" s="652">
        <f t="shared" si="0"/>
        <v>0</v>
      </c>
      <c r="AE57" s="647"/>
      <c r="AF57" s="652">
        <f t="shared" si="1"/>
        <v>0</v>
      </c>
      <c r="AG57" s="647"/>
      <c r="AH57" s="649">
        <f t="shared" si="6"/>
        <v>42240</v>
      </c>
      <c r="AI57" s="649">
        <f t="shared" si="10"/>
        <v>3520</v>
      </c>
      <c r="AJ57" s="649">
        <f>1760*1</f>
        <v>1760</v>
      </c>
      <c r="AK57" s="649">
        <v>0</v>
      </c>
      <c r="AL57" s="649">
        <v>0</v>
      </c>
      <c r="AM57" s="649">
        <v>0</v>
      </c>
      <c r="AN57" s="649">
        <v>0</v>
      </c>
      <c r="AO57" s="653">
        <f t="shared" si="7"/>
        <v>12557.4</v>
      </c>
      <c r="AP57" s="644"/>
    </row>
    <row r="58" spans="1:42" s="13" customFormat="1" ht="15" customHeight="1" thickBot="1">
      <c r="A58" s="644"/>
      <c r="B58" s="654">
        <v>392</v>
      </c>
      <c r="C58" s="684" t="s">
        <v>66</v>
      </c>
      <c r="D58" s="646" t="s">
        <v>35</v>
      </c>
      <c r="E58" s="647">
        <v>71.400000000000006</v>
      </c>
      <c r="F58" s="648">
        <v>9</v>
      </c>
      <c r="G58" s="649">
        <f t="shared" si="4"/>
        <v>19920.600000000002</v>
      </c>
      <c r="H58" s="648">
        <v>9</v>
      </c>
      <c r="I58" s="649">
        <f>8*E58*28</f>
        <v>15993.600000000002</v>
      </c>
      <c r="J58" s="657"/>
      <c r="K58" s="649"/>
      <c r="L58" s="657"/>
      <c r="M58" s="649"/>
      <c r="N58" s="657"/>
      <c r="O58" s="649"/>
      <c r="P58" s="657"/>
      <c r="Q58" s="649"/>
      <c r="R58" s="657"/>
      <c r="S58" s="649"/>
      <c r="T58" s="657"/>
      <c r="U58" s="649"/>
      <c r="V58" s="651"/>
      <c r="W58" s="649"/>
      <c r="X58" s="651"/>
      <c r="Y58" s="649"/>
      <c r="Z58" s="651"/>
      <c r="AA58" s="649"/>
      <c r="AB58" s="651"/>
      <c r="AC58" s="649"/>
      <c r="AD58" s="652">
        <f t="shared" si="0"/>
        <v>2820</v>
      </c>
      <c r="AE58" s="647">
        <v>235</v>
      </c>
      <c r="AF58" s="652">
        <f t="shared" si="1"/>
        <v>2820</v>
      </c>
      <c r="AG58" s="647">
        <v>235</v>
      </c>
      <c r="AH58" s="649">
        <f t="shared" si="6"/>
        <v>190080</v>
      </c>
      <c r="AI58" s="649">
        <f t="shared" si="10"/>
        <v>15840</v>
      </c>
      <c r="AJ58" s="649">
        <f>1760*8</f>
        <v>14080</v>
      </c>
      <c r="AK58" s="649">
        <v>0</v>
      </c>
      <c r="AL58" s="649">
        <v>0</v>
      </c>
      <c r="AM58" s="649">
        <v>0</v>
      </c>
      <c r="AN58" s="649">
        <v>0</v>
      </c>
      <c r="AO58" s="653">
        <f t="shared" si="7"/>
        <v>66304.200000000012</v>
      </c>
      <c r="AP58" s="644"/>
    </row>
    <row r="59" spans="1:42" s="13" customFormat="1" ht="15.75" thickBot="1">
      <c r="A59" s="644"/>
      <c r="B59" s="654">
        <v>393</v>
      </c>
      <c r="C59" s="684"/>
      <c r="D59" s="646" t="s">
        <v>67</v>
      </c>
      <c r="E59" s="647">
        <v>73.59</v>
      </c>
      <c r="F59" s="648">
        <v>1</v>
      </c>
      <c r="G59" s="649">
        <f t="shared" si="4"/>
        <v>2281.29</v>
      </c>
      <c r="H59" s="648">
        <v>1</v>
      </c>
      <c r="I59" s="649">
        <f t="shared" si="5"/>
        <v>2060.52</v>
      </c>
      <c r="J59" s="657"/>
      <c r="K59" s="649"/>
      <c r="L59" s="657"/>
      <c r="M59" s="649"/>
      <c r="N59" s="657"/>
      <c r="O59" s="649"/>
      <c r="P59" s="657"/>
      <c r="Q59" s="649"/>
      <c r="R59" s="657"/>
      <c r="S59" s="649"/>
      <c r="T59" s="657"/>
      <c r="U59" s="649"/>
      <c r="V59" s="651"/>
      <c r="W59" s="649"/>
      <c r="X59" s="651"/>
      <c r="Y59" s="649"/>
      <c r="Z59" s="651"/>
      <c r="AA59" s="649"/>
      <c r="AB59" s="651"/>
      <c r="AC59" s="649"/>
      <c r="AD59" s="652">
        <f t="shared" si="0"/>
        <v>600</v>
      </c>
      <c r="AE59" s="647">
        <v>50</v>
      </c>
      <c r="AF59" s="652">
        <f t="shared" si="1"/>
        <v>600</v>
      </c>
      <c r="AG59" s="647">
        <v>50</v>
      </c>
      <c r="AH59" s="649">
        <f t="shared" si="6"/>
        <v>21120</v>
      </c>
      <c r="AI59" s="649">
        <f t="shared" si="10"/>
        <v>1760</v>
      </c>
      <c r="AJ59" s="649">
        <f t="shared" si="9"/>
        <v>1760</v>
      </c>
      <c r="AK59" s="649">
        <v>0</v>
      </c>
      <c r="AL59" s="649">
        <v>0</v>
      </c>
      <c r="AM59" s="649">
        <v>0</v>
      </c>
      <c r="AN59" s="649">
        <v>0</v>
      </c>
      <c r="AO59" s="653">
        <f t="shared" si="7"/>
        <v>7961.8099999999995</v>
      </c>
      <c r="AP59" s="644"/>
    </row>
    <row r="60" spans="1:42" s="13" customFormat="1" ht="15.75" thickBot="1">
      <c r="A60" s="644"/>
      <c r="B60" s="645">
        <v>394</v>
      </c>
      <c r="C60" s="684"/>
      <c r="D60" s="646" t="s">
        <v>50</v>
      </c>
      <c r="E60" s="647">
        <v>74.63</v>
      </c>
      <c r="F60" s="648">
        <v>1</v>
      </c>
      <c r="G60" s="649">
        <f t="shared" si="4"/>
        <v>2313.5299999999997</v>
      </c>
      <c r="H60" s="648">
        <v>1</v>
      </c>
      <c r="I60" s="649">
        <f t="shared" si="5"/>
        <v>2089.64</v>
      </c>
      <c r="J60" s="657"/>
      <c r="K60" s="649"/>
      <c r="L60" s="657"/>
      <c r="M60" s="649"/>
      <c r="N60" s="657"/>
      <c r="O60" s="649"/>
      <c r="P60" s="657"/>
      <c r="Q60" s="649"/>
      <c r="R60" s="657"/>
      <c r="S60" s="649"/>
      <c r="T60" s="657"/>
      <c r="U60" s="649"/>
      <c r="V60" s="651"/>
      <c r="W60" s="649"/>
      <c r="X60" s="651"/>
      <c r="Y60" s="649"/>
      <c r="Z60" s="651"/>
      <c r="AA60" s="649"/>
      <c r="AB60" s="651"/>
      <c r="AC60" s="649"/>
      <c r="AD60" s="652">
        <f t="shared" si="0"/>
        <v>900</v>
      </c>
      <c r="AE60" s="647">
        <v>75</v>
      </c>
      <c r="AF60" s="652">
        <f t="shared" si="1"/>
        <v>900</v>
      </c>
      <c r="AG60" s="647">
        <v>75</v>
      </c>
      <c r="AH60" s="649">
        <f t="shared" si="6"/>
        <v>21120</v>
      </c>
      <c r="AI60" s="649">
        <f t="shared" si="10"/>
        <v>1760</v>
      </c>
      <c r="AJ60" s="649">
        <f t="shared" si="9"/>
        <v>1760</v>
      </c>
      <c r="AK60" s="649">
        <v>0</v>
      </c>
      <c r="AL60" s="649">
        <v>0</v>
      </c>
      <c r="AM60" s="649">
        <v>0</v>
      </c>
      <c r="AN60" s="649">
        <v>0</v>
      </c>
      <c r="AO60" s="653">
        <f t="shared" si="7"/>
        <v>8073.17</v>
      </c>
      <c r="AP60" s="644"/>
    </row>
    <row r="61" spans="1:42" s="13" customFormat="1" ht="15.75" thickBot="1">
      <c r="A61" s="644"/>
      <c r="B61" s="645">
        <v>395</v>
      </c>
      <c r="C61" s="684"/>
      <c r="D61" s="646" t="s">
        <v>38</v>
      </c>
      <c r="E61" s="647">
        <v>71.400000000000006</v>
      </c>
      <c r="F61" s="648">
        <v>7</v>
      </c>
      <c r="G61" s="649">
        <f t="shared" si="4"/>
        <v>15493.800000000003</v>
      </c>
      <c r="H61" s="648">
        <v>7</v>
      </c>
      <c r="I61" s="649">
        <f t="shared" si="5"/>
        <v>13994.400000000001</v>
      </c>
      <c r="J61" s="657"/>
      <c r="K61" s="649"/>
      <c r="L61" s="657"/>
      <c r="M61" s="649"/>
      <c r="N61" s="657"/>
      <c r="O61" s="649"/>
      <c r="P61" s="657"/>
      <c r="Q61" s="649"/>
      <c r="R61" s="657"/>
      <c r="S61" s="649"/>
      <c r="T61" s="657"/>
      <c r="U61" s="649"/>
      <c r="V61" s="651"/>
      <c r="W61" s="649"/>
      <c r="X61" s="651"/>
      <c r="Y61" s="649"/>
      <c r="Z61" s="651"/>
      <c r="AA61" s="649"/>
      <c r="AB61" s="651"/>
      <c r="AC61" s="649"/>
      <c r="AD61" s="652">
        <f t="shared" si="0"/>
        <v>0</v>
      </c>
      <c r="AE61" s="647">
        <v>0</v>
      </c>
      <c r="AF61" s="652">
        <f t="shared" si="1"/>
        <v>0</v>
      </c>
      <c r="AG61" s="647">
        <v>0</v>
      </c>
      <c r="AH61" s="649">
        <f t="shared" si="6"/>
        <v>147840</v>
      </c>
      <c r="AI61" s="649">
        <f t="shared" si="10"/>
        <v>12320</v>
      </c>
      <c r="AJ61" s="649">
        <f t="shared" si="9"/>
        <v>12320</v>
      </c>
      <c r="AK61" s="649">
        <v>0</v>
      </c>
      <c r="AL61" s="649">
        <v>0</v>
      </c>
      <c r="AM61" s="649">
        <v>0</v>
      </c>
      <c r="AN61" s="649">
        <v>0</v>
      </c>
      <c r="AO61" s="653">
        <f t="shared" si="7"/>
        <v>54128.200000000004</v>
      </c>
      <c r="AP61" s="644"/>
    </row>
    <row r="62" spans="1:42" s="13" customFormat="1" ht="15.75" thickBot="1">
      <c r="A62" s="644"/>
      <c r="B62" s="654">
        <v>396</v>
      </c>
      <c r="C62" s="684"/>
      <c r="D62" s="646" t="s">
        <v>68</v>
      </c>
      <c r="E62" s="647">
        <v>72.540000000000006</v>
      </c>
      <c r="F62" s="648">
        <v>2</v>
      </c>
      <c r="G62" s="649">
        <f t="shared" si="4"/>
        <v>4497.4800000000005</v>
      </c>
      <c r="H62" s="648">
        <v>2</v>
      </c>
      <c r="I62" s="649">
        <f t="shared" si="5"/>
        <v>4062.2400000000002</v>
      </c>
      <c r="J62" s="657"/>
      <c r="K62" s="649"/>
      <c r="L62" s="657"/>
      <c r="M62" s="649"/>
      <c r="N62" s="657"/>
      <c r="O62" s="649"/>
      <c r="P62" s="657"/>
      <c r="Q62" s="649"/>
      <c r="R62" s="657"/>
      <c r="S62" s="649"/>
      <c r="T62" s="657"/>
      <c r="U62" s="649"/>
      <c r="V62" s="651"/>
      <c r="W62" s="649"/>
      <c r="X62" s="651"/>
      <c r="Y62" s="649"/>
      <c r="Z62" s="651"/>
      <c r="AA62" s="649"/>
      <c r="AB62" s="651"/>
      <c r="AC62" s="649"/>
      <c r="AD62" s="652">
        <f t="shared" si="0"/>
        <v>1200</v>
      </c>
      <c r="AE62" s="647">
        <v>100</v>
      </c>
      <c r="AF62" s="652">
        <f t="shared" si="1"/>
        <v>1200</v>
      </c>
      <c r="AG62" s="647">
        <v>100</v>
      </c>
      <c r="AH62" s="649">
        <f t="shared" si="6"/>
        <v>42240</v>
      </c>
      <c r="AI62" s="649">
        <f t="shared" si="10"/>
        <v>3520</v>
      </c>
      <c r="AJ62" s="649">
        <f t="shared" si="9"/>
        <v>3520</v>
      </c>
      <c r="AK62" s="649">
        <v>0</v>
      </c>
      <c r="AL62" s="649">
        <v>0</v>
      </c>
      <c r="AM62" s="649">
        <v>0</v>
      </c>
      <c r="AN62" s="649">
        <v>0</v>
      </c>
      <c r="AO62" s="653">
        <f t="shared" si="7"/>
        <v>15799.720000000001</v>
      </c>
      <c r="AP62" s="644"/>
    </row>
    <row r="63" spans="1:42" s="13" customFormat="1" ht="15.75" thickBot="1">
      <c r="A63" s="644"/>
      <c r="B63" s="654">
        <v>397</v>
      </c>
      <c r="C63" s="684"/>
      <c r="D63" s="646" t="s">
        <v>39</v>
      </c>
      <c r="E63" s="647">
        <v>78.25</v>
      </c>
      <c r="F63" s="648">
        <v>2</v>
      </c>
      <c r="G63" s="649">
        <f t="shared" si="4"/>
        <v>4851.5</v>
      </c>
      <c r="H63" s="648">
        <v>2</v>
      </c>
      <c r="I63" s="649">
        <f t="shared" si="5"/>
        <v>4382</v>
      </c>
      <c r="J63" s="657"/>
      <c r="K63" s="649"/>
      <c r="L63" s="657"/>
      <c r="M63" s="649"/>
      <c r="N63" s="657"/>
      <c r="O63" s="649"/>
      <c r="P63" s="657"/>
      <c r="Q63" s="649"/>
      <c r="R63" s="657"/>
      <c r="S63" s="649"/>
      <c r="T63" s="657"/>
      <c r="U63" s="649"/>
      <c r="V63" s="651"/>
      <c r="W63" s="649"/>
      <c r="X63" s="651"/>
      <c r="Y63" s="649"/>
      <c r="Z63" s="651"/>
      <c r="AA63" s="649"/>
      <c r="AB63" s="651"/>
      <c r="AC63" s="649"/>
      <c r="AD63" s="652">
        <f t="shared" si="0"/>
        <v>1800</v>
      </c>
      <c r="AE63" s="647">
        <v>150</v>
      </c>
      <c r="AF63" s="652">
        <f t="shared" si="1"/>
        <v>1800</v>
      </c>
      <c r="AG63" s="647">
        <v>150</v>
      </c>
      <c r="AH63" s="649">
        <f t="shared" si="6"/>
        <v>42240</v>
      </c>
      <c r="AI63" s="649">
        <f t="shared" si="10"/>
        <v>3520</v>
      </c>
      <c r="AJ63" s="649">
        <f t="shared" si="9"/>
        <v>3520</v>
      </c>
      <c r="AK63" s="649">
        <v>0</v>
      </c>
      <c r="AL63" s="649">
        <v>0</v>
      </c>
      <c r="AM63" s="649">
        <v>0</v>
      </c>
      <c r="AN63" s="649">
        <v>0</v>
      </c>
      <c r="AO63" s="653">
        <f t="shared" si="7"/>
        <v>16573.5</v>
      </c>
      <c r="AP63" s="644"/>
    </row>
    <row r="64" spans="1:42" s="13" customFormat="1" ht="15.75" thickBot="1">
      <c r="A64" s="644"/>
      <c r="B64" s="645">
        <v>398</v>
      </c>
      <c r="C64" s="684"/>
      <c r="D64" s="646" t="s">
        <v>31</v>
      </c>
      <c r="E64" s="647">
        <v>72.540000000000006</v>
      </c>
      <c r="F64" s="648">
        <v>1</v>
      </c>
      <c r="G64" s="649">
        <f t="shared" si="4"/>
        <v>2248.7400000000002</v>
      </c>
      <c r="H64" s="648">
        <v>1</v>
      </c>
      <c r="I64" s="649">
        <f t="shared" si="5"/>
        <v>2031.1200000000001</v>
      </c>
      <c r="J64" s="657"/>
      <c r="K64" s="649"/>
      <c r="L64" s="657"/>
      <c r="M64" s="649"/>
      <c r="N64" s="657"/>
      <c r="O64" s="649"/>
      <c r="P64" s="657"/>
      <c r="Q64" s="649"/>
      <c r="R64" s="657"/>
      <c r="S64" s="649"/>
      <c r="T64" s="657"/>
      <c r="U64" s="649"/>
      <c r="V64" s="651"/>
      <c r="W64" s="649"/>
      <c r="X64" s="651"/>
      <c r="Y64" s="649"/>
      <c r="Z64" s="651"/>
      <c r="AA64" s="649"/>
      <c r="AB64" s="651"/>
      <c r="AC64" s="649"/>
      <c r="AD64" s="652">
        <f t="shared" si="0"/>
        <v>0</v>
      </c>
      <c r="AE64" s="647">
        <v>0</v>
      </c>
      <c r="AF64" s="652">
        <f t="shared" si="1"/>
        <v>0</v>
      </c>
      <c r="AG64" s="647">
        <v>0</v>
      </c>
      <c r="AH64" s="649">
        <f t="shared" si="6"/>
        <v>21120</v>
      </c>
      <c r="AI64" s="649">
        <f t="shared" si="10"/>
        <v>1760</v>
      </c>
      <c r="AJ64" s="649">
        <f t="shared" si="9"/>
        <v>1760</v>
      </c>
      <c r="AK64" s="649">
        <v>0</v>
      </c>
      <c r="AL64" s="649">
        <v>0</v>
      </c>
      <c r="AM64" s="649">
        <v>0</v>
      </c>
      <c r="AN64" s="649">
        <v>0</v>
      </c>
      <c r="AO64" s="653">
        <f t="shared" si="7"/>
        <v>7799.8600000000006</v>
      </c>
      <c r="AP64" s="644"/>
    </row>
    <row r="65" spans="1:43" s="13" customFormat="1" ht="15.75" thickBot="1">
      <c r="A65" s="644"/>
      <c r="B65" s="645">
        <v>399</v>
      </c>
      <c r="C65" s="684"/>
      <c r="D65" s="646" t="s">
        <v>69</v>
      </c>
      <c r="E65" s="647">
        <v>71.400000000000006</v>
      </c>
      <c r="F65" s="648">
        <v>4</v>
      </c>
      <c r="G65" s="649">
        <f t="shared" si="4"/>
        <v>8853.6</v>
      </c>
      <c r="H65" s="648">
        <v>4</v>
      </c>
      <c r="I65" s="649">
        <f t="shared" si="5"/>
        <v>7996.8000000000011</v>
      </c>
      <c r="J65" s="657"/>
      <c r="K65" s="649"/>
      <c r="L65" s="657"/>
      <c r="M65" s="649"/>
      <c r="N65" s="657"/>
      <c r="O65" s="649"/>
      <c r="P65" s="657"/>
      <c r="Q65" s="649"/>
      <c r="R65" s="657"/>
      <c r="S65" s="649"/>
      <c r="T65" s="657"/>
      <c r="U65" s="649"/>
      <c r="V65" s="651"/>
      <c r="W65" s="649"/>
      <c r="X65" s="651"/>
      <c r="Y65" s="649"/>
      <c r="Z65" s="651"/>
      <c r="AA65" s="649"/>
      <c r="AB65" s="651"/>
      <c r="AC65" s="649"/>
      <c r="AD65" s="652">
        <f t="shared" si="0"/>
        <v>0</v>
      </c>
      <c r="AE65" s="647">
        <v>0</v>
      </c>
      <c r="AF65" s="652">
        <f t="shared" si="1"/>
        <v>0</v>
      </c>
      <c r="AG65" s="647">
        <v>0</v>
      </c>
      <c r="AH65" s="649">
        <f t="shared" si="6"/>
        <v>84480</v>
      </c>
      <c r="AI65" s="649">
        <f t="shared" si="10"/>
        <v>7040</v>
      </c>
      <c r="AJ65" s="649">
        <f t="shared" si="9"/>
        <v>7040</v>
      </c>
      <c r="AK65" s="649">
        <v>0</v>
      </c>
      <c r="AL65" s="649">
        <v>0</v>
      </c>
      <c r="AM65" s="649">
        <v>0</v>
      </c>
      <c r="AN65" s="649">
        <v>0</v>
      </c>
      <c r="AO65" s="653">
        <f t="shared" si="7"/>
        <v>30930.400000000001</v>
      </c>
      <c r="AP65" s="644"/>
    </row>
    <row r="66" spans="1:43" s="13" customFormat="1" ht="15.75" thickBot="1">
      <c r="A66" s="644"/>
      <c r="B66" s="654">
        <v>400</v>
      </c>
      <c r="C66" s="684"/>
      <c r="D66" s="646" t="s">
        <v>37</v>
      </c>
      <c r="E66" s="647">
        <v>80.86</v>
      </c>
      <c r="F66" s="648">
        <v>4</v>
      </c>
      <c r="G66" s="649">
        <f t="shared" si="4"/>
        <v>10026.64</v>
      </c>
      <c r="H66" s="648">
        <v>4</v>
      </c>
      <c r="I66" s="649">
        <f t="shared" si="5"/>
        <v>9056.32</v>
      </c>
      <c r="J66" s="657"/>
      <c r="K66" s="649"/>
      <c r="L66" s="657"/>
      <c r="M66" s="649"/>
      <c r="N66" s="657"/>
      <c r="O66" s="649"/>
      <c r="P66" s="657"/>
      <c r="Q66" s="649"/>
      <c r="R66" s="657"/>
      <c r="S66" s="649"/>
      <c r="T66" s="657"/>
      <c r="U66" s="649"/>
      <c r="V66" s="651"/>
      <c r="W66" s="649"/>
      <c r="X66" s="651"/>
      <c r="Y66" s="649"/>
      <c r="Z66" s="651"/>
      <c r="AA66" s="649"/>
      <c r="AB66" s="651"/>
      <c r="AC66" s="649"/>
      <c r="AD66" s="652">
        <f t="shared" si="0"/>
        <v>0</v>
      </c>
      <c r="AE66" s="647">
        <v>0</v>
      </c>
      <c r="AF66" s="652">
        <f t="shared" si="1"/>
        <v>0</v>
      </c>
      <c r="AG66" s="647">
        <v>0</v>
      </c>
      <c r="AH66" s="649">
        <f t="shared" si="6"/>
        <v>84480</v>
      </c>
      <c r="AI66" s="649">
        <f t="shared" si="10"/>
        <v>7040</v>
      </c>
      <c r="AJ66" s="649">
        <f t="shared" si="9"/>
        <v>7040</v>
      </c>
      <c r="AK66" s="649">
        <v>0</v>
      </c>
      <c r="AL66" s="649">
        <v>0</v>
      </c>
      <c r="AM66" s="649">
        <v>0</v>
      </c>
      <c r="AN66" s="649">
        <v>0</v>
      </c>
      <c r="AO66" s="653">
        <f t="shared" si="7"/>
        <v>33162.959999999999</v>
      </c>
      <c r="AP66" s="644"/>
    </row>
    <row r="67" spans="1:43" s="13" customFormat="1" ht="15" customHeight="1" thickBot="1">
      <c r="A67" s="644"/>
      <c r="B67" s="645">
        <v>427</v>
      </c>
      <c r="C67" s="684" t="s">
        <v>70</v>
      </c>
      <c r="D67" s="646" t="s">
        <v>44</v>
      </c>
      <c r="E67" s="647">
        <v>72.540000000000006</v>
      </c>
      <c r="F67" s="648">
        <v>32</v>
      </c>
      <c r="G67" s="649">
        <f t="shared" si="4"/>
        <v>71959.680000000008</v>
      </c>
      <c r="H67" s="648">
        <v>32</v>
      </c>
      <c r="I67" s="649">
        <f t="shared" si="5"/>
        <v>64995.840000000004</v>
      </c>
      <c r="J67" s="658"/>
      <c r="K67" s="649"/>
      <c r="L67" s="658"/>
      <c r="M67" s="649"/>
      <c r="N67" s="658"/>
      <c r="O67" s="649"/>
      <c r="P67" s="658"/>
      <c r="Q67" s="649"/>
      <c r="R67" s="658"/>
      <c r="S67" s="649"/>
      <c r="T67" s="658"/>
      <c r="U67" s="649"/>
      <c r="V67" s="651"/>
      <c r="W67" s="649"/>
      <c r="X67" s="651"/>
      <c r="Y67" s="649"/>
      <c r="Z67" s="651"/>
      <c r="AA67" s="649"/>
      <c r="AB67" s="651"/>
      <c r="AC67" s="649"/>
      <c r="AD67" s="652">
        <f t="shared" si="0"/>
        <v>21600</v>
      </c>
      <c r="AE67" s="652">
        <v>1800</v>
      </c>
      <c r="AF67" s="652">
        <f t="shared" si="1"/>
        <v>21600</v>
      </c>
      <c r="AG67" s="652">
        <v>1800</v>
      </c>
      <c r="AH67" s="649">
        <f t="shared" si="6"/>
        <v>675840</v>
      </c>
      <c r="AI67" s="649">
        <f t="shared" si="10"/>
        <v>56320</v>
      </c>
      <c r="AJ67" s="649">
        <f t="shared" si="9"/>
        <v>56320</v>
      </c>
      <c r="AK67" s="649">
        <v>0</v>
      </c>
      <c r="AL67" s="649">
        <v>0</v>
      </c>
      <c r="AM67" s="649">
        <v>0</v>
      </c>
      <c r="AN67" s="649">
        <v>0</v>
      </c>
      <c r="AO67" s="653">
        <f t="shared" si="7"/>
        <v>253195.52000000002</v>
      </c>
      <c r="AP67" s="644"/>
      <c r="AQ67" s="659"/>
    </row>
    <row r="68" spans="1:43" s="13" customFormat="1" ht="15.75" thickBot="1">
      <c r="A68" s="644"/>
      <c r="B68" s="645">
        <v>428</v>
      </c>
      <c r="C68" s="684"/>
      <c r="D68" s="646" t="s">
        <v>138</v>
      </c>
      <c r="E68" s="647">
        <v>72.540000000000006</v>
      </c>
      <c r="F68" s="648">
        <v>3</v>
      </c>
      <c r="G68" s="649">
        <f t="shared" si="4"/>
        <v>6746.22</v>
      </c>
      <c r="H68" s="648">
        <v>3</v>
      </c>
      <c r="I68" s="649">
        <f t="shared" si="5"/>
        <v>6093.3600000000006</v>
      </c>
      <c r="J68" s="658"/>
      <c r="K68" s="649"/>
      <c r="L68" s="658"/>
      <c r="M68" s="649"/>
      <c r="N68" s="658"/>
      <c r="O68" s="649"/>
      <c r="P68" s="658"/>
      <c r="Q68" s="649"/>
      <c r="R68" s="658"/>
      <c r="S68" s="649"/>
      <c r="T68" s="658"/>
      <c r="U68" s="649"/>
      <c r="V68" s="651"/>
      <c r="W68" s="649"/>
      <c r="X68" s="651"/>
      <c r="Y68" s="649"/>
      <c r="Z68" s="651"/>
      <c r="AA68" s="649"/>
      <c r="AB68" s="651"/>
      <c r="AC68" s="649"/>
      <c r="AD68" s="652">
        <f t="shared" si="0"/>
        <v>2400</v>
      </c>
      <c r="AE68" s="652">
        <v>200</v>
      </c>
      <c r="AF68" s="652">
        <f t="shared" si="1"/>
        <v>2400</v>
      </c>
      <c r="AG68" s="652">
        <v>200</v>
      </c>
      <c r="AH68" s="649">
        <f t="shared" si="6"/>
        <v>63360</v>
      </c>
      <c r="AI68" s="649">
        <f t="shared" si="10"/>
        <v>5280</v>
      </c>
      <c r="AJ68" s="649">
        <f t="shared" si="9"/>
        <v>5280</v>
      </c>
      <c r="AK68" s="649">
        <v>0</v>
      </c>
      <c r="AL68" s="649">
        <v>0</v>
      </c>
      <c r="AM68" s="649">
        <v>0</v>
      </c>
      <c r="AN68" s="649">
        <v>0</v>
      </c>
      <c r="AO68" s="653">
        <f t="shared" si="7"/>
        <v>23799.58</v>
      </c>
      <c r="AP68" s="644"/>
      <c r="AQ68" s="659"/>
    </row>
    <row r="69" spans="1:43" s="13" customFormat="1" ht="15.75" thickBot="1">
      <c r="A69" s="644"/>
      <c r="B69" s="654">
        <v>429</v>
      </c>
      <c r="C69" s="684"/>
      <c r="D69" s="646" t="s">
        <v>71</v>
      </c>
      <c r="E69" s="647">
        <v>73.59</v>
      </c>
      <c r="F69" s="648">
        <v>2</v>
      </c>
      <c r="G69" s="649">
        <f>+E69*1*31</f>
        <v>2281.29</v>
      </c>
      <c r="H69" s="648">
        <v>1</v>
      </c>
      <c r="I69" s="649">
        <f t="shared" si="5"/>
        <v>2060.52</v>
      </c>
      <c r="J69" s="658"/>
      <c r="K69" s="649"/>
      <c r="L69" s="658"/>
      <c r="M69" s="649"/>
      <c r="N69" s="658"/>
      <c r="O69" s="649"/>
      <c r="P69" s="658"/>
      <c r="Q69" s="649"/>
      <c r="R69" s="658"/>
      <c r="S69" s="649"/>
      <c r="T69" s="658"/>
      <c r="U69" s="649"/>
      <c r="V69" s="651"/>
      <c r="W69" s="649"/>
      <c r="X69" s="651"/>
      <c r="Y69" s="649"/>
      <c r="Z69" s="651"/>
      <c r="AA69" s="649"/>
      <c r="AB69" s="651"/>
      <c r="AC69" s="649"/>
      <c r="AD69" s="652">
        <f t="shared" si="0"/>
        <v>900</v>
      </c>
      <c r="AE69" s="652">
        <v>75</v>
      </c>
      <c r="AF69" s="652">
        <f t="shared" si="1"/>
        <v>900</v>
      </c>
      <c r="AG69" s="652">
        <v>75</v>
      </c>
      <c r="AH69" s="649">
        <f t="shared" si="6"/>
        <v>21120</v>
      </c>
      <c r="AI69" s="649">
        <f>1760*1</f>
        <v>1760</v>
      </c>
      <c r="AJ69" s="649">
        <f t="shared" si="9"/>
        <v>1760</v>
      </c>
      <c r="AK69" s="649">
        <v>0</v>
      </c>
      <c r="AL69" s="649">
        <v>0</v>
      </c>
      <c r="AM69" s="649">
        <v>0</v>
      </c>
      <c r="AN69" s="649">
        <v>0</v>
      </c>
      <c r="AO69" s="653">
        <f t="shared" si="7"/>
        <v>8011.8099999999995</v>
      </c>
      <c r="AP69" s="644"/>
      <c r="AQ69" s="659"/>
    </row>
    <row r="70" spans="1:43" s="13" customFormat="1" ht="15.75" thickBot="1">
      <c r="A70" s="644"/>
      <c r="B70" s="654">
        <v>430</v>
      </c>
      <c r="C70" s="684"/>
      <c r="D70" s="646" t="s">
        <v>72</v>
      </c>
      <c r="E70" s="647">
        <v>71.400000000000006</v>
      </c>
      <c r="F70" s="648">
        <v>28</v>
      </c>
      <c r="G70" s="649">
        <f>+E70*26*31</f>
        <v>57548.4</v>
      </c>
      <c r="H70" s="648">
        <v>27</v>
      </c>
      <c r="I70" s="649">
        <f>26*E70*28</f>
        <v>51979.200000000004</v>
      </c>
      <c r="J70" s="658"/>
      <c r="K70" s="649"/>
      <c r="L70" s="658"/>
      <c r="M70" s="649"/>
      <c r="N70" s="658"/>
      <c r="O70" s="649"/>
      <c r="P70" s="658"/>
      <c r="Q70" s="649"/>
      <c r="R70" s="658"/>
      <c r="S70" s="649"/>
      <c r="T70" s="658"/>
      <c r="U70" s="649"/>
      <c r="V70" s="651"/>
      <c r="W70" s="649"/>
      <c r="X70" s="651"/>
      <c r="Y70" s="649"/>
      <c r="Z70" s="651"/>
      <c r="AA70" s="649"/>
      <c r="AB70" s="651"/>
      <c r="AC70" s="649"/>
      <c r="AD70" s="652">
        <f t="shared" si="0"/>
        <v>19200</v>
      </c>
      <c r="AE70" s="652">
        <v>1600</v>
      </c>
      <c r="AF70" s="652">
        <f t="shared" si="1"/>
        <v>19200</v>
      </c>
      <c r="AG70" s="652">
        <v>1600</v>
      </c>
      <c r="AH70" s="649">
        <f t="shared" si="6"/>
        <v>549120</v>
      </c>
      <c r="AI70" s="649">
        <f>1760*26</f>
        <v>45760</v>
      </c>
      <c r="AJ70" s="649">
        <f>1760*26+500</f>
        <v>46260</v>
      </c>
      <c r="AK70" s="649">
        <v>0</v>
      </c>
      <c r="AL70" s="649">
        <v>0</v>
      </c>
      <c r="AM70" s="649">
        <v>0</v>
      </c>
      <c r="AN70" s="649">
        <v>0</v>
      </c>
      <c r="AO70" s="653">
        <f t="shared" si="7"/>
        <v>204747.6</v>
      </c>
      <c r="AP70" s="644"/>
      <c r="AQ70" s="659"/>
    </row>
    <row r="71" spans="1:43" s="13" customFormat="1" ht="15.75" thickBot="1">
      <c r="A71" s="644"/>
      <c r="B71" s="645">
        <v>431</v>
      </c>
      <c r="C71" s="684"/>
      <c r="D71" s="646" t="s">
        <v>48</v>
      </c>
      <c r="E71" s="647">
        <v>71.400000000000006</v>
      </c>
      <c r="F71" s="648">
        <v>1</v>
      </c>
      <c r="G71" s="649">
        <f t="shared" si="4"/>
        <v>2213.4</v>
      </c>
      <c r="H71" s="648">
        <v>1</v>
      </c>
      <c r="I71" s="649">
        <f t="shared" si="5"/>
        <v>1999.2000000000003</v>
      </c>
      <c r="J71" s="657"/>
      <c r="K71" s="649"/>
      <c r="L71" s="657"/>
      <c r="M71" s="649"/>
      <c r="N71" s="657"/>
      <c r="O71" s="649"/>
      <c r="P71" s="657"/>
      <c r="Q71" s="649"/>
      <c r="R71" s="657"/>
      <c r="S71" s="649"/>
      <c r="T71" s="657"/>
      <c r="U71" s="649"/>
      <c r="V71" s="651"/>
      <c r="W71" s="649"/>
      <c r="X71" s="651"/>
      <c r="Y71" s="649"/>
      <c r="Z71" s="651"/>
      <c r="AA71" s="649"/>
      <c r="AB71" s="651"/>
      <c r="AC71" s="649"/>
      <c r="AD71" s="652">
        <f t="shared" si="0"/>
        <v>0</v>
      </c>
      <c r="AE71" s="652"/>
      <c r="AF71" s="652">
        <f t="shared" si="1"/>
        <v>0</v>
      </c>
      <c r="AG71" s="652"/>
      <c r="AH71" s="649">
        <f t="shared" si="6"/>
        <v>21120</v>
      </c>
      <c r="AI71" s="649">
        <f t="shared" ref="AI71:AI83" si="11">1760*F71</f>
        <v>1760</v>
      </c>
      <c r="AJ71" s="649">
        <f t="shared" si="9"/>
        <v>1760</v>
      </c>
      <c r="AK71" s="649">
        <v>0</v>
      </c>
      <c r="AL71" s="649">
        <v>0</v>
      </c>
      <c r="AM71" s="649">
        <v>0</v>
      </c>
      <c r="AN71" s="649">
        <v>0</v>
      </c>
      <c r="AO71" s="653">
        <f t="shared" si="7"/>
        <v>7732.6</v>
      </c>
      <c r="AP71" s="644"/>
      <c r="AQ71" s="659"/>
    </row>
    <row r="72" spans="1:43" s="13" customFormat="1" ht="15.75" thickBot="1">
      <c r="A72" s="644"/>
      <c r="B72" s="645">
        <v>432</v>
      </c>
      <c r="C72" s="684"/>
      <c r="D72" s="646" t="s">
        <v>73</v>
      </c>
      <c r="E72" s="647">
        <v>71.400000000000006</v>
      </c>
      <c r="F72" s="648">
        <v>1</v>
      </c>
      <c r="G72" s="649">
        <f t="shared" si="4"/>
        <v>2213.4</v>
      </c>
      <c r="H72" s="648">
        <v>1</v>
      </c>
      <c r="I72" s="649">
        <f t="shared" si="5"/>
        <v>1999.2000000000003</v>
      </c>
      <c r="J72" s="657"/>
      <c r="K72" s="649"/>
      <c r="L72" s="657"/>
      <c r="M72" s="649"/>
      <c r="N72" s="657"/>
      <c r="O72" s="649"/>
      <c r="P72" s="657"/>
      <c r="Q72" s="649"/>
      <c r="R72" s="657"/>
      <c r="S72" s="649"/>
      <c r="T72" s="657"/>
      <c r="U72" s="649"/>
      <c r="V72" s="651"/>
      <c r="W72" s="649"/>
      <c r="X72" s="651"/>
      <c r="Y72" s="649"/>
      <c r="Z72" s="651"/>
      <c r="AA72" s="649"/>
      <c r="AB72" s="651"/>
      <c r="AC72" s="649"/>
      <c r="AD72" s="652">
        <f t="shared" si="0"/>
        <v>900</v>
      </c>
      <c r="AE72" s="652">
        <v>75</v>
      </c>
      <c r="AF72" s="652">
        <f t="shared" si="1"/>
        <v>900</v>
      </c>
      <c r="AG72" s="652">
        <v>75</v>
      </c>
      <c r="AH72" s="649">
        <f t="shared" si="6"/>
        <v>21120</v>
      </c>
      <c r="AI72" s="649">
        <f t="shared" si="11"/>
        <v>1760</v>
      </c>
      <c r="AJ72" s="649">
        <f t="shared" si="9"/>
        <v>1760</v>
      </c>
      <c r="AK72" s="649">
        <v>0</v>
      </c>
      <c r="AL72" s="649">
        <v>0</v>
      </c>
      <c r="AM72" s="649">
        <v>0</v>
      </c>
      <c r="AN72" s="649">
        <v>0</v>
      </c>
      <c r="AO72" s="653">
        <f t="shared" si="7"/>
        <v>7882.6</v>
      </c>
      <c r="AP72" s="644"/>
      <c r="AQ72" s="659"/>
    </row>
    <row r="73" spans="1:43" s="13" customFormat="1" ht="15.75" thickBot="1">
      <c r="A73" s="644"/>
      <c r="B73" s="654">
        <v>433</v>
      </c>
      <c r="C73" s="684"/>
      <c r="D73" s="646" t="s">
        <v>74</v>
      </c>
      <c r="E73" s="647">
        <v>71.400000000000006</v>
      </c>
      <c r="F73" s="648">
        <v>1</v>
      </c>
      <c r="G73" s="649">
        <f t="shared" si="4"/>
        <v>2213.4</v>
      </c>
      <c r="H73" s="648">
        <v>1</v>
      </c>
      <c r="I73" s="649">
        <f t="shared" si="5"/>
        <v>1999.2000000000003</v>
      </c>
      <c r="J73" s="657"/>
      <c r="K73" s="649"/>
      <c r="L73" s="657"/>
      <c r="M73" s="649"/>
      <c r="N73" s="657"/>
      <c r="O73" s="649"/>
      <c r="P73" s="657"/>
      <c r="Q73" s="649"/>
      <c r="R73" s="657"/>
      <c r="S73" s="649"/>
      <c r="T73" s="657"/>
      <c r="U73" s="649"/>
      <c r="V73" s="651"/>
      <c r="W73" s="649"/>
      <c r="X73" s="651"/>
      <c r="Y73" s="649"/>
      <c r="Z73" s="651"/>
      <c r="AA73" s="649"/>
      <c r="AB73" s="651"/>
      <c r="AC73" s="649"/>
      <c r="AD73" s="652">
        <f t="shared" si="0"/>
        <v>420</v>
      </c>
      <c r="AE73" s="652">
        <v>35</v>
      </c>
      <c r="AF73" s="652">
        <f t="shared" si="1"/>
        <v>420</v>
      </c>
      <c r="AG73" s="652">
        <v>35</v>
      </c>
      <c r="AH73" s="649">
        <f t="shared" si="6"/>
        <v>21120</v>
      </c>
      <c r="AI73" s="649">
        <f t="shared" si="11"/>
        <v>1760</v>
      </c>
      <c r="AJ73" s="649">
        <f t="shared" si="9"/>
        <v>1760</v>
      </c>
      <c r="AK73" s="649">
        <v>0</v>
      </c>
      <c r="AL73" s="649">
        <v>0</v>
      </c>
      <c r="AM73" s="649">
        <v>0</v>
      </c>
      <c r="AN73" s="649">
        <v>0</v>
      </c>
      <c r="AO73" s="653">
        <f t="shared" si="7"/>
        <v>7802.6</v>
      </c>
      <c r="AP73" s="644"/>
      <c r="AQ73" s="659"/>
    </row>
    <row r="74" spans="1:43" s="13" customFormat="1" ht="15.75" thickBot="1">
      <c r="A74" s="644"/>
      <c r="B74" s="654">
        <v>434</v>
      </c>
      <c r="C74" s="684"/>
      <c r="D74" s="646" t="s">
        <v>35</v>
      </c>
      <c r="E74" s="647">
        <v>71.400000000000006</v>
      </c>
      <c r="F74" s="648">
        <v>5</v>
      </c>
      <c r="G74" s="649">
        <f t="shared" si="4"/>
        <v>11067</v>
      </c>
      <c r="H74" s="648">
        <v>5</v>
      </c>
      <c r="I74" s="649">
        <f t="shared" si="5"/>
        <v>9996</v>
      </c>
      <c r="J74" s="657"/>
      <c r="K74" s="649"/>
      <c r="L74" s="657"/>
      <c r="M74" s="649"/>
      <c r="N74" s="657"/>
      <c r="O74" s="649"/>
      <c r="P74" s="657"/>
      <c r="Q74" s="649"/>
      <c r="R74" s="657"/>
      <c r="S74" s="649"/>
      <c r="T74" s="657"/>
      <c r="U74" s="649"/>
      <c r="V74" s="651"/>
      <c r="W74" s="649"/>
      <c r="X74" s="651"/>
      <c r="Y74" s="649"/>
      <c r="Z74" s="651"/>
      <c r="AA74" s="649"/>
      <c r="AB74" s="651"/>
      <c r="AC74" s="649"/>
      <c r="AD74" s="652">
        <f t="shared" si="0"/>
        <v>2040</v>
      </c>
      <c r="AE74" s="652">
        <v>170</v>
      </c>
      <c r="AF74" s="652">
        <f t="shared" si="1"/>
        <v>2040</v>
      </c>
      <c r="AG74" s="652">
        <v>170</v>
      </c>
      <c r="AH74" s="649">
        <f t="shared" si="6"/>
        <v>105600</v>
      </c>
      <c r="AI74" s="649">
        <f t="shared" si="11"/>
        <v>8800</v>
      </c>
      <c r="AJ74" s="649">
        <f t="shared" si="9"/>
        <v>8800</v>
      </c>
      <c r="AK74" s="649">
        <v>0</v>
      </c>
      <c r="AL74" s="649">
        <v>0</v>
      </c>
      <c r="AM74" s="649">
        <v>0</v>
      </c>
      <c r="AN74" s="649">
        <v>0</v>
      </c>
      <c r="AO74" s="653">
        <f t="shared" si="7"/>
        <v>39003</v>
      </c>
      <c r="AP74" s="644"/>
      <c r="AQ74" s="659"/>
    </row>
    <row r="75" spans="1:43" s="13" customFormat="1" ht="15.75" thickBot="1">
      <c r="A75" s="644"/>
      <c r="B75" s="654">
        <v>435</v>
      </c>
      <c r="C75" s="684"/>
      <c r="D75" s="646" t="s">
        <v>52</v>
      </c>
      <c r="E75" s="647">
        <v>72.540000000000006</v>
      </c>
      <c r="F75" s="648">
        <v>4</v>
      </c>
      <c r="G75" s="649">
        <f t="shared" si="4"/>
        <v>8994.9600000000009</v>
      </c>
      <c r="H75" s="648">
        <v>4</v>
      </c>
      <c r="I75" s="649">
        <f t="shared" si="5"/>
        <v>8124.4800000000005</v>
      </c>
      <c r="J75" s="657"/>
      <c r="K75" s="649"/>
      <c r="L75" s="657"/>
      <c r="M75" s="649"/>
      <c r="N75" s="657"/>
      <c r="O75" s="649"/>
      <c r="P75" s="657"/>
      <c r="Q75" s="649"/>
      <c r="R75" s="657"/>
      <c r="S75" s="649"/>
      <c r="T75" s="657"/>
      <c r="U75" s="649"/>
      <c r="V75" s="651"/>
      <c r="W75" s="649"/>
      <c r="X75" s="651"/>
      <c r="Y75" s="649"/>
      <c r="Z75" s="651"/>
      <c r="AA75" s="649"/>
      <c r="AB75" s="651"/>
      <c r="AC75" s="649"/>
      <c r="AD75" s="652">
        <f t="shared" si="0"/>
        <v>2220</v>
      </c>
      <c r="AE75" s="652">
        <v>185</v>
      </c>
      <c r="AF75" s="652">
        <f t="shared" si="1"/>
        <v>2220</v>
      </c>
      <c r="AG75" s="652">
        <v>185</v>
      </c>
      <c r="AH75" s="649">
        <f t="shared" si="6"/>
        <v>84480</v>
      </c>
      <c r="AI75" s="649">
        <f t="shared" si="11"/>
        <v>7040</v>
      </c>
      <c r="AJ75" s="649">
        <f t="shared" si="9"/>
        <v>7040</v>
      </c>
      <c r="AK75" s="649">
        <v>0</v>
      </c>
      <c r="AL75" s="649">
        <v>0</v>
      </c>
      <c r="AM75" s="649">
        <v>0</v>
      </c>
      <c r="AN75" s="649">
        <v>0</v>
      </c>
      <c r="AO75" s="653">
        <f t="shared" si="7"/>
        <v>31569.440000000002</v>
      </c>
      <c r="AP75" s="644"/>
      <c r="AQ75" s="659"/>
    </row>
    <row r="76" spans="1:43" s="13" customFormat="1" ht="15.75" thickBot="1">
      <c r="A76" s="644"/>
      <c r="B76" s="645">
        <v>436</v>
      </c>
      <c r="C76" s="684"/>
      <c r="D76" s="646" t="s">
        <v>61</v>
      </c>
      <c r="E76" s="647">
        <v>77.59</v>
      </c>
      <c r="F76" s="648">
        <v>1</v>
      </c>
      <c r="G76" s="649">
        <f t="shared" si="4"/>
        <v>2405.29</v>
      </c>
      <c r="H76" s="648">
        <v>1</v>
      </c>
      <c r="I76" s="649">
        <f t="shared" si="5"/>
        <v>2172.52</v>
      </c>
      <c r="J76" s="657"/>
      <c r="K76" s="649"/>
      <c r="L76" s="657"/>
      <c r="M76" s="649"/>
      <c r="N76" s="657"/>
      <c r="O76" s="649"/>
      <c r="P76" s="657"/>
      <c r="Q76" s="649"/>
      <c r="R76" s="657"/>
      <c r="S76" s="649"/>
      <c r="T76" s="657"/>
      <c r="U76" s="649"/>
      <c r="V76" s="651"/>
      <c r="W76" s="649"/>
      <c r="X76" s="651"/>
      <c r="Y76" s="649"/>
      <c r="Z76" s="651"/>
      <c r="AA76" s="649"/>
      <c r="AB76" s="651"/>
      <c r="AC76" s="649"/>
      <c r="AD76" s="652">
        <f t="shared" si="0"/>
        <v>0</v>
      </c>
      <c r="AE76" s="652"/>
      <c r="AF76" s="652">
        <f t="shared" si="1"/>
        <v>0</v>
      </c>
      <c r="AG76" s="652"/>
      <c r="AH76" s="649">
        <f t="shared" si="6"/>
        <v>21120</v>
      </c>
      <c r="AI76" s="649">
        <f t="shared" si="11"/>
        <v>1760</v>
      </c>
      <c r="AJ76" s="649">
        <f t="shared" si="9"/>
        <v>1760</v>
      </c>
      <c r="AK76" s="649">
        <v>0</v>
      </c>
      <c r="AL76" s="649">
        <v>0</v>
      </c>
      <c r="AM76" s="649">
        <v>0</v>
      </c>
      <c r="AN76" s="649">
        <v>0</v>
      </c>
      <c r="AO76" s="653">
        <f t="shared" si="7"/>
        <v>8097.8099999999995</v>
      </c>
      <c r="AP76" s="644"/>
      <c r="AQ76" s="659"/>
    </row>
    <row r="77" spans="1:43" s="13" customFormat="1" ht="15.75" thickBot="1">
      <c r="A77" s="644"/>
      <c r="B77" s="645">
        <v>437</v>
      </c>
      <c r="C77" s="684"/>
      <c r="D77" s="646" t="s">
        <v>38</v>
      </c>
      <c r="E77" s="647">
        <v>71.400000000000006</v>
      </c>
      <c r="F77" s="648">
        <v>7</v>
      </c>
      <c r="G77" s="649">
        <f t="shared" si="4"/>
        <v>15493.800000000003</v>
      </c>
      <c r="H77" s="648">
        <v>7</v>
      </c>
      <c r="I77" s="649">
        <f t="shared" si="5"/>
        <v>13994.400000000001</v>
      </c>
      <c r="J77" s="657"/>
      <c r="K77" s="649"/>
      <c r="L77" s="657"/>
      <c r="M77" s="649"/>
      <c r="N77" s="657"/>
      <c r="O77" s="649"/>
      <c r="P77" s="657"/>
      <c r="Q77" s="649"/>
      <c r="R77" s="657"/>
      <c r="S77" s="649"/>
      <c r="T77" s="657"/>
      <c r="U77" s="649"/>
      <c r="V77" s="651"/>
      <c r="W77" s="649"/>
      <c r="X77" s="651"/>
      <c r="Y77" s="649"/>
      <c r="Z77" s="651"/>
      <c r="AA77" s="649"/>
      <c r="AB77" s="651"/>
      <c r="AC77" s="649"/>
      <c r="AD77" s="652">
        <f t="shared" si="0"/>
        <v>3420</v>
      </c>
      <c r="AE77" s="652">
        <v>285</v>
      </c>
      <c r="AF77" s="652">
        <f t="shared" si="1"/>
        <v>3420</v>
      </c>
      <c r="AG77" s="652">
        <v>285</v>
      </c>
      <c r="AH77" s="649">
        <f t="shared" si="6"/>
        <v>147840</v>
      </c>
      <c r="AI77" s="649">
        <f t="shared" si="11"/>
        <v>12320</v>
      </c>
      <c r="AJ77" s="649">
        <f t="shared" si="9"/>
        <v>12320</v>
      </c>
      <c r="AK77" s="649">
        <v>0</v>
      </c>
      <c r="AL77" s="649">
        <v>0</v>
      </c>
      <c r="AM77" s="649">
        <v>0</v>
      </c>
      <c r="AN77" s="649">
        <v>0</v>
      </c>
      <c r="AO77" s="653">
        <f t="shared" si="7"/>
        <v>54698.200000000004</v>
      </c>
      <c r="AP77" s="644"/>
      <c r="AQ77" s="659"/>
    </row>
    <row r="78" spans="1:43" s="13" customFormat="1" ht="15.75" thickBot="1">
      <c r="A78" s="644"/>
      <c r="B78" s="654">
        <v>438</v>
      </c>
      <c r="C78" s="684"/>
      <c r="D78" s="646" t="s">
        <v>62</v>
      </c>
      <c r="E78" s="647">
        <v>75.64</v>
      </c>
      <c r="F78" s="648">
        <v>1</v>
      </c>
      <c r="G78" s="649">
        <f t="shared" si="4"/>
        <v>2344.84</v>
      </c>
      <c r="H78" s="648">
        <v>1</v>
      </c>
      <c r="I78" s="649">
        <f t="shared" si="5"/>
        <v>2117.92</v>
      </c>
      <c r="J78" s="657"/>
      <c r="K78" s="649"/>
      <c r="L78" s="657"/>
      <c r="M78" s="649"/>
      <c r="N78" s="657"/>
      <c r="O78" s="649"/>
      <c r="P78" s="657"/>
      <c r="Q78" s="649"/>
      <c r="R78" s="657"/>
      <c r="S78" s="649"/>
      <c r="T78" s="657"/>
      <c r="U78" s="649"/>
      <c r="V78" s="651"/>
      <c r="W78" s="649"/>
      <c r="X78" s="651"/>
      <c r="Y78" s="649"/>
      <c r="Z78" s="651"/>
      <c r="AA78" s="649"/>
      <c r="AB78" s="651"/>
      <c r="AC78" s="649"/>
      <c r="AD78" s="652">
        <f t="shared" si="0"/>
        <v>420</v>
      </c>
      <c r="AE78" s="652">
        <v>35</v>
      </c>
      <c r="AF78" s="652">
        <f t="shared" si="1"/>
        <v>420</v>
      </c>
      <c r="AG78" s="652">
        <v>35</v>
      </c>
      <c r="AH78" s="649">
        <f t="shared" si="6"/>
        <v>21120</v>
      </c>
      <c r="AI78" s="649">
        <f t="shared" si="11"/>
        <v>1760</v>
      </c>
      <c r="AJ78" s="649">
        <f t="shared" si="9"/>
        <v>1760</v>
      </c>
      <c r="AK78" s="649">
        <v>0</v>
      </c>
      <c r="AL78" s="649">
        <v>0</v>
      </c>
      <c r="AM78" s="649">
        <v>0</v>
      </c>
      <c r="AN78" s="649">
        <v>0</v>
      </c>
      <c r="AO78" s="653">
        <f t="shared" si="7"/>
        <v>8052.76</v>
      </c>
      <c r="AP78" s="644"/>
      <c r="AQ78" s="659"/>
    </row>
    <row r="79" spans="1:43" s="13" customFormat="1" ht="15.75" thickBot="1">
      <c r="A79" s="644"/>
      <c r="B79" s="654">
        <v>439</v>
      </c>
      <c r="C79" s="684"/>
      <c r="D79" s="646" t="s">
        <v>39</v>
      </c>
      <c r="E79" s="647">
        <v>78.25</v>
      </c>
      <c r="F79" s="648">
        <v>9</v>
      </c>
      <c r="G79" s="649">
        <f t="shared" si="4"/>
        <v>21831.75</v>
      </c>
      <c r="H79" s="648">
        <v>9</v>
      </c>
      <c r="I79" s="649">
        <f t="shared" si="5"/>
        <v>19719</v>
      </c>
      <c r="J79" s="657"/>
      <c r="K79" s="649"/>
      <c r="L79" s="657"/>
      <c r="M79" s="649"/>
      <c r="N79" s="657"/>
      <c r="O79" s="649"/>
      <c r="P79" s="657"/>
      <c r="Q79" s="649"/>
      <c r="R79" s="657"/>
      <c r="S79" s="649"/>
      <c r="T79" s="657"/>
      <c r="U79" s="649"/>
      <c r="V79" s="651"/>
      <c r="W79" s="649"/>
      <c r="X79" s="651"/>
      <c r="Y79" s="649"/>
      <c r="Z79" s="651"/>
      <c r="AA79" s="649"/>
      <c r="AB79" s="651"/>
      <c r="AC79" s="649"/>
      <c r="AD79" s="652">
        <f t="shared" si="0"/>
        <v>7500</v>
      </c>
      <c r="AE79" s="652">
        <v>625</v>
      </c>
      <c r="AF79" s="652">
        <f t="shared" si="1"/>
        <v>7500</v>
      </c>
      <c r="AG79" s="652">
        <v>625</v>
      </c>
      <c r="AH79" s="649">
        <f t="shared" si="6"/>
        <v>190080</v>
      </c>
      <c r="AI79" s="649">
        <f t="shared" si="11"/>
        <v>15840</v>
      </c>
      <c r="AJ79" s="649">
        <f t="shared" si="9"/>
        <v>15840</v>
      </c>
      <c r="AK79" s="649">
        <v>0</v>
      </c>
      <c r="AL79" s="649">
        <v>0</v>
      </c>
      <c r="AM79" s="649">
        <v>0</v>
      </c>
      <c r="AN79" s="649">
        <v>0</v>
      </c>
      <c r="AO79" s="653">
        <f t="shared" si="7"/>
        <v>74480.75</v>
      </c>
      <c r="AP79" s="644"/>
      <c r="AQ79" s="659"/>
    </row>
    <row r="80" spans="1:43" s="13" customFormat="1" ht="15.75" thickBot="1">
      <c r="A80" s="644"/>
      <c r="B80" s="645">
        <v>440</v>
      </c>
      <c r="C80" s="684"/>
      <c r="D80" s="646" t="s">
        <v>31</v>
      </c>
      <c r="E80" s="647">
        <v>72.540000000000006</v>
      </c>
      <c r="F80" s="648">
        <v>1</v>
      </c>
      <c r="G80" s="649">
        <f t="shared" si="4"/>
        <v>2248.7400000000002</v>
      </c>
      <c r="H80" s="648">
        <v>1</v>
      </c>
      <c r="I80" s="649">
        <f t="shared" si="5"/>
        <v>2031.1200000000001</v>
      </c>
      <c r="J80" s="657"/>
      <c r="K80" s="649"/>
      <c r="L80" s="657"/>
      <c r="M80" s="649"/>
      <c r="N80" s="657"/>
      <c r="O80" s="649"/>
      <c r="P80" s="657"/>
      <c r="Q80" s="649"/>
      <c r="R80" s="657"/>
      <c r="S80" s="649"/>
      <c r="T80" s="657"/>
      <c r="U80" s="649"/>
      <c r="V80" s="651"/>
      <c r="W80" s="649"/>
      <c r="X80" s="651"/>
      <c r="Y80" s="649"/>
      <c r="Z80" s="651"/>
      <c r="AA80" s="649"/>
      <c r="AB80" s="651"/>
      <c r="AC80" s="649"/>
      <c r="AD80" s="652">
        <f t="shared" si="0"/>
        <v>0</v>
      </c>
      <c r="AE80" s="652"/>
      <c r="AF80" s="652">
        <f t="shared" si="1"/>
        <v>0</v>
      </c>
      <c r="AG80" s="652"/>
      <c r="AH80" s="649">
        <f t="shared" si="6"/>
        <v>21120</v>
      </c>
      <c r="AI80" s="649">
        <f t="shared" si="11"/>
        <v>1760</v>
      </c>
      <c r="AJ80" s="649">
        <f t="shared" si="9"/>
        <v>1760</v>
      </c>
      <c r="AK80" s="649">
        <v>0</v>
      </c>
      <c r="AL80" s="649">
        <v>0</v>
      </c>
      <c r="AM80" s="649">
        <v>0</v>
      </c>
      <c r="AN80" s="649">
        <v>0</v>
      </c>
      <c r="AO80" s="653">
        <f t="shared" si="7"/>
        <v>7799.8600000000006</v>
      </c>
      <c r="AP80" s="644"/>
      <c r="AQ80" s="659"/>
    </row>
    <row r="81" spans="1:43" s="13" customFormat="1" ht="15.75" thickBot="1">
      <c r="A81" s="644"/>
      <c r="B81" s="645">
        <v>441</v>
      </c>
      <c r="C81" s="684"/>
      <c r="D81" s="646" t="s">
        <v>32</v>
      </c>
      <c r="E81" s="647">
        <v>71.400000000000006</v>
      </c>
      <c r="F81" s="648">
        <v>1</v>
      </c>
      <c r="G81" s="649">
        <f t="shared" si="4"/>
        <v>2213.4</v>
      </c>
      <c r="H81" s="648">
        <v>1</v>
      </c>
      <c r="I81" s="649">
        <f t="shared" si="5"/>
        <v>1999.2000000000003</v>
      </c>
      <c r="J81" s="657"/>
      <c r="K81" s="649"/>
      <c r="L81" s="657"/>
      <c r="M81" s="649"/>
      <c r="N81" s="657"/>
      <c r="O81" s="649"/>
      <c r="P81" s="657"/>
      <c r="Q81" s="649"/>
      <c r="R81" s="657"/>
      <c r="S81" s="649"/>
      <c r="T81" s="657"/>
      <c r="U81" s="649"/>
      <c r="V81" s="651"/>
      <c r="W81" s="649"/>
      <c r="X81" s="651"/>
      <c r="Y81" s="649"/>
      <c r="Z81" s="651"/>
      <c r="AA81" s="649"/>
      <c r="AB81" s="651"/>
      <c r="AC81" s="649"/>
      <c r="AD81" s="652">
        <f t="shared" si="0"/>
        <v>0</v>
      </c>
      <c r="AE81" s="652">
        <v>0</v>
      </c>
      <c r="AF81" s="652">
        <f t="shared" si="1"/>
        <v>0</v>
      </c>
      <c r="AG81" s="652">
        <v>0</v>
      </c>
      <c r="AH81" s="649">
        <f t="shared" si="6"/>
        <v>21120</v>
      </c>
      <c r="AI81" s="649">
        <f t="shared" si="11"/>
        <v>1760</v>
      </c>
      <c r="AJ81" s="649">
        <f t="shared" si="9"/>
        <v>1760</v>
      </c>
      <c r="AK81" s="649">
        <v>0</v>
      </c>
      <c r="AL81" s="649">
        <v>0</v>
      </c>
      <c r="AM81" s="649">
        <v>0</v>
      </c>
      <c r="AN81" s="649">
        <v>0</v>
      </c>
      <c r="AO81" s="653">
        <f t="shared" si="7"/>
        <v>7732.6</v>
      </c>
      <c r="AP81" s="644"/>
      <c r="AQ81" s="659"/>
    </row>
    <row r="82" spans="1:43" s="13" customFormat="1" ht="15.75" thickBot="1">
      <c r="A82" s="644"/>
      <c r="B82" s="654">
        <v>442</v>
      </c>
      <c r="C82" s="684"/>
      <c r="D82" s="646" t="s">
        <v>54</v>
      </c>
      <c r="E82" s="647">
        <v>71.400000000000006</v>
      </c>
      <c r="F82" s="648">
        <v>1</v>
      </c>
      <c r="G82" s="649">
        <f t="shared" si="4"/>
        <v>2213.4</v>
      </c>
      <c r="H82" s="648">
        <v>1</v>
      </c>
      <c r="I82" s="649">
        <f t="shared" si="5"/>
        <v>1999.2000000000003</v>
      </c>
      <c r="J82" s="657"/>
      <c r="K82" s="649"/>
      <c r="L82" s="657"/>
      <c r="M82" s="649"/>
      <c r="N82" s="657"/>
      <c r="O82" s="649"/>
      <c r="P82" s="657"/>
      <c r="Q82" s="649"/>
      <c r="R82" s="657"/>
      <c r="S82" s="649"/>
      <c r="T82" s="657"/>
      <c r="U82" s="649"/>
      <c r="V82" s="651"/>
      <c r="W82" s="649"/>
      <c r="X82" s="651"/>
      <c r="Y82" s="649"/>
      <c r="Z82" s="651"/>
      <c r="AA82" s="649"/>
      <c r="AB82" s="651"/>
      <c r="AC82" s="649"/>
      <c r="AD82" s="652">
        <f t="shared" si="0"/>
        <v>600</v>
      </c>
      <c r="AE82" s="652">
        <v>50</v>
      </c>
      <c r="AF82" s="652">
        <f t="shared" si="1"/>
        <v>600</v>
      </c>
      <c r="AG82" s="652">
        <v>50</v>
      </c>
      <c r="AH82" s="649">
        <f t="shared" si="6"/>
        <v>21120</v>
      </c>
      <c r="AI82" s="649">
        <f t="shared" si="11"/>
        <v>1760</v>
      </c>
      <c r="AJ82" s="649">
        <f t="shared" si="9"/>
        <v>1760</v>
      </c>
      <c r="AK82" s="649">
        <v>0</v>
      </c>
      <c r="AL82" s="649">
        <v>0</v>
      </c>
      <c r="AM82" s="649">
        <v>0</v>
      </c>
      <c r="AN82" s="649">
        <v>0</v>
      </c>
      <c r="AO82" s="653">
        <f t="shared" si="7"/>
        <v>7832.6</v>
      </c>
      <c r="AP82" s="644"/>
      <c r="AQ82" s="659"/>
    </row>
    <row r="83" spans="1:43" s="13" customFormat="1" ht="15.75" thickBot="1">
      <c r="A83" s="644"/>
      <c r="B83" s="654">
        <v>443</v>
      </c>
      <c r="C83" s="684"/>
      <c r="D83" s="646" t="s">
        <v>42</v>
      </c>
      <c r="E83" s="647">
        <v>75.64</v>
      </c>
      <c r="F83" s="648">
        <v>1</v>
      </c>
      <c r="G83" s="649">
        <f t="shared" si="4"/>
        <v>2344.84</v>
      </c>
      <c r="H83" s="648">
        <v>1</v>
      </c>
      <c r="I83" s="649">
        <f t="shared" si="5"/>
        <v>2117.92</v>
      </c>
      <c r="J83" s="657"/>
      <c r="K83" s="649"/>
      <c r="L83" s="657"/>
      <c r="M83" s="649"/>
      <c r="N83" s="657"/>
      <c r="O83" s="649"/>
      <c r="P83" s="657"/>
      <c r="Q83" s="649"/>
      <c r="R83" s="657"/>
      <c r="S83" s="649"/>
      <c r="T83" s="657"/>
      <c r="U83" s="649"/>
      <c r="V83" s="651"/>
      <c r="W83" s="649"/>
      <c r="X83" s="651"/>
      <c r="Y83" s="649"/>
      <c r="Z83" s="651"/>
      <c r="AA83" s="649"/>
      <c r="AB83" s="651"/>
      <c r="AC83" s="649"/>
      <c r="AD83" s="652">
        <f t="shared" si="0"/>
        <v>420</v>
      </c>
      <c r="AE83" s="652">
        <v>35</v>
      </c>
      <c r="AF83" s="652">
        <f t="shared" si="1"/>
        <v>420</v>
      </c>
      <c r="AG83" s="652">
        <v>35</v>
      </c>
      <c r="AH83" s="649">
        <f t="shared" si="6"/>
        <v>21120</v>
      </c>
      <c r="AI83" s="649">
        <f t="shared" si="11"/>
        <v>1760</v>
      </c>
      <c r="AJ83" s="649">
        <f t="shared" si="9"/>
        <v>1760</v>
      </c>
      <c r="AK83" s="649">
        <v>0</v>
      </c>
      <c r="AL83" s="649">
        <v>0</v>
      </c>
      <c r="AM83" s="649">
        <v>0</v>
      </c>
      <c r="AN83" s="649">
        <v>0</v>
      </c>
      <c r="AO83" s="653">
        <f t="shared" si="7"/>
        <v>8052.76</v>
      </c>
      <c r="AP83" s="644"/>
      <c r="AQ83" s="659"/>
    </row>
    <row r="84" spans="1:43" s="13" customFormat="1">
      <c r="A84" s="644"/>
      <c r="B84" s="645">
        <v>444</v>
      </c>
      <c r="C84" s="684"/>
      <c r="D84" s="646" t="s">
        <v>37</v>
      </c>
      <c r="E84" s="647">
        <v>80.86</v>
      </c>
      <c r="F84" s="648">
        <v>7</v>
      </c>
      <c r="G84" s="649">
        <f>+E84*6*31</f>
        <v>15039.96</v>
      </c>
      <c r="H84" s="648">
        <v>6</v>
      </c>
      <c r="I84" s="649">
        <f t="shared" si="5"/>
        <v>13584.48</v>
      </c>
      <c r="J84" s="657"/>
      <c r="K84" s="649"/>
      <c r="L84" s="657"/>
      <c r="M84" s="649"/>
      <c r="N84" s="657"/>
      <c r="O84" s="649"/>
      <c r="P84" s="657"/>
      <c r="Q84" s="649"/>
      <c r="R84" s="657"/>
      <c r="S84" s="649"/>
      <c r="T84" s="657"/>
      <c r="U84" s="649"/>
      <c r="V84" s="651"/>
      <c r="W84" s="649"/>
      <c r="X84" s="651"/>
      <c r="Y84" s="649"/>
      <c r="Z84" s="651"/>
      <c r="AA84" s="649"/>
      <c r="AB84" s="651"/>
      <c r="AC84" s="649"/>
      <c r="AD84" s="652">
        <f t="shared" ref="AD84" si="12">+AE84*12</f>
        <v>420</v>
      </c>
      <c r="AE84" s="652">
        <v>35</v>
      </c>
      <c r="AF84" s="652">
        <f t="shared" ref="AF84" si="13">+AG84*12</f>
        <v>420</v>
      </c>
      <c r="AG84" s="652">
        <v>35</v>
      </c>
      <c r="AH84" s="649">
        <f t="shared" si="6"/>
        <v>126720</v>
      </c>
      <c r="AI84" s="649">
        <f>1760*6</f>
        <v>10560</v>
      </c>
      <c r="AJ84" s="649">
        <f t="shared" si="9"/>
        <v>10560</v>
      </c>
      <c r="AK84" s="649">
        <v>0</v>
      </c>
      <c r="AL84" s="649">
        <v>0</v>
      </c>
      <c r="AM84" s="649">
        <v>0</v>
      </c>
      <c r="AN84" s="649">
        <v>0</v>
      </c>
      <c r="AO84" s="653">
        <f t="shared" si="7"/>
        <v>49814.44</v>
      </c>
      <c r="AP84" s="644"/>
      <c r="AQ84" s="659"/>
    </row>
    <row r="85" spans="1:43" s="13" customFormat="1" ht="15" customHeight="1" thickBot="1">
      <c r="A85" s="644"/>
      <c r="B85" s="697" t="s">
        <v>79</v>
      </c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  <c r="AI85" s="684"/>
      <c r="AJ85" s="684"/>
      <c r="AK85" s="684"/>
      <c r="AL85" s="684"/>
      <c r="AM85" s="684"/>
      <c r="AN85" s="684"/>
      <c r="AO85" s="698"/>
      <c r="AP85" s="644"/>
    </row>
    <row r="86" spans="1:43" s="13" customFormat="1" ht="15" customHeight="1" thickBot="1">
      <c r="A86" s="644"/>
      <c r="B86" s="645">
        <v>576</v>
      </c>
      <c r="C86" s="684" t="s">
        <v>58</v>
      </c>
      <c r="D86" s="646" t="s">
        <v>44</v>
      </c>
      <c r="E86" s="647">
        <v>72.540000000000006</v>
      </c>
      <c r="F86" s="648">
        <v>7</v>
      </c>
      <c r="G86" s="649">
        <f t="shared" ref="G86:G132" si="14">+E86*F86*31</f>
        <v>15741.18</v>
      </c>
      <c r="H86" s="657">
        <v>7</v>
      </c>
      <c r="I86" s="649">
        <f t="shared" si="5"/>
        <v>14217.84</v>
      </c>
      <c r="J86" s="657"/>
      <c r="K86" s="649"/>
      <c r="L86" s="657"/>
      <c r="M86" s="649"/>
      <c r="N86" s="657"/>
      <c r="O86" s="649"/>
      <c r="P86" s="657"/>
      <c r="Q86" s="649"/>
      <c r="R86" s="657"/>
      <c r="S86" s="649"/>
      <c r="T86" s="657"/>
      <c r="U86" s="649"/>
      <c r="V86" s="651"/>
      <c r="W86" s="649"/>
      <c r="X86" s="651"/>
      <c r="Y86" s="649"/>
      <c r="Z86" s="651"/>
      <c r="AA86" s="649"/>
      <c r="AB86" s="651"/>
      <c r="AC86" s="649"/>
      <c r="AD86" s="652">
        <f t="shared" ref="AD86:AD105" si="15">+AE86*12</f>
        <v>2160</v>
      </c>
      <c r="AE86" s="647">
        <v>180</v>
      </c>
      <c r="AF86" s="652">
        <f t="shared" ref="AF86:AF105" si="16">+AG86*12</f>
        <v>2160</v>
      </c>
      <c r="AG86" s="647">
        <v>180</v>
      </c>
      <c r="AH86" s="649">
        <f t="shared" ref="AH86" si="17">+AI86*12</f>
        <v>147840</v>
      </c>
      <c r="AI86" s="649">
        <f t="shared" ref="AI86:AI104" si="18">1760*F86</f>
        <v>12320</v>
      </c>
      <c r="AJ86" s="649">
        <f t="shared" ref="AJ86:AJ105" si="19">1760*H86</f>
        <v>12320</v>
      </c>
      <c r="AK86" s="649">
        <v>0</v>
      </c>
      <c r="AL86" s="649">
        <v>0</v>
      </c>
      <c r="AM86" s="649">
        <v>0</v>
      </c>
      <c r="AN86" s="649">
        <v>0</v>
      </c>
      <c r="AO86" s="653">
        <f t="shared" ref="AO86:AO87" si="20">+G86+I86+K86+M86+O86+Q86+S86+AJ86+U86+W86+Y86+AA86+AC86+AE86+AI86+AK86+AL86+AM86+AN86</f>
        <v>54779.020000000004</v>
      </c>
      <c r="AP86" s="644"/>
    </row>
    <row r="87" spans="1:43" s="13" customFormat="1" ht="15.75" thickBot="1">
      <c r="A87" s="644"/>
      <c r="B87" s="645">
        <v>577</v>
      </c>
      <c r="C87" s="684"/>
      <c r="D87" s="646" t="s">
        <v>59</v>
      </c>
      <c r="E87" s="647">
        <v>77.59</v>
      </c>
      <c r="F87" s="648">
        <v>21</v>
      </c>
      <c r="G87" s="649">
        <f t="shared" si="14"/>
        <v>50511.090000000004</v>
      </c>
      <c r="H87" s="657">
        <v>21</v>
      </c>
      <c r="I87" s="649">
        <f t="shared" ref="I87:I132" si="21">+H87*E87*28</f>
        <v>45622.920000000006</v>
      </c>
      <c r="J87" s="657"/>
      <c r="K87" s="649"/>
      <c r="L87" s="657"/>
      <c r="M87" s="649"/>
      <c r="N87" s="657"/>
      <c r="O87" s="649"/>
      <c r="P87" s="657"/>
      <c r="Q87" s="649"/>
      <c r="R87" s="657"/>
      <c r="S87" s="649"/>
      <c r="T87" s="657"/>
      <c r="U87" s="649"/>
      <c r="V87" s="651"/>
      <c r="W87" s="649"/>
      <c r="X87" s="651"/>
      <c r="Y87" s="649"/>
      <c r="Z87" s="651"/>
      <c r="AA87" s="649"/>
      <c r="AB87" s="651"/>
      <c r="AC87" s="649"/>
      <c r="AD87" s="652">
        <f t="shared" si="15"/>
        <v>0</v>
      </c>
      <c r="AE87" s="647"/>
      <c r="AF87" s="652">
        <f t="shared" si="16"/>
        <v>0</v>
      </c>
      <c r="AG87" s="647"/>
      <c r="AH87" s="649">
        <f t="shared" ref="AH87:AH100" si="22">+AI87*12</f>
        <v>443520</v>
      </c>
      <c r="AI87" s="649">
        <f t="shared" si="18"/>
        <v>36960</v>
      </c>
      <c r="AJ87" s="649">
        <f t="shared" si="19"/>
        <v>36960</v>
      </c>
      <c r="AK87" s="649">
        <v>0</v>
      </c>
      <c r="AL87" s="649">
        <v>0</v>
      </c>
      <c r="AM87" s="649">
        <v>0</v>
      </c>
      <c r="AN87" s="649">
        <v>0</v>
      </c>
      <c r="AO87" s="653">
        <f t="shared" si="20"/>
        <v>170054.01</v>
      </c>
      <c r="AP87" s="644"/>
    </row>
    <row r="88" spans="1:43" s="13" customFormat="1" ht="15.75" thickBot="1">
      <c r="A88" s="644"/>
      <c r="B88" s="645">
        <v>578</v>
      </c>
      <c r="C88" s="684"/>
      <c r="D88" s="646" t="s">
        <v>48</v>
      </c>
      <c r="E88" s="647">
        <v>71.400000000000006</v>
      </c>
      <c r="F88" s="648">
        <v>1</v>
      </c>
      <c r="G88" s="649">
        <f t="shared" si="14"/>
        <v>2213.4</v>
      </c>
      <c r="H88" s="657">
        <v>1</v>
      </c>
      <c r="I88" s="649">
        <f t="shared" si="21"/>
        <v>1999.2000000000003</v>
      </c>
      <c r="J88" s="657"/>
      <c r="K88" s="649"/>
      <c r="L88" s="657"/>
      <c r="M88" s="649"/>
      <c r="N88" s="657"/>
      <c r="O88" s="649"/>
      <c r="P88" s="657"/>
      <c r="Q88" s="649"/>
      <c r="R88" s="657"/>
      <c r="S88" s="649"/>
      <c r="T88" s="657"/>
      <c r="U88" s="649"/>
      <c r="V88" s="651"/>
      <c r="W88" s="649"/>
      <c r="X88" s="651"/>
      <c r="Y88" s="649"/>
      <c r="Z88" s="651"/>
      <c r="AA88" s="649"/>
      <c r="AB88" s="651"/>
      <c r="AC88" s="649"/>
      <c r="AD88" s="652">
        <f t="shared" si="15"/>
        <v>0</v>
      </c>
      <c r="AE88" s="647"/>
      <c r="AF88" s="652">
        <f t="shared" si="16"/>
        <v>0</v>
      </c>
      <c r="AG88" s="647"/>
      <c r="AH88" s="649">
        <f t="shared" si="22"/>
        <v>21120</v>
      </c>
      <c r="AI88" s="649">
        <f t="shared" si="18"/>
        <v>1760</v>
      </c>
      <c r="AJ88" s="649">
        <f t="shared" si="19"/>
        <v>1760</v>
      </c>
      <c r="AK88" s="649">
        <v>0</v>
      </c>
      <c r="AL88" s="649">
        <v>0</v>
      </c>
      <c r="AM88" s="649">
        <v>0</v>
      </c>
      <c r="AN88" s="649">
        <v>0</v>
      </c>
      <c r="AO88" s="653">
        <f t="shared" ref="AO88:AO132" si="23">+G88+I88+K88+M88+O88+Q88+S88+AJ88+U88+W88+Y88+AA88+AC88+AE88+AI88+AK88+AL88+AM88+AN88</f>
        <v>7732.6</v>
      </c>
      <c r="AP88" s="644"/>
    </row>
    <row r="89" spans="1:43" s="13" customFormat="1" ht="15.75" thickBot="1">
      <c r="A89" s="644"/>
      <c r="B89" s="645">
        <v>579</v>
      </c>
      <c r="C89" s="684"/>
      <c r="D89" s="646" t="s">
        <v>35</v>
      </c>
      <c r="E89" s="647">
        <v>71.400000000000006</v>
      </c>
      <c r="F89" s="648">
        <v>39</v>
      </c>
      <c r="G89" s="649">
        <f t="shared" si="14"/>
        <v>86322.6</v>
      </c>
      <c r="H89" s="657">
        <v>39</v>
      </c>
      <c r="I89" s="649">
        <f t="shared" si="21"/>
        <v>77968.800000000017</v>
      </c>
      <c r="J89" s="657"/>
      <c r="K89" s="649"/>
      <c r="L89" s="657"/>
      <c r="M89" s="649"/>
      <c r="N89" s="657"/>
      <c r="O89" s="649"/>
      <c r="P89" s="657"/>
      <c r="Q89" s="649"/>
      <c r="R89" s="657"/>
      <c r="S89" s="649"/>
      <c r="T89" s="657"/>
      <c r="U89" s="649"/>
      <c r="V89" s="651"/>
      <c r="W89" s="649"/>
      <c r="X89" s="651"/>
      <c r="Y89" s="649"/>
      <c r="Z89" s="651"/>
      <c r="AA89" s="649"/>
      <c r="AB89" s="651"/>
      <c r="AC89" s="649"/>
      <c r="AD89" s="652">
        <f t="shared" si="15"/>
        <v>4260</v>
      </c>
      <c r="AE89" s="647">
        <v>355</v>
      </c>
      <c r="AF89" s="652">
        <f t="shared" si="16"/>
        <v>4260</v>
      </c>
      <c r="AG89" s="647">
        <v>355</v>
      </c>
      <c r="AH89" s="649">
        <f t="shared" si="22"/>
        <v>823680</v>
      </c>
      <c r="AI89" s="649">
        <f t="shared" si="18"/>
        <v>68640</v>
      </c>
      <c r="AJ89" s="649">
        <f t="shared" si="19"/>
        <v>68640</v>
      </c>
      <c r="AK89" s="649">
        <v>0</v>
      </c>
      <c r="AL89" s="649">
        <v>0</v>
      </c>
      <c r="AM89" s="649">
        <v>0</v>
      </c>
      <c r="AN89" s="649">
        <v>0</v>
      </c>
      <c r="AO89" s="653">
        <f t="shared" si="23"/>
        <v>301926.40000000002</v>
      </c>
      <c r="AP89" s="644"/>
    </row>
    <row r="90" spans="1:43" s="13" customFormat="1" ht="15.75" thickBot="1">
      <c r="A90" s="644"/>
      <c r="B90" s="645">
        <v>580</v>
      </c>
      <c r="C90" s="684"/>
      <c r="D90" s="646" t="s">
        <v>52</v>
      </c>
      <c r="E90" s="647">
        <v>72.540000000000006</v>
      </c>
      <c r="F90" s="648">
        <v>4</v>
      </c>
      <c r="G90" s="649">
        <f t="shared" si="14"/>
        <v>8994.9600000000009</v>
      </c>
      <c r="H90" s="657">
        <v>4</v>
      </c>
      <c r="I90" s="649">
        <f t="shared" si="21"/>
        <v>8124.4800000000005</v>
      </c>
      <c r="J90" s="657"/>
      <c r="K90" s="649"/>
      <c r="L90" s="657"/>
      <c r="M90" s="649"/>
      <c r="N90" s="657"/>
      <c r="O90" s="649"/>
      <c r="P90" s="657"/>
      <c r="Q90" s="649"/>
      <c r="R90" s="657"/>
      <c r="S90" s="649"/>
      <c r="T90" s="657"/>
      <c r="U90" s="649"/>
      <c r="V90" s="651"/>
      <c r="W90" s="649"/>
      <c r="X90" s="651"/>
      <c r="Y90" s="649"/>
      <c r="Z90" s="651"/>
      <c r="AA90" s="649"/>
      <c r="AB90" s="651"/>
      <c r="AC90" s="649"/>
      <c r="AD90" s="652">
        <f t="shared" si="15"/>
        <v>0</v>
      </c>
      <c r="AE90" s="647"/>
      <c r="AF90" s="652">
        <f t="shared" si="16"/>
        <v>0</v>
      </c>
      <c r="AG90" s="647"/>
      <c r="AH90" s="649">
        <f t="shared" si="22"/>
        <v>84480</v>
      </c>
      <c r="AI90" s="649">
        <f t="shared" si="18"/>
        <v>7040</v>
      </c>
      <c r="AJ90" s="649">
        <f t="shared" si="19"/>
        <v>7040</v>
      </c>
      <c r="AK90" s="649">
        <v>0</v>
      </c>
      <c r="AL90" s="649">
        <v>0</v>
      </c>
      <c r="AM90" s="649">
        <v>0</v>
      </c>
      <c r="AN90" s="649">
        <v>0</v>
      </c>
      <c r="AO90" s="653">
        <f t="shared" si="23"/>
        <v>31199.440000000002</v>
      </c>
      <c r="AP90" s="644"/>
    </row>
    <row r="91" spans="1:43" s="13" customFormat="1" ht="15.75" thickBot="1">
      <c r="A91" s="644"/>
      <c r="B91" s="645">
        <v>581</v>
      </c>
      <c r="C91" s="684"/>
      <c r="D91" s="646" t="s">
        <v>60</v>
      </c>
      <c r="E91" s="647">
        <v>73.59</v>
      </c>
      <c r="F91" s="648">
        <v>1</v>
      </c>
      <c r="G91" s="649">
        <f t="shared" si="14"/>
        <v>2281.29</v>
      </c>
      <c r="H91" s="657">
        <v>1</v>
      </c>
      <c r="I91" s="649">
        <f t="shared" si="21"/>
        <v>2060.52</v>
      </c>
      <c r="J91" s="657"/>
      <c r="K91" s="649"/>
      <c r="L91" s="657"/>
      <c r="M91" s="649"/>
      <c r="N91" s="657"/>
      <c r="O91" s="649"/>
      <c r="P91" s="657"/>
      <c r="Q91" s="649"/>
      <c r="R91" s="657"/>
      <c r="S91" s="649"/>
      <c r="T91" s="657"/>
      <c r="U91" s="649"/>
      <c r="V91" s="651"/>
      <c r="W91" s="649"/>
      <c r="X91" s="651"/>
      <c r="Y91" s="649"/>
      <c r="Z91" s="651"/>
      <c r="AA91" s="649"/>
      <c r="AB91" s="651"/>
      <c r="AC91" s="649"/>
      <c r="AD91" s="652">
        <f t="shared" si="15"/>
        <v>420</v>
      </c>
      <c r="AE91" s="647">
        <v>35</v>
      </c>
      <c r="AF91" s="652">
        <f t="shared" si="16"/>
        <v>420</v>
      </c>
      <c r="AG91" s="647">
        <v>35</v>
      </c>
      <c r="AH91" s="649">
        <f t="shared" si="22"/>
        <v>21120</v>
      </c>
      <c r="AI91" s="649">
        <f t="shared" si="18"/>
        <v>1760</v>
      </c>
      <c r="AJ91" s="649">
        <f t="shared" si="19"/>
        <v>1760</v>
      </c>
      <c r="AK91" s="649">
        <v>0</v>
      </c>
      <c r="AL91" s="649">
        <v>0</v>
      </c>
      <c r="AM91" s="649">
        <v>0</v>
      </c>
      <c r="AN91" s="649">
        <v>0</v>
      </c>
      <c r="AO91" s="653">
        <f t="shared" si="23"/>
        <v>7896.8099999999995</v>
      </c>
      <c r="AP91" s="644"/>
    </row>
    <row r="92" spans="1:43" s="13" customFormat="1" ht="15.75" thickBot="1">
      <c r="A92" s="644"/>
      <c r="B92" s="645">
        <v>582</v>
      </c>
      <c r="C92" s="684"/>
      <c r="D92" s="646" t="s">
        <v>61</v>
      </c>
      <c r="E92" s="647">
        <v>77.59</v>
      </c>
      <c r="F92" s="648">
        <v>7</v>
      </c>
      <c r="G92" s="649">
        <f t="shared" si="14"/>
        <v>16837.03</v>
      </c>
      <c r="H92" s="657">
        <v>7</v>
      </c>
      <c r="I92" s="649">
        <f t="shared" si="21"/>
        <v>15207.64</v>
      </c>
      <c r="J92" s="657"/>
      <c r="K92" s="649"/>
      <c r="L92" s="657"/>
      <c r="M92" s="649"/>
      <c r="N92" s="657"/>
      <c r="O92" s="649"/>
      <c r="P92" s="657"/>
      <c r="Q92" s="649"/>
      <c r="R92" s="657"/>
      <c r="S92" s="649"/>
      <c r="T92" s="657"/>
      <c r="U92" s="649"/>
      <c r="V92" s="651"/>
      <c r="W92" s="649"/>
      <c r="X92" s="651"/>
      <c r="Y92" s="649"/>
      <c r="Z92" s="651"/>
      <c r="AA92" s="649"/>
      <c r="AB92" s="651"/>
      <c r="AC92" s="649"/>
      <c r="AD92" s="652">
        <f t="shared" si="15"/>
        <v>0</v>
      </c>
      <c r="AE92" s="647"/>
      <c r="AF92" s="652">
        <f t="shared" si="16"/>
        <v>0</v>
      </c>
      <c r="AG92" s="647"/>
      <c r="AH92" s="649">
        <f t="shared" si="22"/>
        <v>147840</v>
      </c>
      <c r="AI92" s="649">
        <f t="shared" si="18"/>
        <v>12320</v>
      </c>
      <c r="AJ92" s="649">
        <f t="shared" si="19"/>
        <v>12320</v>
      </c>
      <c r="AK92" s="649">
        <v>0</v>
      </c>
      <c r="AL92" s="649">
        <v>0</v>
      </c>
      <c r="AM92" s="649">
        <v>0</v>
      </c>
      <c r="AN92" s="649">
        <v>0</v>
      </c>
      <c r="AO92" s="653">
        <f t="shared" si="23"/>
        <v>56684.67</v>
      </c>
      <c r="AP92" s="644"/>
    </row>
    <row r="93" spans="1:43" s="13" customFormat="1" ht="15.75" thickBot="1">
      <c r="A93" s="644"/>
      <c r="B93" s="645">
        <v>583</v>
      </c>
      <c r="C93" s="684"/>
      <c r="D93" s="646" t="s">
        <v>38</v>
      </c>
      <c r="E93" s="647">
        <v>71.400000000000006</v>
      </c>
      <c r="F93" s="648">
        <v>25</v>
      </c>
      <c r="G93" s="649">
        <f t="shared" si="14"/>
        <v>55335.000000000007</v>
      </c>
      <c r="H93" s="657">
        <v>25</v>
      </c>
      <c r="I93" s="649">
        <f>(+H93*E93*28)-357</f>
        <v>49623.000000000007</v>
      </c>
      <c r="J93" s="657"/>
      <c r="K93" s="649"/>
      <c r="L93" s="657"/>
      <c r="M93" s="649"/>
      <c r="N93" s="657"/>
      <c r="O93" s="649"/>
      <c r="P93" s="657"/>
      <c r="Q93" s="649"/>
      <c r="R93" s="657"/>
      <c r="S93" s="649"/>
      <c r="T93" s="657"/>
      <c r="U93" s="649"/>
      <c r="V93" s="651"/>
      <c r="W93" s="649"/>
      <c r="X93" s="651"/>
      <c r="Y93" s="649"/>
      <c r="Z93" s="651"/>
      <c r="AA93" s="649"/>
      <c r="AB93" s="651"/>
      <c r="AC93" s="649"/>
      <c r="AD93" s="652">
        <f t="shared" si="15"/>
        <v>3540</v>
      </c>
      <c r="AE93" s="647">
        <v>295</v>
      </c>
      <c r="AF93" s="652">
        <f t="shared" si="16"/>
        <v>3840</v>
      </c>
      <c r="AG93" s="647">
        <v>320</v>
      </c>
      <c r="AH93" s="649">
        <f t="shared" si="22"/>
        <v>528000</v>
      </c>
      <c r="AI93" s="649">
        <f t="shared" si="18"/>
        <v>44000</v>
      </c>
      <c r="AJ93" s="649">
        <f>(1760*H93)-153.23-90.32</f>
        <v>43756.45</v>
      </c>
      <c r="AK93" s="649">
        <v>0</v>
      </c>
      <c r="AL93" s="649">
        <v>0</v>
      </c>
      <c r="AM93" s="649">
        <v>0</v>
      </c>
      <c r="AN93" s="649">
        <v>0</v>
      </c>
      <c r="AO93" s="653">
        <f t="shared" si="23"/>
        <v>193009.45</v>
      </c>
      <c r="AP93" s="644"/>
    </row>
    <row r="94" spans="1:43" s="13" customFormat="1" ht="15.75" thickBot="1">
      <c r="A94" s="644"/>
      <c r="B94" s="645">
        <v>584</v>
      </c>
      <c r="C94" s="684"/>
      <c r="D94" s="646" t="s">
        <v>62</v>
      </c>
      <c r="E94" s="647">
        <v>75.64</v>
      </c>
      <c r="F94" s="648">
        <v>3</v>
      </c>
      <c r="G94" s="649">
        <f t="shared" si="14"/>
        <v>7034.52</v>
      </c>
      <c r="H94" s="657">
        <v>3</v>
      </c>
      <c r="I94" s="649">
        <f t="shared" si="21"/>
        <v>6353.76</v>
      </c>
      <c r="J94" s="657"/>
      <c r="K94" s="649"/>
      <c r="L94" s="657"/>
      <c r="M94" s="649"/>
      <c r="N94" s="657"/>
      <c r="O94" s="649"/>
      <c r="P94" s="657"/>
      <c r="Q94" s="649"/>
      <c r="R94" s="657"/>
      <c r="S94" s="649"/>
      <c r="T94" s="657"/>
      <c r="U94" s="649"/>
      <c r="V94" s="651"/>
      <c r="W94" s="649"/>
      <c r="X94" s="651"/>
      <c r="Y94" s="649"/>
      <c r="Z94" s="651"/>
      <c r="AA94" s="649"/>
      <c r="AB94" s="651"/>
      <c r="AC94" s="649"/>
      <c r="AD94" s="652">
        <f t="shared" si="15"/>
        <v>0</v>
      </c>
      <c r="AE94" s="647"/>
      <c r="AF94" s="652">
        <f t="shared" si="16"/>
        <v>0</v>
      </c>
      <c r="AG94" s="647"/>
      <c r="AH94" s="649">
        <f t="shared" si="22"/>
        <v>63360</v>
      </c>
      <c r="AI94" s="649">
        <f t="shared" si="18"/>
        <v>5280</v>
      </c>
      <c r="AJ94" s="649">
        <f t="shared" si="19"/>
        <v>5280</v>
      </c>
      <c r="AK94" s="649">
        <v>0</v>
      </c>
      <c r="AL94" s="649">
        <v>0</v>
      </c>
      <c r="AM94" s="649">
        <v>0</v>
      </c>
      <c r="AN94" s="649">
        <v>0</v>
      </c>
      <c r="AO94" s="653">
        <f t="shared" si="23"/>
        <v>23948.28</v>
      </c>
      <c r="AP94" s="644"/>
    </row>
    <row r="95" spans="1:43" s="13" customFormat="1" ht="15.75" thickBot="1">
      <c r="A95" s="644"/>
      <c r="B95" s="645">
        <v>585</v>
      </c>
      <c r="C95" s="684"/>
      <c r="D95" s="646" t="s">
        <v>63</v>
      </c>
      <c r="E95" s="647">
        <v>80.86</v>
      </c>
      <c r="F95" s="648">
        <v>1</v>
      </c>
      <c r="G95" s="649">
        <f t="shared" si="14"/>
        <v>2506.66</v>
      </c>
      <c r="H95" s="657">
        <v>1</v>
      </c>
      <c r="I95" s="649">
        <f t="shared" si="21"/>
        <v>2264.08</v>
      </c>
      <c r="J95" s="657"/>
      <c r="K95" s="649"/>
      <c r="L95" s="657"/>
      <c r="M95" s="649"/>
      <c r="N95" s="657"/>
      <c r="O95" s="649"/>
      <c r="P95" s="657"/>
      <c r="Q95" s="649"/>
      <c r="R95" s="657"/>
      <c r="S95" s="649"/>
      <c r="T95" s="657"/>
      <c r="U95" s="649"/>
      <c r="V95" s="651"/>
      <c r="W95" s="649"/>
      <c r="X95" s="651"/>
      <c r="Y95" s="649"/>
      <c r="Z95" s="651"/>
      <c r="AA95" s="649"/>
      <c r="AB95" s="651"/>
      <c r="AC95" s="649"/>
      <c r="AD95" s="652">
        <f t="shared" si="15"/>
        <v>0</v>
      </c>
      <c r="AE95" s="647">
        <v>0</v>
      </c>
      <c r="AF95" s="652">
        <f t="shared" si="16"/>
        <v>0</v>
      </c>
      <c r="AG95" s="647">
        <v>0</v>
      </c>
      <c r="AH95" s="649">
        <f t="shared" si="22"/>
        <v>21120</v>
      </c>
      <c r="AI95" s="649">
        <f t="shared" si="18"/>
        <v>1760</v>
      </c>
      <c r="AJ95" s="649">
        <f t="shared" si="19"/>
        <v>1760</v>
      </c>
      <c r="AK95" s="649">
        <v>0</v>
      </c>
      <c r="AL95" s="649">
        <v>0</v>
      </c>
      <c r="AM95" s="649">
        <v>0</v>
      </c>
      <c r="AN95" s="649">
        <v>0</v>
      </c>
      <c r="AO95" s="653">
        <f t="shared" si="23"/>
        <v>8290.74</v>
      </c>
      <c r="AP95" s="644"/>
    </row>
    <row r="96" spans="1:43" s="13" customFormat="1" ht="15.75" thickBot="1">
      <c r="A96" s="644"/>
      <c r="B96" s="645">
        <v>586</v>
      </c>
      <c r="C96" s="684"/>
      <c r="D96" s="646" t="s">
        <v>136</v>
      </c>
      <c r="E96" s="647">
        <v>75.64</v>
      </c>
      <c r="F96" s="648">
        <v>1</v>
      </c>
      <c r="G96" s="649">
        <f t="shared" si="14"/>
        <v>2344.84</v>
      </c>
      <c r="H96" s="657">
        <v>1</v>
      </c>
      <c r="I96" s="649">
        <f t="shared" si="21"/>
        <v>2117.92</v>
      </c>
      <c r="J96" s="657"/>
      <c r="K96" s="649"/>
      <c r="L96" s="657"/>
      <c r="M96" s="649"/>
      <c r="N96" s="657"/>
      <c r="O96" s="649"/>
      <c r="P96" s="657"/>
      <c r="Q96" s="649"/>
      <c r="R96" s="657"/>
      <c r="S96" s="649"/>
      <c r="T96" s="657"/>
      <c r="U96" s="649"/>
      <c r="V96" s="651"/>
      <c r="W96" s="649"/>
      <c r="X96" s="651"/>
      <c r="Y96" s="649"/>
      <c r="Z96" s="651"/>
      <c r="AA96" s="649"/>
      <c r="AB96" s="651"/>
      <c r="AC96" s="649"/>
      <c r="AD96" s="652">
        <f t="shared" si="15"/>
        <v>0</v>
      </c>
      <c r="AE96" s="647"/>
      <c r="AF96" s="652">
        <f t="shared" si="16"/>
        <v>0</v>
      </c>
      <c r="AG96" s="647"/>
      <c r="AH96" s="649">
        <f t="shared" si="22"/>
        <v>21120</v>
      </c>
      <c r="AI96" s="649">
        <f t="shared" si="18"/>
        <v>1760</v>
      </c>
      <c r="AJ96" s="649">
        <f t="shared" si="19"/>
        <v>1760</v>
      </c>
      <c r="AK96" s="649">
        <v>0</v>
      </c>
      <c r="AL96" s="649">
        <v>0</v>
      </c>
      <c r="AM96" s="649">
        <v>0</v>
      </c>
      <c r="AN96" s="649">
        <v>0</v>
      </c>
      <c r="AO96" s="653">
        <f t="shared" si="23"/>
        <v>7982.76</v>
      </c>
      <c r="AP96" s="644"/>
    </row>
    <row r="97" spans="1:42" s="13" customFormat="1" ht="15.75" thickBot="1">
      <c r="A97" s="644"/>
      <c r="B97" s="645">
        <v>587</v>
      </c>
      <c r="C97" s="684"/>
      <c r="D97" s="646" t="s">
        <v>137</v>
      </c>
      <c r="E97" s="647">
        <v>75.64</v>
      </c>
      <c r="F97" s="648">
        <v>1</v>
      </c>
      <c r="G97" s="649">
        <f t="shared" si="14"/>
        <v>2344.84</v>
      </c>
      <c r="H97" s="657">
        <v>1</v>
      </c>
      <c r="I97" s="649">
        <f t="shared" si="21"/>
        <v>2117.92</v>
      </c>
      <c r="J97" s="657"/>
      <c r="K97" s="649"/>
      <c r="L97" s="657"/>
      <c r="M97" s="649"/>
      <c r="N97" s="657"/>
      <c r="O97" s="649"/>
      <c r="P97" s="657"/>
      <c r="Q97" s="649"/>
      <c r="R97" s="657"/>
      <c r="S97" s="649"/>
      <c r="T97" s="657"/>
      <c r="U97" s="649"/>
      <c r="V97" s="651"/>
      <c r="W97" s="649"/>
      <c r="X97" s="651"/>
      <c r="Y97" s="649"/>
      <c r="Z97" s="651"/>
      <c r="AA97" s="649"/>
      <c r="AB97" s="651"/>
      <c r="AC97" s="649"/>
      <c r="AD97" s="652">
        <f t="shared" si="15"/>
        <v>0</v>
      </c>
      <c r="AE97" s="647"/>
      <c r="AF97" s="652">
        <f t="shared" si="16"/>
        <v>0</v>
      </c>
      <c r="AG97" s="647"/>
      <c r="AH97" s="649">
        <f t="shared" si="22"/>
        <v>21120</v>
      </c>
      <c r="AI97" s="649">
        <f t="shared" si="18"/>
        <v>1760</v>
      </c>
      <c r="AJ97" s="649">
        <f t="shared" si="19"/>
        <v>1760</v>
      </c>
      <c r="AK97" s="649">
        <v>0</v>
      </c>
      <c r="AL97" s="649">
        <v>0</v>
      </c>
      <c r="AM97" s="649">
        <v>0</v>
      </c>
      <c r="AN97" s="649">
        <v>0</v>
      </c>
      <c r="AO97" s="653">
        <f t="shared" si="23"/>
        <v>7982.76</v>
      </c>
      <c r="AP97" s="644"/>
    </row>
    <row r="98" spans="1:42" s="13" customFormat="1" ht="15.75" thickBot="1">
      <c r="A98" s="644"/>
      <c r="B98" s="645">
        <v>588</v>
      </c>
      <c r="C98" s="684"/>
      <c r="D98" s="646" t="s">
        <v>64</v>
      </c>
      <c r="E98" s="647">
        <v>71.400000000000006</v>
      </c>
      <c r="F98" s="648">
        <v>3</v>
      </c>
      <c r="G98" s="649">
        <f t="shared" si="14"/>
        <v>6640.2000000000007</v>
      </c>
      <c r="H98" s="657">
        <v>3</v>
      </c>
      <c r="I98" s="649">
        <f t="shared" si="21"/>
        <v>5997.6</v>
      </c>
      <c r="J98" s="657"/>
      <c r="K98" s="649"/>
      <c r="L98" s="657"/>
      <c r="M98" s="649"/>
      <c r="N98" s="657"/>
      <c r="O98" s="649"/>
      <c r="P98" s="657"/>
      <c r="Q98" s="649"/>
      <c r="R98" s="657"/>
      <c r="S98" s="649"/>
      <c r="T98" s="657"/>
      <c r="U98" s="649"/>
      <c r="V98" s="651"/>
      <c r="W98" s="649"/>
      <c r="X98" s="651"/>
      <c r="Y98" s="649"/>
      <c r="Z98" s="651"/>
      <c r="AA98" s="649"/>
      <c r="AB98" s="651"/>
      <c r="AC98" s="649"/>
      <c r="AD98" s="652">
        <f t="shared" si="15"/>
        <v>1440</v>
      </c>
      <c r="AE98" s="647">
        <v>120</v>
      </c>
      <c r="AF98" s="652">
        <f t="shared" si="16"/>
        <v>1440</v>
      </c>
      <c r="AG98" s="647">
        <v>120</v>
      </c>
      <c r="AH98" s="649">
        <f t="shared" si="22"/>
        <v>63360</v>
      </c>
      <c r="AI98" s="649">
        <f t="shared" si="18"/>
        <v>5280</v>
      </c>
      <c r="AJ98" s="649">
        <f t="shared" si="19"/>
        <v>5280</v>
      </c>
      <c r="AK98" s="649">
        <v>0</v>
      </c>
      <c r="AL98" s="649">
        <v>0</v>
      </c>
      <c r="AM98" s="649">
        <v>0</v>
      </c>
      <c r="AN98" s="649">
        <v>0</v>
      </c>
      <c r="AO98" s="653">
        <f t="shared" si="23"/>
        <v>23317.800000000003</v>
      </c>
      <c r="AP98" s="644"/>
    </row>
    <row r="99" spans="1:42" s="13" customFormat="1" ht="15.75" thickBot="1">
      <c r="A99" s="644"/>
      <c r="B99" s="645">
        <v>589</v>
      </c>
      <c r="C99" s="684"/>
      <c r="D99" s="646" t="s">
        <v>39</v>
      </c>
      <c r="E99" s="647">
        <v>78.25</v>
      </c>
      <c r="F99" s="648">
        <v>2</v>
      </c>
      <c r="G99" s="649">
        <f t="shared" si="14"/>
        <v>4851.5</v>
      </c>
      <c r="H99" s="657">
        <v>2</v>
      </c>
      <c r="I99" s="649">
        <f t="shared" si="21"/>
        <v>4382</v>
      </c>
      <c r="J99" s="657"/>
      <c r="K99" s="649"/>
      <c r="L99" s="657"/>
      <c r="M99" s="649"/>
      <c r="N99" s="657"/>
      <c r="O99" s="649"/>
      <c r="P99" s="657"/>
      <c r="Q99" s="649"/>
      <c r="R99" s="657"/>
      <c r="S99" s="649"/>
      <c r="T99" s="657"/>
      <c r="U99" s="649"/>
      <c r="V99" s="651"/>
      <c r="W99" s="649"/>
      <c r="X99" s="651"/>
      <c r="Y99" s="649"/>
      <c r="Z99" s="651"/>
      <c r="AA99" s="649"/>
      <c r="AB99" s="651"/>
      <c r="AC99" s="649"/>
      <c r="AD99" s="652">
        <f t="shared" si="15"/>
        <v>1320</v>
      </c>
      <c r="AE99" s="647">
        <v>110</v>
      </c>
      <c r="AF99" s="652">
        <f t="shared" si="16"/>
        <v>1320</v>
      </c>
      <c r="AG99" s="647">
        <v>110</v>
      </c>
      <c r="AH99" s="649">
        <f t="shared" si="22"/>
        <v>42240</v>
      </c>
      <c r="AI99" s="649">
        <f t="shared" si="18"/>
        <v>3520</v>
      </c>
      <c r="AJ99" s="649">
        <f t="shared" si="19"/>
        <v>3520</v>
      </c>
      <c r="AK99" s="649">
        <v>0</v>
      </c>
      <c r="AL99" s="649">
        <v>0</v>
      </c>
      <c r="AM99" s="649">
        <v>0</v>
      </c>
      <c r="AN99" s="649">
        <v>0</v>
      </c>
      <c r="AO99" s="653">
        <f t="shared" si="23"/>
        <v>16383.5</v>
      </c>
      <c r="AP99" s="644"/>
    </row>
    <row r="100" spans="1:42" s="13" customFormat="1" ht="15.75" thickBot="1">
      <c r="A100" s="644"/>
      <c r="B100" s="645">
        <v>590</v>
      </c>
      <c r="C100" s="684"/>
      <c r="D100" s="646" t="s">
        <v>40</v>
      </c>
      <c r="E100" s="647">
        <v>73.59</v>
      </c>
      <c r="F100" s="648">
        <v>1</v>
      </c>
      <c r="G100" s="649">
        <f t="shared" si="14"/>
        <v>2281.29</v>
      </c>
      <c r="H100" s="657">
        <v>1</v>
      </c>
      <c r="I100" s="649">
        <f t="shared" si="21"/>
        <v>2060.52</v>
      </c>
      <c r="J100" s="657"/>
      <c r="K100" s="649"/>
      <c r="L100" s="657"/>
      <c r="M100" s="649"/>
      <c r="N100" s="657"/>
      <c r="O100" s="649"/>
      <c r="P100" s="657"/>
      <c r="Q100" s="649"/>
      <c r="R100" s="657"/>
      <c r="S100" s="649"/>
      <c r="T100" s="657"/>
      <c r="U100" s="649"/>
      <c r="V100" s="651"/>
      <c r="W100" s="649"/>
      <c r="X100" s="651"/>
      <c r="Y100" s="649"/>
      <c r="Z100" s="651"/>
      <c r="AA100" s="649"/>
      <c r="AB100" s="651"/>
      <c r="AC100" s="649"/>
      <c r="AD100" s="652">
        <f t="shared" si="15"/>
        <v>0</v>
      </c>
      <c r="AE100" s="647"/>
      <c r="AF100" s="652">
        <f t="shared" si="16"/>
        <v>0</v>
      </c>
      <c r="AG100" s="647"/>
      <c r="AH100" s="649">
        <f t="shared" si="22"/>
        <v>21120</v>
      </c>
      <c r="AI100" s="649">
        <f t="shared" si="18"/>
        <v>1760</v>
      </c>
      <c r="AJ100" s="649">
        <f t="shared" si="19"/>
        <v>1760</v>
      </c>
      <c r="AK100" s="649">
        <v>0</v>
      </c>
      <c r="AL100" s="649">
        <v>0</v>
      </c>
      <c r="AM100" s="649">
        <v>0</v>
      </c>
      <c r="AN100" s="649">
        <v>0</v>
      </c>
      <c r="AO100" s="653">
        <f t="shared" si="23"/>
        <v>7861.8099999999995</v>
      </c>
      <c r="AP100" s="644"/>
    </row>
    <row r="101" spans="1:42" s="13" customFormat="1" ht="15.75" thickBot="1">
      <c r="A101" s="644"/>
      <c r="B101" s="645">
        <v>591</v>
      </c>
      <c r="C101" s="684"/>
      <c r="D101" s="646" t="s">
        <v>32</v>
      </c>
      <c r="E101" s="647">
        <v>71.400000000000006</v>
      </c>
      <c r="F101" s="648">
        <v>1</v>
      </c>
      <c r="G101" s="649">
        <f t="shared" si="14"/>
        <v>2213.4</v>
      </c>
      <c r="H101" s="657">
        <v>1</v>
      </c>
      <c r="I101" s="649">
        <f t="shared" si="21"/>
        <v>1999.2000000000003</v>
      </c>
      <c r="J101" s="657"/>
      <c r="K101" s="649"/>
      <c r="L101" s="657"/>
      <c r="M101" s="649"/>
      <c r="N101" s="657"/>
      <c r="O101" s="649"/>
      <c r="P101" s="657"/>
      <c r="Q101" s="649"/>
      <c r="R101" s="657"/>
      <c r="S101" s="649"/>
      <c r="T101" s="657"/>
      <c r="U101" s="649"/>
      <c r="V101" s="651"/>
      <c r="W101" s="649"/>
      <c r="X101" s="651"/>
      <c r="Y101" s="649"/>
      <c r="Z101" s="651"/>
      <c r="AA101" s="649"/>
      <c r="AB101" s="651"/>
      <c r="AC101" s="649"/>
      <c r="AD101" s="652">
        <f t="shared" si="15"/>
        <v>0</v>
      </c>
      <c r="AE101" s="647"/>
      <c r="AF101" s="652">
        <f t="shared" si="16"/>
        <v>0</v>
      </c>
      <c r="AG101" s="647"/>
      <c r="AH101" s="649">
        <f t="shared" ref="AH101:AH105" si="24">+AI101*12</f>
        <v>21120</v>
      </c>
      <c r="AI101" s="649">
        <f t="shared" si="18"/>
        <v>1760</v>
      </c>
      <c r="AJ101" s="649">
        <f t="shared" si="19"/>
        <v>1760</v>
      </c>
      <c r="AK101" s="649">
        <v>0</v>
      </c>
      <c r="AL101" s="649">
        <v>0</v>
      </c>
      <c r="AM101" s="649">
        <v>0</v>
      </c>
      <c r="AN101" s="649">
        <v>0</v>
      </c>
      <c r="AO101" s="653">
        <f t="shared" si="23"/>
        <v>7732.6</v>
      </c>
      <c r="AP101" s="644"/>
    </row>
    <row r="102" spans="1:42" s="13" customFormat="1" ht="15.75" thickBot="1">
      <c r="A102" s="644"/>
      <c r="B102" s="645">
        <v>592</v>
      </c>
      <c r="C102" s="684"/>
      <c r="D102" s="646" t="s">
        <v>54</v>
      </c>
      <c r="E102" s="647">
        <v>71.400000000000006</v>
      </c>
      <c r="F102" s="648">
        <v>13</v>
      </c>
      <c r="G102" s="649">
        <f t="shared" si="14"/>
        <v>28774.2</v>
      </c>
      <c r="H102" s="657">
        <v>14</v>
      </c>
      <c r="I102" s="649">
        <f>+H102*E102*28+(71.4*9)</f>
        <v>28631.4</v>
      </c>
      <c r="J102" s="657"/>
      <c r="K102" s="649"/>
      <c r="L102" s="657"/>
      <c r="M102" s="649"/>
      <c r="N102" s="657"/>
      <c r="O102" s="649"/>
      <c r="P102" s="657"/>
      <c r="Q102" s="649"/>
      <c r="R102" s="657"/>
      <c r="S102" s="649"/>
      <c r="T102" s="657"/>
      <c r="U102" s="649"/>
      <c r="V102" s="651"/>
      <c r="W102" s="649"/>
      <c r="X102" s="651"/>
      <c r="Y102" s="649"/>
      <c r="Z102" s="651"/>
      <c r="AA102" s="649"/>
      <c r="AB102" s="651"/>
      <c r="AC102" s="649"/>
      <c r="AD102" s="652">
        <f t="shared" si="15"/>
        <v>3900</v>
      </c>
      <c r="AE102" s="647">
        <v>325</v>
      </c>
      <c r="AF102" s="652">
        <f t="shared" si="16"/>
        <v>3900</v>
      </c>
      <c r="AG102" s="647">
        <v>325</v>
      </c>
      <c r="AH102" s="649">
        <f t="shared" si="24"/>
        <v>274560</v>
      </c>
      <c r="AI102" s="649">
        <f t="shared" si="18"/>
        <v>22880</v>
      </c>
      <c r="AJ102" s="649">
        <f>(1760*H102)+(1510/31*9)+(250/31*9)</f>
        <v>25150.967741935485</v>
      </c>
      <c r="AK102" s="649">
        <v>0</v>
      </c>
      <c r="AL102" s="649">
        <v>0</v>
      </c>
      <c r="AM102" s="649">
        <v>0</v>
      </c>
      <c r="AN102" s="649">
        <v>0</v>
      </c>
      <c r="AO102" s="653">
        <f t="shared" si="23"/>
        <v>105761.56774193549</v>
      </c>
      <c r="AP102" s="644"/>
    </row>
    <row r="103" spans="1:42" s="13" customFormat="1" ht="15.75" thickBot="1">
      <c r="A103" s="644"/>
      <c r="B103" s="645">
        <v>593</v>
      </c>
      <c r="C103" s="684"/>
      <c r="D103" s="646" t="s">
        <v>55</v>
      </c>
      <c r="E103" s="647">
        <v>72.540000000000006</v>
      </c>
      <c r="F103" s="648">
        <v>3</v>
      </c>
      <c r="G103" s="649">
        <f t="shared" si="14"/>
        <v>6746.22</v>
      </c>
      <c r="H103" s="657">
        <v>3</v>
      </c>
      <c r="I103" s="649">
        <f t="shared" si="21"/>
        <v>6093.3600000000006</v>
      </c>
      <c r="J103" s="657"/>
      <c r="K103" s="649"/>
      <c r="L103" s="657"/>
      <c r="M103" s="649"/>
      <c r="N103" s="657"/>
      <c r="O103" s="649"/>
      <c r="P103" s="657"/>
      <c r="Q103" s="649"/>
      <c r="R103" s="657"/>
      <c r="S103" s="649"/>
      <c r="T103" s="657"/>
      <c r="U103" s="649"/>
      <c r="V103" s="651"/>
      <c r="W103" s="649"/>
      <c r="X103" s="651"/>
      <c r="Y103" s="649"/>
      <c r="Z103" s="651"/>
      <c r="AA103" s="649"/>
      <c r="AB103" s="651"/>
      <c r="AC103" s="649"/>
      <c r="AD103" s="652">
        <f t="shared" si="15"/>
        <v>1920</v>
      </c>
      <c r="AE103" s="647">
        <v>160</v>
      </c>
      <c r="AF103" s="652">
        <f t="shared" si="16"/>
        <v>1920</v>
      </c>
      <c r="AG103" s="647">
        <v>160</v>
      </c>
      <c r="AH103" s="649">
        <f t="shared" si="24"/>
        <v>63360</v>
      </c>
      <c r="AI103" s="649">
        <f t="shared" si="18"/>
        <v>5280</v>
      </c>
      <c r="AJ103" s="649">
        <f t="shared" si="19"/>
        <v>5280</v>
      </c>
      <c r="AK103" s="649">
        <v>0</v>
      </c>
      <c r="AL103" s="649">
        <v>0</v>
      </c>
      <c r="AM103" s="649">
        <v>0</v>
      </c>
      <c r="AN103" s="649">
        <v>0</v>
      </c>
      <c r="AO103" s="653">
        <f t="shared" si="23"/>
        <v>23559.58</v>
      </c>
      <c r="AP103" s="644"/>
    </row>
    <row r="104" spans="1:42" s="13" customFormat="1" ht="15.75" thickBot="1">
      <c r="A104" s="644"/>
      <c r="B104" s="645">
        <v>594</v>
      </c>
      <c r="C104" s="684"/>
      <c r="D104" s="646" t="s">
        <v>42</v>
      </c>
      <c r="E104" s="647">
        <v>75.64</v>
      </c>
      <c r="F104" s="648">
        <v>1</v>
      </c>
      <c r="G104" s="649">
        <f t="shared" si="14"/>
        <v>2344.84</v>
      </c>
      <c r="H104" s="657">
        <v>1</v>
      </c>
      <c r="I104" s="649">
        <f t="shared" si="21"/>
        <v>2117.92</v>
      </c>
      <c r="J104" s="657"/>
      <c r="K104" s="649"/>
      <c r="L104" s="657"/>
      <c r="M104" s="649"/>
      <c r="N104" s="657"/>
      <c r="O104" s="649"/>
      <c r="P104" s="657"/>
      <c r="Q104" s="649"/>
      <c r="R104" s="657"/>
      <c r="S104" s="649"/>
      <c r="T104" s="657"/>
      <c r="U104" s="649"/>
      <c r="V104" s="651"/>
      <c r="W104" s="649"/>
      <c r="X104" s="651"/>
      <c r="Y104" s="649"/>
      <c r="Z104" s="651"/>
      <c r="AA104" s="649"/>
      <c r="AB104" s="651"/>
      <c r="AC104" s="649"/>
      <c r="AD104" s="652">
        <f t="shared" si="15"/>
        <v>600</v>
      </c>
      <c r="AE104" s="647">
        <v>50</v>
      </c>
      <c r="AF104" s="652">
        <f t="shared" si="16"/>
        <v>600</v>
      </c>
      <c r="AG104" s="647">
        <v>50</v>
      </c>
      <c r="AH104" s="649">
        <f t="shared" si="24"/>
        <v>21120</v>
      </c>
      <c r="AI104" s="649">
        <f t="shared" si="18"/>
        <v>1760</v>
      </c>
      <c r="AJ104" s="649">
        <f t="shared" si="19"/>
        <v>1760</v>
      </c>
      <c r="AK104" s="649">
        <v>0</v>
      </c>
      <c r="AL104" s="649">
        <v>0</v>
      </c>
      <c r="AM104" s="649">
        <v>0</v>
      </c>
      <c r="AN104" s="649">
        <v>0</v>
      </c>
      <c r="AO104" s="653">
        <f t="shared" si="23"/>
        <v>8032.76</v>
      </c>
      <c r="AP104" s="644"/>
    </row>
    <row r="105" spans="1:42" s="13" customFormat="1">
      <c r="A105" s="644"/>
      <c r="B105" s="645">
        <v>595</v>
      </c>
      <c r="C105" s="684"/>
      <c r="D105" s="646" t="s">
        <v>37</v>
      </c>
      <c r="E105" s="647">
        <v>80.86</v>
      </c>
      <c r="F105" s="648">
        <v>4</v>
      </c>
      <c r="G105" s="649">
        <f t="shared" si="14"/>
        <v>10026.64</v>
      </c>
      <c r="H105" s="657">
        <v>4</v>
      </c>
      <c r="I105" s="649">
        <f t="shared" si="21"/>
        <v>9056.32</v>
      </c>
      <c r="J105" s="657"/>
      <c r="K105" s="649"/>
      <c r="L105" s="657"/>
      <c r="M105" s="649"/>
      <c r="N105" s="657"/>
      <c r="O105" s="649"/>
      <c r="P105" s="657"/>
      <c r="Q105" s="649"/>
      <c r="R105" s="657"/>
      <c r="S105" s="649"/>
      <c r="T105" s="657"/>
      <c r="U105" s="649"/>
      <c r="V105" s="651"/>
      <c r="W105" s="649"/>
      <c r="X105" s="651"/>
      <c r="Y105" s="649"/>
      <c r="Z105" s="651"/>
      <c r="AA105" s="649"/>
      <c r="AB105" s="651"/>
      <c r="AC105" s="649"/>
      <c r="AD105" s="652">
        <f t="shared" si="15"/>
        <v>0</v>
      </c>
      <c r="AE105" s="652">
        <v>0</v>
      </c>
      <c r="AF105" s="652">
        <f t="shared" si="16"/>
        <v>0</v>
      </c>
      <c r="AG105" s="652">
        <v>0</v>
      </c>
      <c r="AH105" s="649">
        <f t="shared" si="24"/>
        <v>0</v>
      </c>
      <c r="AI105" s="649">
        <f>1760*V105</f>
        <v>0</v>
      </c>
      <c r="AJ105" s="649">
        <f t="shared" si="19"/>
        <v>7040</v>
      </c>
      <c r="AK105" s="649">
        <v>0</v>
      </c>
      <c r="AL105" s="649">
        <v>0</v>
      </c>
      <c r="AM105" s="649">
        <v>0</v>
      </c>
      <c r="AN105" s="649">
        <v>0</v>
      </c>
      <c r="AO105" s="653">
        <f t="shared" si="23"/>
        <v>26122.959999999999</v>
      </c>
      <c r="AP105" s="644"/>
    </row>
    <row r="106" spans="1:42" s="13" customFormat="1" ht="15" customHeight="1" thickBot="1">
      <c r="A106" s="644"/>
      <c r="B106" s="697" t="s">
        <v>90</v>
      </c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4"/>
      <c r="AI106" s="684"/>
      <c r="AJ106" s="684"/>
      <c r="AK106" s="684"/>
      <c r="AL106" s="684"/>
      <c r="AM106" s="684"/>
      <c r="AN106" s="684"/>
      <c r="AO106" s="698"/>
      <c r="AP106" s="644"/>
    </row>
    <row r="107" spans="1:42" s="13" customFormat="1" ht="16.5" customHeight="1" thickBot="1">
      <c r="A107" s="644"/>
      <c r="B107" s="645">
        <v>598</v>
      </c>
      <c r="C107" s="684" t="s">
        <v>45</v>
      </c>
      <c r="D107" s="646" t="s">
        <v>44</v>
      </c>
      <c r="E107" s="647">
        <v>72.540000000000006</v>
      </c>
      <c r="F107" s="648">
        <v>7</v>
      </c>
      <c r="G107" s="649">
        <f t="shared" si="14"/>
        <v>15741.18</v>
      </c>
      <c r="H107" s="648">
        <v>7</v>
      </c>
      <c r="I107" s="649">
        <f t="shared" si="21"/>
        <v>14217.84</v>
      </c>
      <c r="J107" s="651"/>
      <c r="K107" s="649"/>
      <c r="L107" s="651"/>
      <c r="M107" s="649"/>
      <c r="N107" s="651"/>
      <c r="O107" s="649"/>
      <c r="P107" s="651"/>
      <c r="Q107" s="649"/>
      <c r="R107" s="651"/>
      <c r="S107" s="649"/>
      <c r="T107" s="651"/>
      <c r="U107" s="649"/>
      <c r="V107" s="651"/>
      <c r="W107" s="649"/>
      <c r="X107" s="651"/>
      <c r="Y107" s="649"/>
      <c r="Z107" s="651"/>
      <c r="AA107" s="649"/>
      <c r="AB107" s="651"/>
      <c r="AC107" s="649"/>
      <c r="AD107" s="652">
        <f t="shared" ref="AD107:AD113" si="25">+AE107*12</f>
        <v>5100</v>
      </c>
      <c r="AE107" s="647">
        <v>425</v>
      </c>
      <c r="AF107" s="652">
        <f t="shared" ref="AF107:AF117" si="26">+AG107*12</f>
        <v>5100</v>
      </c>
      <c r="AG107" s="647">
        <v>425</v>
      </c>
      <c r="AH107" s="649">
        <f t="shared" ref="AH107:AH113" si="27">+AI107*12</f>
        <v>147840</v>
      </c>
      <c r="AI107" s="649">
        <f t="shared" ref="AI107:AI117" si="28">1760*F107</f>
        <v>12320</v>
      </c>
      <c r="AJ107" s="649">
        <f t="shared" ref="AJ107:AJ117" si="29">1760*H107</f>
        <v>12320</v>
      </c>
      <c r="AK107" s="649">
        <v>0</v>
      </c>
      <c r="AL107" s="649">
        <v>0</v>
      </c>
      <c r="AM107" s="649">
        <v>0</v>
      </c>
      <c r="AN107" s="649">
        <v>0</v>
      </c>
      <c r="AO107" s="653">
        <f t="shared" si="23"/>
        <v>55024.020000000004</v>
      </c>
      <c r="AP107" s="644"/>
    </row>
    <row r="108" spans="1:42" s="13" customFormat="1" ht="16.5" customHeight="1" thickBot="1">
      <c r="A108" s="644"/>
      <c r="B108" s="645">
        <v>599</v>
      </c>
      <c r="C108" s="684"/>
      <c r="D108" s="646" t="s">
        <v>47</v>
      </c>
      <c r="E108" s="647">
        <v>74.63</v>
      </c>
      <c r="F108" s="648">
        <v>2</v>
      </c>
      <c r="G108" s="649">
        <f t="shared" si="14"/>
        <v>4627.0599999999995</v>
      </c>
      <c r="H108" s="648">
        <v>2</v>
      </c>
      <c r="I108" s="649">
        <f t="shared" si="21"/>
        <v>4179.28</v>
      </c>
      <c r="J108" s="651"/>
      <c r="K108" s="649"/>
      <c r="L108" s="651"/>
      <c r="M108" s="649"/>
      <c r="N108" s="651"/>
      <c r="O108" s="649"/>
      <c r="P108" s="651"/>
      <c r="Q108" s="649"/>
      <c r="R108" s="651"/>
      <c r="S108" s="649"/>
      <c r="T108" s="651"/>
      <c r="U108" s="649"/>
      <c r="V108" s="651"/>
      <c r="W108" s="649"/>
      <c r="X108" s="651"/>
      <c r="Y108" s="649"/>
      <c r="Z108" s="651"/>
      <c r="AA108" s="649"/>
      <c r="AB108" s="651"/>
      <c r="AC108" s="649"/>
      <c r="AD108" s="652">
        <f t="shared" si="25"/>
        <v>1200</v>
      </c>
      <c r="AE108" s="647">
        <v>100</v>
      </c>
      <c r="AF108" s="652">
        <f t="shared" si="26"/>
        <v>1200</v>
      </c>
      <c r="AG108" s="647">
        <v>100</v>
      </c>
      <c r="AH108" s="649">
        <f t="shared" si="27"/>
        <v>42240</v>
      </c>
      <c r="AI108" s="649">
        <f t="shared" si="28"/>
        <v>3520</v>
      </c>
      <c r="AJ108" s="649">
        <f t="shared" si="29"/>
        <v>3520</v>
      </c>
      <c r="AK108" s="649">
        <v>0</v>
      </c>
      <c r="AL108" s="649">
        <v>0</v>
      </c>
      <c r="AM108" s="649">
        <v>0</v>
      </c>
      <c r="AN108" s="649">
        <v>0</v>
      </c>
      <c r="AO108" s="653">
        <f t="shared" si="23"/>
        <v>15946.34</v>
      </c>
      <c r="AP108" s="644"/>
    </row>
    <row r="109" spans="1:42" s="13" customFormat="1" ht="16.5" customHeight="1" thickBot="1">
      <c r="A109" s="644"/>
      <c r="B109" s="645">
        <v>600</v>
      </c>
      <c r="C109" s="684"/>
      <c r="D109" s="646" t="s">
        <v>72</v>
      </c>
      <c r="E109" s="647">
        <v>71.400000000000006</v>
      </c>
      <c r="F109" s="648">
        <v>7</v>
      </c>
      <c r="G109" s="649">
        <f t="shared" si="14"/>
        <v>15493.800000000003</v>
      </c>
      <c r="H109" s="648">
        <v>7</v>
      </c>
      <c r="I109" s="649">
        <f t="shared" si="21"/>
        <v>13994.400000000001</v>
      </c>
      <c r="J109" s="651"/>
      <c r="K109" s="649"/>
      <c r="L109" s="651"/>
      <c r="M109" s="649"/>
      <c r="N109" s="651"/>
      <c r="O109" s="649"/>
      <c r="P109" s="651"/>
      <c r="Q109" s="649"/>
      <c r="R109" s="651"/>
      <c r="S109" s="649"/>
      <c r="T109" s="651"/>
      <c r="U109" s="649"/>
      <c r="V109" s="651"/>
      <c r="W109" s="649"/>
      <c r="X109" s="651"/>
      <c r="Y109" s="649"/>
      <c r="Z109" s="651"/>
      <c r="AA109" s="649"/>
      <c r="AB109" s="651"/>
      <c r="AC109" s="649"/>
      <c r="AD109" s="652">
        <f t="shared" si="25"/>
        <v>6300</v>
      </c>
      <c r="AE109" s="647">
        <v>525</v>
      </c>
      <c r="AF109" s="652">
        <f t="shared" si="26"/>
        <v>6300</v>
      </c>
      <c r="AG109" s="647">
        <v>525</v>
      </c>
      <c r="AH109" s="649">
        <f t="shared" si="27"/>
        <v>147840</v>
      </c>
      <c r="AI109" s="649">
        <f t="shared" si="28"/>
        <v>12320</v>
      </c>
      <c r="AJ109" s="649">
        <f t="shared" si="29"/>
        <v>12320</v>
      </c>
      <c r="AK109" s="649">
        <v>0</v>
      </c>
      <c r="AL109" s="649">
        <v>0</v>
      </c>
      <c r="AM109" s="649">
        <v>0</v>
      </c>
      <c r="AN109" s="649">
        <v>0</v>
      </c>
      <c r="AO109" s="653">
        <f t="shared" si="23"/>
        <v>54653.200000000004</v>
      </c>
      <c r="AP109" s="644"/>
    </row>
    <row r="110" spans="1:42" s="13" customFormat="1" ht="16.5" customHeight="1" thickBot="1">
      <c r="A110" s="644"/>
      <c r="B110" s="645">
        <v>601</v>
      </c>
      <c r="C110" s="684"/>
      <c r="D110" s="646" t="s">
        <v>48</v>
      </c>
      <c r="E110" s="647">
        <v>71.400000000000006</v>
      </c>
      <c r="F110" s="648">
        <v>1</v>
      </c>
      <c r="G110" s="649">
        <f t="shared" si="14"/>
        <v>2213.4</v>
      </c>
      <c r="H110" s="648">
        <v>1</v>
      </c>
      <c r="I110" s="649">
        <f t="shared" si="21"/>
        <v>1999.2000000000003</v>
      </c>
      <c r="J110" s="651"/>
      <c r="K110" s="649"/>
      <c r="L110" s="651"/>
      <c r="M110" s="649"/>
      <c r="N110" s="651"/>
      <c r="O110" s="649"/>
      <c r="P110" s="651"/>
      <c r="Q110" s="649"/>
      <c r="R110" s="651"/>
      <c r="S110" s="649"/>
      <c r="T110" s="651"/>
      <c r="U110" s="649"/>
      <c r="V110" s="651"/>
      <c r="W110" s="649"/>
      <c r="X110" s="651"/>
      <c r="Y110" s="649"/>
      <c r="Z110" s="651"/>
      <c r="AA110" s="649"/>
      <c r="AB110" s="651"/>
      <c r="AC110" s="649"/>
      <c r="AD110" s="652">
        <f t="shared" si="25"/>
        <v>0</v>
      </c>
      <c r="AE110" s="652">
        <v>0</v>
      </c>
      <c r="AF110" s="652">
        <f t="shared" si="26"/>
        <v>0</v>
      </c>
      <c r="AG110" s="652">
        <v>0</v>
      </c>
      <c r="AH110" s="649">
        <f t="shared" si="27"/>
        <v>21120</v>
      </c>
      <c r="AI110" s="649">
        <f t="shared" si="28"/>
        <v>1760</v>
      </c>
      <c r="AJ110" s="649">
        <f t="shared" si="29"/>
        <v>1760</v>
      </c>
      <c r="AK110" s="649">
        <v>0</v>
      </c>
      <c r="AL110" s="649">
        <v>0</v>
      </c>
      <c r="AM110" s="649">
        <v>0</v>
      </c>
      <c r="AN110" s="649">
        <v>0</v>
      </c>
      <c r="AO110" s="653">
        <f t="shared" si="23"/>
        <v>7732.6</v>
      </c>
      <c r="AP110" s="644"/>
    </row>
    <row r="111" spans="1:42" s="13" customFormat="1" ht="16.5" customHeight="1" thickBot="1">
      <c r="A111" s="644"/>
      <c r="B111" s="645">
        <v>602</v>
      </c>
      <c r="C111" s="684"/>
      <c r="D111" s="646" t="s">
        <v>35</v>
      </c>
      <c r="E111" s="647">
        <v>71.400000000000006</v>
      </c>
      <c r="F111" s="648">
        <v>8</v>
      </c>
      <c r="G111" s="649">
        <f t="shared" si="14"/>
        <v>17707.2</v>
      </c>
      <c r="H111" s="648">
        <v>8</v>
      </c>
      <c r="I111" s="649">
        <f t="shared" si="21"/>
        <v>15993.600000000002</v>
      </c>
      <c r="J111" s="651"/>
      <c r="K111" s="649"/>
      <c r="L111" s="651"/>
      <c r="M111" s="649"/>
      <c r="N111" s="651"/>
      <c r="O111" s="649"/>
      <c r="P111" s="651"/>
      <c r="Q111" s="649"/>
      <c r="R111" s="651"/>
      <c r="S111" s="649"/>
      <c r="T111" s="651"/>
      <c r="U111" s="649"/>
      <c r="V111" s="651"/>
      <c r="W111" s="649"/>
      <c r="X111" s="651"/>
      <c r="Y111" s="649"/>
      <c r="Z111" s="651"/>
      <c r="AA111" s="649"/>
      <c r="AB111" s="651"/>
      <c r="AC111" s="649"/>
      <c r="AD111" s="652">
        <f t="shared" si="25"/>
        <v>1620</v>
      </c>
      <c r="AE111" s="647">
        <v>135</v>
      </c>
      <c r="AF111" s="652">
        <f t="shared" si="26"/>
        <v>1620</v>
      </c>
      <c r="AG111" s="647">
        <v>135</v>
      </c>
      <c r="AH111" s="649">
        <f t="shared" si="27"/>
        <v>168960</v>
      </c>
      <c r="AI111" s="649">
        <f t="shared" si="28"/>
        <v>14080</v>
      </c>
      <c r="AJ111" s="649">
        <f t="shared" si="29"/>
        <v>14080</v>
      </c>
      <c r="AK111" s="649">
        <v>0</v>
      </c>
      <c r="AL111" s="649">
        <v>0</v>
      </c>
      <c r="AM111" s="649">
        <v>0</v>
      </c>
      <c r="AN111" s="649">
        <v>0</v>
      </c>
      <c r="AO111" s="653">
        <f t="shared" si="23"/>
        <v>61995.8</v>
      </c>
      <c r="AP111" s="644"/>
    </row>
    <row r="112" spans="1:42" s="13" customFormat="1" ht="16.5" customHeight="1" thickBot="1">
      <c r="A112" s="644"/>
      <c r="B112" s="645">
        <v>603</v>
      </c>
      <c r="C112" s="684"/>
      <c r="D112" s="646" t="s">
        <v>67</v>
      </c>
      <c r="E112" s="647">
        <v>73.59</v>
      </c>
      <c r="F112" s="648">
        <v>1</v>
      </c>
      <c r="G112" s="649">
        <f t="shared" si="14"/>
        <v>2281.29</v>
      </c>
      <c r="H112" s="648">
        <v>1</v>
      </c>
      <c r="I112" s="649">
        <f t="shared" si="21"/>
        <v>2060.52</v>
      </c>
      <c r="J112" s="651"/>
      <c r="K112" s="649"/>
      <c r="L112" s="651"/>
      <c r="M112" s="649"/>
      <c r="N112" s="651"/>
      <c r="O112" s="649"/>
      <c r="P112" s="651"/>
      <c r="Q112" s="649"/>
      <c r="R112" s="651"/>
      <c r="S112" s="649"/>
      <c r="T112" s="651"/>
      <c r="U112" s="649"/>
      <c r="V112" s="651"/>
      <c r="W112" s="649"/>
      <c r="X112" s="651"/>
      <c r="Y112" s="649"/>
      <c r="Z112" s="651"/>
      <c r="AA112" s="649"/>
      <c r="AB112" s="651"/>
      <c r="AC112" s="649"/>
      <c r="AD112" s="652">
        <f t="shared" si="25"/>
        <v>900</v>
      </c>
      <c r="AE112" s="647">
        <v>75</v>
      </c>
      <c r="AF112" s="652">
        <f t="shared" si="26"/>
        <v>900</v>
      </c>
      <c r="AG112" s="647">
        <v>75</v>
      </c>
      <c r="AH112" s="649">
        <f t="shared" si="27"/>
        <v>21120</v>
      </c>
      <c r="AI112" s="649">
        <f t="shared" si="28"/>
        <v>1760</v>
      </c>
      <c r="AJ112" s="649">
        <f t="shared" si="29"/>
        <v>1760</v>
      </c>
      <c r="AK112" s="649">
        <v>0</v>
      </c>
      <c r="AL112" s="649">
        <v>0</v>
      </c>
      <c r="AM112" s="649">
        <v>0</v>
      </c>
      <c r="AN112" s="649">
        <v>0</v>
      </c>
      <c r="AO112" s="653">
        <f t="shared" si="23"/>
        <v>7936.8099999999995</v>
      </c>
      <c r="AP112" s="644"/>
    </row>
    <row r="113" spans="1:42" s="13" customFormat="1" ht="15.75" customHeight="1" thickBot="1">
      <c r="A113" s="644"/>
      <c r="B113" s="645">
        <v>604</v>
      </c>
      <c r="C113" s="684"/>
      <c r="D113" s="646" t="s">
        <v>52</v>
      </c>
      <c r="E113" s="647">
        <v>72.540000000000006</v>
      </c>
      <c r="F113" s="648">
        <v>1</v>
      </c>
      <c r="G113" s="649">
        <f t="shared" si="14"/>
        <v>2248.7400000000002</v>
      </c>
      <c r="H113" s="648">
        <v>1</v>
      </c>
      <c r="I113" s="649">
        <f t="shared" si="21"/>
        <v>2031.1200000000001</v>
      </c>
      <c r="J113" s="651"/>
      <c r="K113" s="649"/>
      <c r="L113" s="651"/>
      <c r="M113" s="649"/>
      <c r="N113" s="651"/>
      <c r="O113" s="649"/>
      <c r="P113" s="651"/>
      <c r="Q113" s="649"/>
      <c r="R113" s="651"/>
      <c r="S113" s="649"/>
      <c r="T113" s="651"/>
      <c r="U113" s="649"/>
      <c r="V113" s="651"/>
      <c r="W113" s="649"/>
      <c r="X113" s="651"/>
      <c r="Y113" s="649"/>
      <c r="Z113" s="651"/>
      <c r="AA113" s="649"/>
      <c r="AB113" s="651"/>
      <c r="AC113" s="649"/>
      <c r="AD113" s="652">
        <f t="shared" si="25"/>
        <v>900</v>
      </c>
      <c r="AE113" s="647">
        <v>75</v>
      </c>
      <c r="AF113" s="652">
        <f t="shared" si="26"/>
        <v>900</v>
      </c>
      <c r="AG113" s="647">
        <v>75</v>
      </c>
      <c r="AH113" s="649">
        <f t="shared" si="27"/>
        <v>21120</v>
      </c>
      <c r="AI113" s="649">
        <f t="shared" si="28"/>
        <v>1760</v>
      </c>
      <c r="AJ113" s="649">
        <f t="shared" si="29"/>
        <v>1760</v>
      </c>
      <c r="AK113" s="649">
        <v>0</v>
      </c>
      <c r="AL113" s="649">
        <v>0</v>
      </c>
      <c r="AM113" s="649">
        <v>0</v>
      </c>
      <c r="AN113" s="649">
        <v>0</v>
      </c>
      <c r="AO113" s="653">
        <f t="shared" si="23"/>
        <v>7874.8600000000006</v>
      </c>
      <c r="AP113" s="644"/>
    </row>
    <row r="114" spans="1:42" s="13" customFormat="1" ht="15.75" customHeight="1" thickBot="1">
      <c r="A114" s="644"/>
      <c r="B114" s="645">
        <v>605</v>
      </c>
      <c r="C114" s="684"/>
      <c r="D114" s="646" t="s">
        <v>38</v>
      </c>
      <c r="E114" s="647">
        <v>71.400000000000006</v>
      </c>
      <c r="F114" s="648">
        <v>1</v>
      </c>
      <c r="G114" s="649">
        <f t="shared" si="14"/>
        <v>2213.4</v>
      </c>
      <c r="H114" s="648">
        <v>1</v>
      </c>
      <c r="I114" s="649">
        <f t="shared" si="21"/>
        <v>1999.2000000000003</v>
      </c>
      <c r="J114" s="651"/>
      <c r="K114" s="649"/>
      <c r="L114" s="651"/>
      <c r="M114" s="649"/>
      <c r="N114" s="651"/>
      <c r="O114" s="649"/>
      <c r="P114" s="651"/>
      <c r="Q114" s="649"/>
      <c r="R114" s="651"/>
      <c r="S114" s="649"/>
      <c r="T114" s="651"/>
      <c r="U114" s="649"/>
      <c r="V114" s="651"/>
      <c r="W114" s="649"/>
      <c r="X114" s="651"/>
      <c r="Y114" s="649"/>
      <c r="Z114" s="651"/>
      <c r="AA114" s="649"/>
      <c r="AB114" s="651"/>
      <c r="AC114" s="649"/>
      <c r="AD114" s="652">
        <f t="shared" ref="AD114:AD132" si="30">+AE114*12</f>
        <v>0</v>
      </c>
      <c r="AE114" s="652">
        <v>0</v>
      </c>
      <c r="AF114" s="652">
        <f t="shared" si="26"/>
        <v>0</v>
      </c>
      <c r="AG114" s="652">
        <v>0</v>
      </c>
      <c r="AH114" s="649">
        <f t="shared" ref="AH114:AH132" si="31">+AI114*12</f>
        <v>21120</v>
      </c>
      <c r="AI114" s="649">
        <f t="shared" si="28"/>
        <v>1760</v>
      </c>
      <c r="AJ114" s="649">
        <f t="shared" si="29"/>
        <v>1760</v>
      </c>
      <c r="AK114" s="649">
        <v>0</v>
      </c>
      <c r="AL114" s="649">
        <v>0</v>
      </c>
      <c r="AM114" s="649">
        <v>0</v>
      </c>
      <c r="AN114" s="649">
        <v>0</v>
      </c>
      <c r="AO114" s="653">
        <f t="shared" si="23"/>
        <v>7732.6</v>
      </c>
      <c r="AP114" s="644"/>
    </row>
    <row r="115" spans="1:42" s="13" customFormat="1" ht="15.75" customHeight="1" thickBot="1">
      <c r="A115" s="644"/>
      <c r="B115" s="645">
        <v>606</v>
      </c>
      <c r="C115" s="684"/>
      <c r="D115" s="646" t="s">
        <v>39</v>
      </c>
      <c r="E115" s="647">
        <v>78.25</v>
      </c>
      <c r="F115" s="648">
        <v>1</v>
      </c>
      <c r="G115" s="649">
        <f t="shared" si="14"/>
        <v>2425.75</v>
      </c>
      <c r="H115" s="648">
        <v>1</v>
      </c>
      <c r="I115" s="649">
        <f t="shared" si="21"/>
        <v>2191</v>
      </c>
      <c r="J115" s="651"/>
      <c r="K115" s="649"/>
      <c r="L115" s="651"/>
      <c r="M115" s="649"/>
      <c r="N115" s="651"/>
      <c r="O115" s="649"/>
      <c r="P115" s="651"/>
      <c r="Q115" s="649"/>
      <c r="R115" s="651"/>
      <c r="S115" s="649"/>
      <c r="T115" s="651"/>
      <c r="U115" s="649"/>
      <c r="V115" s="651"/>
      <c r="W115" s="649"/>
      <c r="X115" s="651"/>
      <c r="Y115" s="649"/>
      <c r="Z115" s="651"/>
      <c r="AA115" s="649"/>
      <c r="AB115" s="651"/>
      <c r="AC115" s="649"/>
      <c r="AD115" s="652">
        <f t="shared" si="30"/>
        <v>900</v>
      </c>
      <c r="AE115" s="647">
        <v>75</v>
      </c>
      <c r="AF115" s="652">
        <f t="shared" si="26"/>
        <v>900</v>
      </c>
      <c r="AG115" s="647">
        <v>75</v>
      </c>
      <c r="AH115" s="649">
        <f t="shared" si="31"/>
        <v>21120</v>
      </c>
      <c r="AI115" s="649">
        <f t="shared" si="28"/>
        <v>1760</v>
      </c>
      <c r="AJ115" s="649">
        <f t="shared" si="29"/>
        <v>1760</v>
      </c>
      <c r="AK115" s="649">
        <v>0</v>
      </c>
      <c r="AL115" s="649">
        <v>0</v>
      </c>
      <c r="AM115" s="649">
        <v>0</v>
      </c>
      <c r="AN115" s="649">
        <v>0</v>
      </c>
      <c r="AO115" s="653">
        <f t="shared" si="23"/>
        <v>8211.75</v>
      </c>
      <c r="AP115" s="644"/>
    </row>
    <row r="116" spans="1:42" s="13" customFormat="1" ht="15.75" customHeight="1" thickBot="1">
      <c r="A116" s="644"/>
      <c r="B116" s="645">
        <v>607</v>
      </c>
      <c r="C116" s="684"/>
      <c r="D116" s="646" t="s">
        <v>32</v>
      </c>
      <c r="E116" s="647">
        <v>71.400000000000006</v>
      </c>
      <c r="F116" s="648">
        <v>20</v>
      </c>
      <c r="G116" s="649">
        <f t="shared" si="14"/>
        <v>44268</v>
      </c>
      <c r="H116" s="648">
        <v>20</v>
      </c>
      <c r="I116" s="649">
        <f t="shared" si="21"/>
        <v>39984</v>
      </c>
      <c r="J116" s="651"/>
      <c r="K116" s="649"/>
      <c r="L116" s="651"/>
      <c r="M116" s="649"/>
      <c r="N116" s="651"/>
      <c r="O116" s="649"/>
      <c r="P116" s="651"/>
      <c r="Q116" s="649"/>
      <c r="R116" s="651"/>
      <c r="S116" s="649"/>
      <c r="T116" s="651"/>
      <c r="U116" s="649"/>
      <c r="V116" s="651"/>
      <c r="W116" s="649"/>
      <c r="X116" s="651"/>
      <c r="Y116" s="649"/>
      <c r="Z116" s="651"/>
      <c r="AA116" s="649"/>
      <c r="AB116" s="651"/>
      <c r="AC116" s="649"/>
      <c r="AD116" s="652">
        <f t="shared" si="30"/>
        <v>9300</v>
      </c>
      <c r="AE116" s="647">
        <v>775</v>
      </c>
      <c r="AF116" s="652">
        <f t="shared" si="26"/>
        <v>9300</v>
      </c>
      <c r="AG116" s="647">
        <v>775</v>
      </c>
      <c r="AH116" s="649">
        <f t="shared" si="31"/>
        <v>422400</v>
      </c>
      <c r="AI116" s="649">
        <f t="shared" si="28"/>
        <v>35200</v>
      </c>
      <c r="AJ116" s="649">
        <f t="shared" si="29"/>
        <v>35200</v>
      </c>
      <c r="AK116" s="649">
        <v>0</v>
      </c>
      <c r="AL116" s="649">
        <v>0</v>
      </c>
      <c r="AM116" s="649">
        <v>0</v>
      </c>
      <c r="AN116" s="649">
        <v>0</v>
      </c>
      <c r="AO116" s="653">
        <f t="shared" si="23"/>
        <v>155427</v>
      </c>
      <c r="AP116" s="644"/>
    </row>
    <row r="117" spans="1:42" s="13" customFormat="1" ht="15.75" customHeight="1">
      <c r="A117" s="644"/>
      <c r="B117" s="645">
        <v>608</v>
      </c>
      <c r="C117" s="684"/>
      <c r="D117" s="646" t="s">
        <v>1175</v>
      </c>
      <c r="E117" s="647">
        <v>71.400000000000006</v>
      </c>
      <c r="F117" s="648">
        <v>70</v>
      </c>
      <c r="G117" s="649">
        <f t="shared" si="14"/>
        <v>154938</v>
      </c>
      <c r="H117" s="648">
        <v>70</v>
      </c>
      <c r="I117" s="649">
        <f t="shared" si="21"/>
        <v>139944</v>
      </c>
      <c r="J117" s="651"/>
      <c r="K117" s="649"/>
      <c r="L117" s="651"/>
      <c r="M117" s="649"/>
      <c r="N117" s="651"/>
      <c r="O117" s="649"/>
      <c r="P117" s="651"/>
      <c r="Q117" s="649"/>
      <c r="R117" s="651"/>
      <c r="S117" s="649"/>
      <c r="T117" s="651"/>
      <c r="U117" s="649"/>
      <c r="V117" s="651"/>
      <c r="W117" s="649"/>
      <c r="X117" s="651"/>
      <c r="Y117" s="649"/>
      <c r="Z117" s="651"/>
      <c r="AA117" s="649"/>
      <c r="AB117" s="651"/>
      <c r="AC117" s="649"/>
      <c r="AD117" s="652">
        <f t="shared" si="30"/>
        <v>45000</v>
      </c>
      <c r="AE117" s="647">
        <v>3750</v>
      </c>
      <c r="AF117" s="652">
        <f t="shared" si="26"/>
        <v>45000</v>
      </c>
      <c r="AG117" s="647">
        <v>3750</v>
      </c>
      <c r="AH117" s="649">
        <f t="shared" si="31"/>
        <v>1478400</v>
      </c>
      <c r="AI117" s="649">
        <f t="shared" si="28"/>
        <v>123200</v>
      </c>
      <c r="AJ117" s="649">
        <f t="shared" si="29"/>
        <v>123200</v>
      </c>
      <c r="AK117" s="649">
        <v>0</v>
      </c>
      <c r="AL117" s="649">
        <v>0</v>
      </c>
      <c r="AM117" s="649">
        <v>0</v>
      </c>
      <c r="AN117" s="649">
        <v>0</v>
      </c>
      <c r="AO117" s="653">
        <f t="shared" si="23"/>
        <v>545032</v>
      </c>
      <c r="AP117" s="644"/>
    </row>
    <row r="118" spans="1:42" s="13" customFormat="1" ht="15" customHeight="1" thickBot="1">
      <c r="A118" s="644"/>
      <c r="B118" s="697" t="s">
        <v>80</v>
      </c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  <c r="AH118" s="684"/>
      <c r="AI118" s="684"/>
      <c r="AJ118" s="684"/>
      <c r="AK118" s="684"/>
      <c r="AL118" s="684"/>
      <c r="AM118" s="684"/>
      <c r="AN118" s="684"/>
      <c r="AO118" s="698"/>
      <c r="AP118" s="644"/>
    </row>
    <row r="119" spans="1:42" s="13" customFormat="1" ht="15.75" thickBot="1">
      <c r="A119" s="644"/>
      <c r="B119" s="645">
        <v>657</v>
      </c>
      <c r="C119" s="684" t="s">
        <v>81</v>
      </c>
      <c r="D119" s="646" t="s">
        <v>44</v>
      </c>
      <c r="E119" s="647">
        <v>72.540000000000006</v>
      </c>
      <c r="F119" s="648">
        <v>16</v>
      </c>
      <c r="G119" s="649">
        <f t="shared" si="14"/>
        <v>35979.840000000004</v>
      </c>
      <c r="H119" s="648">
        <v>16</v>
      </c>
      <c r="I119" s="649">
        <f t="shared" si="21"/>
        <v>32497.920000000002</v>
      </c>
      <c r="J119" s="657"/>
      <c r="K119" s="649"/>
      <c r="L119" s="657"/>
      <c r="M119" s="649"/>
      <c r="N119" s="657"/>
      <c r="O119" s="649"/>
      <c r="P119" s="657"/>
      <c r="Q119" s="649"/>
      <c r="R119" s="657"/>
      <c r="S119" s="649"/>
      <c r="T119" s="657"/>
      <c r="U119" s="649"/>
      <c r="V119" s="651"/>
      <c r="W119" s="649"/>
      <c r="X119" s="651"/>
      <c r="Y119" s="649"/>
      <c r="Z119" s="651"/>
      <c r="AA119" s="649"/>
      <c r="AB119" s="651"/>
      <c r="AC119" s="649"/>
      <c r="AD119" s="652">
        <f t="shared" si="30"/>
        <v>10800</v>
      </c>
      <c r="AE119" s="647">
        <v>900</v>
      </c>
      <c r="AF119" s="652">
        <f t="shared" ref="AF119:AF132" si="32">+AG119*12</f>
        <v>10800</v>
      </c>
      <c r="AG119" s="647">
        <v>900</v>
      </c>
      <c r="AH119" s="649">
        <f t="shared" si="31"/>
        <v>337920</v>
      </c>
      <c r="AI119" s="649">
        <f t="shared" ref="AI119:AI132" si="33">1760*F119</f>
        <v>28160</v>
      </c>
      <c r="AJ119" s="649">
        <f t="shared" ref="AJ119:AJ132" si="34">1760*H119</f>
        <v>28160</v>
      </c>
      <c r="AK119" s="649">
        <v>0</v>
      </c>
      <c r="AL119" s="649">
        <v>0</v>
      </c>
      <c r="AM119" s="649">
        <v>0</v>
      </c>
      <c r="AN119" s="649">
        <v>0</v>
      </c>
      <c r="AO119" s="653">
        <f t="shared" si="23"/>
        <v>125697.76000000001</v>
      </c>
      <c r="AP119" s="644"/>
    </row>
    <row r="120" spans="1:42" s="13" customFormat="1" ht="15.75" thickBot="1">
      <c r="A120" s="644"/>
      <c r="B120" s="645">
        <v>658</v>
      </c>
      <c r="C120" s="684"/>
      <c r="D120" s="646" t="s">
        <v>72</v>
      </c>
      <c r="E120" s="647">
        <v>71.400000000000006</v>
      </c>
      <c r="F120" s="648">
        <v>15</v>
      </c>
      <c r="G120" s="649">
        <f t="shared" si="14"/>
        <v>33201</v>
      </c>
      <c r="H120" s="648">
        <v>15</v>
      </c>
      <c r="I120" s="649">
        <f t="shared" si="21"/>
        <v>29988</v>
      </c>
      <c r="J120" s="657"/>
      <c r="K120" s="649"/>
      <c r="L120" s="657"/>
      <c r="M120" s="649"/>
      <c r="N120" s="657"/>
      <c r="O120" s="649"/>
      <c r="P120" s="657"/>
      <c r="Q120" s="649"/>
      <c r="R120" s="657"/>
      <c r="S120" s="649"/>
      <c r="T120" s="657"/>
      <c r="U120" s="649"/>
      <c r="V120" s="651"/>
      <c r="W120" s="649"/>
      <c r="X120" s="651"/>
      <c r="Y120" s="649"/>
      <c r="Z120" s="651"/>
      <c r="AA120" s="649"/>
      <c r="AB120" s="651"/>
      <c r="AC120" s="649"/>
      <c r="AD120" s="652">
        <f t="shared" si="30"/>
        <v>9300</v>
      </c>
      <c r="AE120" s="647">
        <v>775</v>
      </c>
      <c r="AF120" s="652">
        <f t="shared" si="32"/>
        <v>9300</v>
      </c>
      <c r="AG120" s="647">
        <v>775</v>
      </c>
      <c r="AH120" s="649">
        <f t="shared" si="31"/>
        <v>316800</v>
      </c>
      <c r="AI120" s="649">
        <f t="shared" si="33"/>
        <v>26400</v>
      </c>
      <c r="AJ120" s="649">
        <f t="shared" si="34"/>
        <v>26400</v>
      </c>
      <c r="AK120" s="649">
        <v>0</v>
      </c>
      <c r="AL120" s="649">
        <v>0</v>
      </c>
      <c r="AM120" s="649">
        <v>0</v>
      </c>
      <c r="AN120" s="649">
        <v>0</v>
      </c>
      <c r="AO120" s="653">
        <f t="shared" si="23"/>
        <v>116764</v>
      </c>
      <c r="AP120" s="644"/>
    </row>
    <row r="121" spans="1:42" s="13" customFormat="1" ht="15.75" thickBot="1">
      <c r="A121" s="644"/>
      <c r="B121" s="645">
        <v>659</v>
      </c>
      <c r="C121" s="684"/>
      <c r="D121" s="646" t="s">
        <v>48</v>
      </c>
      <c r="E121" s="647">
        <v>71.400000000000006</v>
      </c>
      <c r="F121" s="648">
        <v>3</v>
      </c>
      <c r="G121" s="649">
        <f t="shared" si="14"/>
        <v>6640.2000000000007</v>
      </c>
      <c r="H121" s="648">
        <v>3</v>
      </c>
      <c r="I121" s="649">
        <f t="shared" si="21"/>
        <v>5997.6</v>
      </c>
      <c r="J121" s="657"/>
      <c r="K121" s="649"/>
      <c r="L121" s="657"/>
      <c r="M121" s="649"/>
      <c r="N121" s="657"/>
      <c r="O121" s="649"/>
      <c r="P121" s="657"/>
      <c r="Q121" s="649"/>
      <c r="R121" s="657"/>
      <c r="S121" s="649"/>
      <c r="T121" s="657"/>
      <c r="U121" s="649"/>
      <c r="V121" s="651"/>
      <c r="W121" s="649"/>
      <c r="X121" s="651"/>
      <c r="Y121" s="649"/>
      <c r="Z121" s="651"/>
      <c r="AA121" s="649"/>
      <c r="AB121" s="651"/>
      <c r="AC121" s="649"/>
      <c r="AD121" s="652">
        <f t="shared" si="30"/>
        <v>0</v>
      </c>
      <c r="AE121" s="652">
        <v>0</v>
      </c>
      <c r="AF121" s="652">
        <f t="shared" si="32"/>
        <v>0</v>
      </c>
      <c r="AG121" s="652">
        <v>0</v>
      </c>
      <c r="AH121" s="649">
        <f t="shared" si="31"/>
        <v>63360</v>
      </c>
      <c r="AI121" s="649">
        <f t="shared" si="33"/>
        <v>5280</v>
      </c>
      <c r="AJ121" s="649">
        <f t="shared" si="34"/>
        <v>5280</v>
      </c>
      <c r="AK121" s="649">
        <v>0</v>
      </c>
      <c r="AL121" s="649">
        <v>0</v>
      </c>
      <c r="AM121" s="649">
        <v>0</v>
      </c>
      <c r="AN121" s="649">
        <v>0</v>
      </c>
      <c r="AO121" s="653">
        <f t="shared" si="23"/>
        <v>23197.800000000003</v>
      </c>
      <c r="AP121" s="644"/>
    </row>
    <row r="122" spans="1:42" s="13" customFormat="1" ht="15.75" thickBot="1">
      <c r="A122" s="644"/>
      <c r="B122" s="645">
        <v>660</v>
      </c>
      <c r="C122" s="684"/>
      <c r="D122" s="646" t="s">
        <v>83</v>
      </c>
      <c r="E122" s="647">
        <v>71.400000000000006</v>
      </c>
      <c r="F122" s="648">
        <v>3</v>
      </c>
      <c r="G122" s="649">
        <f t="shared" si="14"/>
        <v>6640.2000000000007</v>
      </c>
      <c r="H122" s="648">
        <v>3</v>
      </c>
      <c r="I122" s="649">
        <f t="shared" si="21"/>
        <v>5997.6</v>
      </c>
      <c r="J122" s="657"/>
      <c r="K122" s="649"/>
      <c r="L122" s="657"/>
      <c r="M122" s="649"/>
      <c r="N122" s="657"/>
      <c r="O122" s="649"/>
      <c r="P122" s="657"/>
      <c r="Q122" s="649"/>
      <c r="R122" s="657"/>
      <c r="S122" s="649"/>
      <c r="T122" s="657"/>
      <c r="U122" s="649"/>
      <c r="V122" s="651"/>
      <c r="W122" s="649"/>
      <c r="X122" s="651"/>
      <c r="Y122" s="649"/>
      <c r="Z122" s="651"/>
      <c r="AA122" s="649"/>
      <c r="AB122" s="651"/>
      <c r="AC122" s="649"/>
      <c r="AD122" s="652">
        <f t="shared" si="30"/>
        <v>600</v>
      </c>
      <c r="AE122" s="647">
        <v>50</v>
      </c>
      <c r="AF122" s="652">
        <f t="shared" si="32"/>
        <v>600</v>
      </c>
      <c r="AG122" s="647">
        <v>50</v>
      </c>
      <c r="AH122" s="649">
        <f t="shared" si="31"/>
        <v>63360</v>
      </c>
      <c r="AI122" s="649">
        <f t="shared" si="33"/>
        <v>5280</v>
      </c>
      <c r="AJ122" s="649">
        <f t="shared" si="34"/>
        <v>5280</v>
      </c>
      <c r="AK122" s="649">
        <v>0</v>
      </c>
      <c r="AL122" s="649">
        <v>0</v>
      </c>
      <c r="AM122" s="649">
        <v>0</v>
      </c>
      <c r="AN122" s="649">
        <v>0</v>
      </c>
      <c r="AO122" s="653">
        <f t="shared" si="23"/>
        <v>23247.800000000003</v>
      </c>
      <c r="AP122" s="644"/>
    </row>
    <row r="123" spans="1:42" s="13" customFormat="1" ht="15.75" thickBot="1">
      <c r="A123" s="644"/>
      <c r="B123" s="645">
        <v>661</v>
      </c>
      <c r="C123" s="684"/>
      <c r="D123" s="646" t="s">
        <v>84</v>
      </c>
      <c r="E123" s="647">
        <v>75.64</v>
      </c>
      <c r="F123" s="648">
        <v>1</v>
      </c>
      <c r="G123" s="649">
        <f t="shared" si="14"/>
        <v>2344.84</v>
      </c>
      <c r="H123" s="648">
        <v>1</v>
      </c>
      <c r="I123" s="649">
        <f t="shared" si="21"/>
        <v>2117.92</v>
      </c>
      <c r="J123" s="658"/>
      <c r="K123" s="649"/>
      <c r="L123" s="658"/>
      <c r="M123" s="649"/>
      <c r="N123" s="658"/>
      <c r="O123" s="649"/>
      <c r="P123" s="658"/>
      <c r="Q123" s="649"/>
      <c r="R123" s="658"/>
      <c r="S123" s="649"/>
      <c r="T123" s="658"/>
      <c r="U123" s="649"/>
      <c r="V123" s="651"/>
      <c r="W123" s="649"/>
      <c r="X123" s="651"/>
      <c r="Y123" s="649"/>
      <c r="Z123" s="651"/>
      <c r="AA123" s="649"/>
      <c r="AB123" s="651"/>
      <c r="AC123" s="649"/>
      <c r="AD123" s="652">
        <f t="shared" si="30"/>
        <v>0</v>
      </c>
      <c r="AE123" s="652">
        <v>0</v>
      </c>
      <c r="AF123" s="652">
        <f t="shared" si="32"/>
        <v>0</v>
      </c>
      <c r="AG123" s="652">
        <v>0</v>
      </c>
      <c r="AH123" s="649">
        <f t="shared" si="31"/>
        <v>21120</v>
      </c>
      <c r="AI123" s="649">
        <f t="shared" si="33"/>
        <v>1760</v>
      </c>
      <c r="AJ123" s="649">
        <f t="shared" si="34"/>
        <v>1760</v>
      </c>
      <c r="AK123" s="649">
        <v>0</v>
      </c>
      <c r="AL123" s="649">
        <v>0</v>
      </c>
      <c r="AM123" s="649">
        <v>0</v>
      </c>
      <c r="AN123" s="649">
        <v>0</v>
      </c>
      <c r="AO123" s="653">
        <f t="shared" si="23"/>
        <v>7982.76</v>
      </c>
      <c r="AP123" s="644"/>
    </row>
    <row r="124" spans="1:42" s="13" customFormat="1" ht="15.75" thickBot="1">
      <c r="A124" s="644"/>
      <c r="B124" s="645">
        <v>662</v>
      </c>
      <c r="C124" s="684"/>
      <c r="D124" s="646" t="s">
        <v>35</v>
      </c>
      <c r="E124" s="647">
        <v>71.400000000000006</v>
      </c>
      <c r="F124" s="648">
        <v>15</v>
      </c>
      <c r="G124" s="649">
        <f t="shared" si="14"/>
        <v>33201</v>
      </c>
      <c r="H124" s="648">
        <v>15</v>
      </c>
      <c r="I124" s="649">
        <f t="shared" si="21"/>
        <v>29988</v>
      </c>
      <c r="J124" s="657"/>
      <c r="K124" s="649"/>
      <c r="L124" s="657"/>
      <c r="M124" s="649"/>
      <c r="N124" s="657"/>
      <c r="O124" s="649"/>
      <c r="P124" s="657"/>
      <c r="Q124" s="649"/>
      <c r="R124" s="657"/>
      <c r="S124" s="649"/>
      <c r="T124" s="657"/>
      <c r="U124" s="649"/>
      <c r="V124" s="651"/>
      <c r="W124" s="649"/>
      <c r="X124" s="651"/>
      <c r="Y124" s="649"/>
      <c r="Z124" s="651"/>
      <c r="AA124" s="649"/>
      <c r="AB124" s="651"/>
      <c r="AC124" s="649"/>
      <c r="AD124" s="652">
        <f t="shared" si="30"/>
        <v>3120</v>
      </c>
      <c r="AE124" s="647">
        <v>260</v>
      </c>
      <c r="AF124" s="652">
        <f t="shared" si="32"/>
        <v>3120</v>
      </c>
      <c r="AG124" s="647">
        <v>260</v>
      </c>
      <c r="AH124" s="649">
        <f t="shared" si="31"/>
        <v>316800</v>
      </c>
      <c r="AI124" s="649">
        <f t="shared" si="33"/>
        <v>26400</v>
      </c>
      <c r="AJ124" s="649">
        <f t="shared" si="34"/>
        <v>26400</v>
      </c>
      <c r="AK124" s="649">
        <v>0</v>
      </c>
      <c r="AL124" s="649">
        <v>0</v>
      </c>
      <c r="AM124" s="649">
        <v>0</v>
      </c>
      <c r="AN124" s="649">
        <v>0</v>
      </c>
      <c r="AO124" s="653">
        <f t="shared" si="23"/>
        <v>116249</v>
      </c>
      <c r="AP124" s="644"/>
    </row>
    <row r="125" spans="1:42" s="13" customFormat="1" ht="15.75" thickBot="1">
      <c r="A125" s="644"/>
      <c r="B125" s="645">
        <v>663</v>
      </c>
      <c r="C125" s="684"/>
      <c r="D125" s="646" t="s">
        <v>85</v>
      </c>
      <c r="E125" s="647">
        <v>76.59</v>
      </c>
      <c r="F125" s="648">
        <v>1</v>
      </c>
      <c r="G125" s="649">
        <f t="shared" si="14"/>
        <v>2374.29</v>
      </c>
      <c r="H125" s="648">
        <v>1</v>
      </c>
      <c r="I125" s="649">
        <f t="shared" si="21"/>
        <v>2144.52</v>
      </c>
      <c r="J125" s="657"/>
      <c r="K125" s="649"/>
      <c r="L125" s="657"/>
      <c r="M125" s="649"/>
      <c r="N125" s="657"/>
      <c r="O125" s="649"/>
      <c r="P125" s="657"/>
      <c r="Q125" s="649"/>
      <c r="R125" s="657"/>
      <c r="S125" s="649"/>
      <c r="T125" s="657"/>
      <c r="U125" s="649"/>
      <c r="V125" s="651"/>
      <c r="W125" s="649"/>
      <c r="X125" s="651"/>
      <c r="Y125" s="649"/>
      <c r="Z125" s="651"/>
      <c r="AA125" s="649"/>
      <c r="AB125" s="651"/>
      <c r="AC125" s="649"/>
      <c r="AD125" s="652">
        <f t="shared" si="30"/>
        <v>900</v>
      </c>
      <c r="AE125" s="647">
        <v>75</v>
      </c>
      <c r="AF125" s="652">
        <f t="shared" si="32"/>
        <v>900</v>
      </c>
      <c r="AG125" s="647">
        <v>75</v>
      </c>
      <c r="AH125" s="649">
        <f t="shared" si="31"/>
        <v>21120</v>
      </c>
      <c r="AI125" s="649">
        <f t="shared" si="33"/>
        <v>1760</v>
      </c>
      <c r="AJ125" s="649">
        <f t="shared" si="34"/>
        <v>1760</v>
      </c>
      <c r="AK125" s="649">
        <v>0</v>
      </c>
      <c r="AL125" s="649">
        <v>0</v>
      </c>
      <c r="AM125" s="649">
        <v>0</v>
      </c>
      <c r="AN125" s="649">
        <v>0</v>
      </c>
      <c r="AO125" s="653">
        <f t="shared" si="23"/>
        <v>8113.8099999999995</v>
      </c>
      <c r="AP125" s="644"/>
    </row>
    <row r="126" spans="1:42" s="13" customFormat="1" ht="15.75" thickBot="1">
      <c r="A126" s="644"/>
      <c r="B126" s="645">
        <v>664</v>
      </c>
      <c r="C126" s="684"/>
      <c r="D126" s="646" t="s">
        <v>77</v>
      </c>
      <c r="E126" s="647">
        <v>72.540000000000006</v>
      </c>
      <c r="F126" s="648">
        <v>1</v>
      </c>
      <c r="G126" s="649">
        <f t="shared" si="14"/>
        <v>2248.7400000000002</v>
      </c>
      <c r="H126" s="648">
        <v>1</v>
      </c>
      <c r="I126" s="649">
        <f t="shared" si="21"/>
        <v>2031.1200000000001</v>
      </c>
      <c r="J126" s="657"/>
      <c r="K126" s="649"/>
      <c r="L126" s="657"/>
      <c r="M126" s="649"/>
      <c r="N126" s="657"/>
      <c r="O126" s="649"/>
      <c r="P126" s="657"/>
      <c r="Q126" s="649"/>
      <c r="R126" s="657"/>
      <c r="S126" s="649"/>
      <c r="T126" s="657"/>
      <c r="U126" s="649"/>
      <c r="V126" s="651"/>
      <c r="W126" s="649"/>
      <c r="X126" s="651"/>
      <c r="Y126" s="649"/>
      <c r="Z126" s="651"/>
      <c r="AA126" s="649"/>
      <c r="AB126" s="651"/>
      <c r="AC126" s="649"/>
      <c r="AD126" s="652">
        <f t="shared" si="30"/>
        <v>600</v>
      </c>
      <c r="AE126" s="647">
        <v>50</v>
      </c>
      <c r="AF126" s="652">
        <f t="shared" si="32"/>
        <v>600</v>
      </c>
      <c r="AG126" s="647">
        <v>50</v>
      </c>
      <c r="AH126" s="649">
        <f t="shared" si="31"/>
        <v>21120</v>
      </c>
      <c r="AI126" s="649">
        <f t="shared" si="33"/>
        <v>1760</v>
      </c>
      <c r="AJ126" s="649">
        <f t="shared" si="34"/>
        <v>1760</v>
      </c>
      <c r="AK126" s="649">
        <v>0</v>
      </c>
      <c r="AL126" s="649">
        <v>0</v>
      </c>
      <c r="AM126" s="649">
        <v>0</v>
      </c>
      <c r="AN126" s="649">
        <v>0</v>
      </c>
      <c r="AO126" s="653">
        <f t="shared" si="23"/>
        <v>7849.8600000000006</v>
      </c>
      <c r="AP126" s="644"/>
    </row>
    <row r="127" spans="1:42" s="13" customFormat="1" ht="15.75" thickBot="1">
      <c r="A127" s="644"/>
      <c r="B127" s="645">
        <v>665</v>
      </c>
      <c r="C127" s="684"/>
      <c r="D127" s="646" t="s">
        <v>36</v>
      </c>
      <c r="E127" s="647">
        <v>72.540000000000006</v>
      </c>
      <c r="F127" s="648">
        <v>1</v>
      </c>
      <c r="G127" s="649">
        <f t="shared" si="14"/>
        <v>2248.7400000000002</v>
      </c>
      <c r="H127" s="648">
        <v>1</v>
      </c>
      <c r="I127" s="649">
        <f t="shared" si="21"/>
        <v>2031.1200000000001</v>
      </c>
      <c r="J127" s="657"/>
      <c r="K127" s="649"/>
      <c r="L127" s="657"/>
      <c r="M127" s="649"/>
      <c r="N127" s="657"/>
      <c r="O127" s="649"/>
      <c r="P127" s="657"/>
      <c r="Q127" s="649"/>
      <c r="R127" s="657"/>
      <c r="S127" s="649"/>
      <c r="T127" s="657"/>
      <c r="U127" s="649"/>
      <c r="V127" s="651"/>
      <c r="W127" s="649"/>
      <c r="X127" s="651"/>
      <c r="Y127" s="649"/>
      <c r="Z127" s="651"/>
      <c r="AA127" s="649"/>
      <c r="AB127" s="651"/>
      <c r="AC127" s="649"/>
      <c r="AD127" s="652">
        <f t="shared" si="30"/>
        <v>600</v>
      </c>
      <c r="AE127" s="647">
        <v>50</v>
      </c>
      <c r="AF127" s="652">
        <f t="shared" si="32"/>
        <v>600</v>
      </c>
      <c r="AG127" s="647">
        <v>50</v>
      </c>
      <c r="AH127" s="649">
        <f t="shared" si="31"/>
        <v>21120</v>
      </c>
      <c r="AI127" s="649">
        <f t="shared" si="33"/>
        <v>1760</v>
      </c>
      <c r="AJ127" s="649">
        <f t="shared" si="34"/>
        <v>1760</v>
      </c>
      <c r="AK127" s="649">
        <v>0</v>
      </c>
      <c r="AL127" s="649">
        <v>0</v>
      </c>
      <c r="AM127" s="649">
        <v>0</v>
      </c>
      <c r="AN127" s="649">
        <v>0</v>
      </c>
      <c r="AO127" s="653">
        <f t="shared" si="23"/>
        <v>7849.8600000000006</v>
      </c>
      <c r="AP127" s="644"/>
    </row>
    <row r="128" spans="1:42" s="13" customFormat="1" ht="15.75" thickBot="1">
      <c r="A128" s="644"/>
      <c r="B128" s="645">
        <v>666</v>
      </c>
      <c r="C128" s="684"/>
      <c r="D128" s="646" t="s">
        <v>39</v>
      </c>
      <c r="E128" s="647">
        <v>78.25</v>
      </c>
      <c r="F128" s="648">
        <v>4</v>
      </c>
      <c r="G128" s="649">
        <f t="shared" si="14"/>
        <v>9703</v>
      </c>
      <c r="H128" s="648">
        <v>4</v>
      </c>
      <c r="I128" s="649">
        <f t="shared" si="21"/>
        <v>8764</v>
      </c>
      <c r="J128" s="657"/>
      <c r="K128" s="649"/>
      <c r="L128" s="657"/>
      <c r="M128" s="649"/>
      <c r="N128" s="657"/>
      <c r="O128" s="649"/>
      <c r="P128" s="657"/>
      <c r="Q128" s="649"/>
      <c r="R128" s="657"/>
      <c r="S128" s="649"/>
      <c r="T128" s="657"/>
      <c r="U128" s="649"/>
      <c r="V128" s="651"/>
      <c r="W128" s="649"/>
      <c r="X128" s="651"/>
      <c r="Y128" s="649"/>
      <c r="Z128" s="651"/>
      <c r="AA128" s="649"/>
      <c r="AB128" s="651"/>
      <c r="AC128" s="649"/>
      <c r="AD128" s="652">
        <f t="shared" si="30"/>
        <v>2700</v>
      </c>
      <c r="AE128" s="647">
        <v>225</v>
      </c>
      <c r="AF128" s="652">
        <f t="shared" si="32"/>
        <v>2700</v>
      </c>
      <c r="AG128" s="647">
        <v>225</v>
      </c>
      <c r="AH128" s="649">
        <f t="shared" si="31"/>
        <v>84480</v>
      </c>
      <c r="AI128" s="649">
        <f t="shared" si="33"/>
        <v>7040</v>
      </c>
      <c r="AJ128" s="649">
        <f t="shared" si="34"/>
        <v>7040</v>
      </c>
      <c r="AK128" s="649">
        <v>0</v>
      </c>
      <c r="AL128" s="649">
        <v>0</v>
      </c>
      <c r="AM128" s="649">
        <v>0</v>
      </c>
      <c r="AN128" s="649">
        <v>0</v>
      </c>
      <c r="AO128" s="653">
        <f t="shared" si="23"/>
        <v>32772</v>
      </c>
      <c r="AP128" s="644"/>
    </row>
    <row r="129" spans="1:42" s="13" customFormat="1" ht="15.75" thickBot="1">
      <c r="A129" s="644"/>
      <c r="B129" s="645">
        <v>667</v>
      </c>
      <c r="C129" s="684"/>
      <c r="D129" s="646" t="s">
        <v>31</v>
      </c>
      <c r="E129" s="647">
        <v>72.540000000000006</v>
      </c>
      <c r="F129" s="648">
        <v>1</v>
      </c>
      <c r="G129" s="649">
        <f t="shared" si="14"/>
        <v>2248.7400000000002</v>
      </c>
      <c r="H129" s="648">
        <v>1</v>
      </c>
      <c r="I129" s="649">
        <f t="shared" si="21"/>
        <v>2031.1200000000001</v>
      </c>
      <c r="J129" s="657"/>
      <c r="K129" s="649"/>
      <c r="L129" s="657"/>
      <c r="M129" s="649"/>
      <c r="N129" s="657"/>
      <c r="O129" s="649"/>
      <c r="P129" s="657"/>
      <c r="Q129" s="649"/>
      <c r="R129" s="657"/>
      <c r="S129" s="649"/>
      <c r="T129" s="657"/>
      <c r="U129" s="649"/>
      <c r="V129" s="651"/>
      <c r="W129" s="649"/>
      <c r="X129" s="651"/>
      <c r="Y129" s="649"/>
      <c r="Z129" s="651"/>
      <c r="AA129" s="649"/>
      <c r="AB129" s="651"/>
      <c r="AC129" s="649"/>
      <c r="AD129" s="652">
        <f t="shared" si="30"/>
        <v>0</v>
      </c>
      <c r="AE129" s="652">
        <v>0</v>
      </c>
      <c r="AF129" s="652">
        <f t="shared" si="32"/>
        <v>0</v>
      </c>
      <c r="AG129" s="652">
        <v>0</v>
      </c>
      <c r="AH129" s="649">
        <f t="shared" si="31"/>
        <v>21120</v>
      </c>
      <c r="AI129" s="649">
        <f t="shared" si="33"/>
        <v>1760</v>
      </c>
      <c r="AJ129" s="649">
        <f t="shared" si="34"/>
        <v>1760</v>
      </c>
      <c r="AK129" s="649">
        <v>0</v>
      </c>
      <c r="AL129" s="649">
        <v>0</v>
      </c>
      <c r="AM129" s="649">
        <v>0</v>
      </c>
      <c r="AN129" s="649">
        <v>0</v>
      </c>
      <c r="AO129" s="653">
        <f t="shared" si="23"/>
        <v>7799.8600000000006</v>
      </c>
      <c r="AP129" s="644"/>
    </row>
    <row r="130" spans="1:42" s="13" customFormat="1" ht="15.75" thickBot="1">
      <c r="A130" s="644"/>
      <c r="B130" s="645">
        <v>668</v>
      </c>
      <c r="C130" s="684"/>
      <c r="D130" s="646" t="s">
        <v>32</v>
      </c>
      <c r="E130" s="647">
        <v>71.400000000000006</v>
      </c>
      <c r="F130" s="648">
        <v>116</v>
      </c>
      <c r="G130" s="649">
        <f t="shared" si="14"/>
        <v>256754.40000000005</v>
      </c>
      <c r="H130" s="648">
        <v>116</v>
      </c>
      <c r="I130" s="649">
        <f t="shared" si="21"/>
        <v>231907.20000000004</v>
      </c>
      <c r="J130" s="657"/>
      <c r="K130" s="649"/>
      <c r="L130" s="657"/>
      <c r="M130" s="649"/>
      <c r="N130" s="657"/>
      <c r="O130" s="649"/>
      <c r="P130" s="657"/>
      <c r="Q130" s="649"/>
      <c r="R130" s="657"/>
      <c r="S130" s="649"/>
      <c r="T130" s="657"/>
      <c r="U130" s="649"/>
      <c r="V130" s="651"/>
      <c r="W130" s="649"/>
      <c r="X130" s="651"/>
      <c r="Y130" s="649"/>
      <c r="Z130" s="651"/>
      <c r="AA130" s="649"/>
      <c r="AB130" s="651"/>
      <c r="AC130" s="649"/>
      <c r="AD130" s="652">
        <f t="shared" si="30"/>
        <v>69600</v>
      </c>
      <c r="AE130" s="647">
        <v>5800</v>
      </c>
      <c r="AF130" s="652">
        <f t="shared" si="32"/>
        <v>69600</v>
      </c>
      <c r="AG130" s="647">
        <v>5800</v>
      </c>
      <c r="AH130" s="649">
        <f t="shared" si="31"/>
        <v>2449920</v>
      </c>
      <c r="AI130" s="649">
        <f t="shared" si="33"/>
        <v>204160</v>
      </c>
      <c r="AJ130" s="649">
        <f t="shared" si="34"/>
        <v>204160</v>
      </c>
      <c r="AK130" s="649">
        <v>0</v>
      </c>
      <c r="AL130" s="649">
        <v>0</v>
      </c>
      <c r="AM130" s="649">
        <v>0</v>
      </c>
      <c r="AN130" s="649">
        <v>0</v>
      </c>
      <c r="AO130" s="653">
        <f t="shared" si="23"/>
        <v>902781.60000000009</v>
      </c>
      <c r="AP130" s="644"/>
    </row>
    <row r="131" spans="1:42" s="13" customFormat="1" ht="15.75" thickBot="1">
      <c r="A131" s="644"/>
      <c r="B131" s="645">
        <v>669</v>
      </c>
      <c r="C131" s="684"/>
      <c r="D131" s="646" t="s">
        <v>54</v>
      </c>
      <c r="E131" s="647">
        <v>71.400000000000006</v>
      </c>
      <c r="F131" s="648">
        <v>22</v>
      </c>
      <c r="G131" s="649">
        <f t="shared" si="14"/>
        <v>48694.8</v>
      </c>
      <c r="H131" s="648">
        <v>22</v>
      </c>
      <c r="I131" s="649">
        <f t="shared" si="21"/>
        <v>43982.400000000009</v>
      </c>
      <c r="J131" s="657"/>
      <c r="K131" s="649"/>
      <c r="L131" s="657"/>
      <c r="M131" s="649"/>
      <c r="N131" s="657"/>
      <c r="O131" s="649"/>
      <c r="P131" s="657"/>
      <c r="Q131" s="649"/>
      <c r="R131" s="657"/>
      <c r="S131" s="649"/>
      <c r="T131" s="657"/>
      <c r="U131" s="649"/>
      <c r="V131" s="651"/>
      <c r="W131" s="649"/>
      <c r="X131" s="651"/>
      <c r="Y131" s="649"/>
      <c r="Z131" s="651"/>
      <c r="AA131" s="649"/>
      <c r="AB131" s="651"/>
      <c r="AC131" s="649"/>
      <c r="AD131" s="652">
        <f t="shared" si="30"/>
        <v>12420</v>
      </c>
      <c r="AE131" s="647">
        <v>1035</v>
      </c>
      <c r="AF131" s="652">
        <f t="shared" si="32"/>
        <v>12420</v>
      </c>
      <c r="AG131" s="647">
        <v>1035</v>
      </c>
      <c r="AH131" s="649">
        <f t="shared" si="31"/>
        <v>464640</v>
      </c>
      <c r="AI131" s="649">
        <f t="shared" si="33"/>
        <v>38720</v>
      </c>
      <c r="AJ131" s="649">
        <f t="shared" si="34"/>
        <v>38720</v>
      </c>
      <c r="AK131" s="649">
        <v>0</v>
      </c>
      <c r="AL131" s="649">
        <v>0</v>
      </c>
      <c r="AM131" s="649">
        <v>0</v>
      </c>
      <c r="AN131" s="649">
        <v>0</v>
      </c>
      <c r="AO131" s="653">
        <f t="shared" si="23"/>
        <v>171152.2</v>
      </c>
      <c r="AP131" s="644"/>
    </row>
    <row r="132" spans="1:42" s="13" customFormat="1" ht="15.75" thickBot="1">
      <c r="A132" s="644"/>
      <c r="B132" s="660">
        <v>670</v>
      </c>
      <c r="C132" s="699"/>
      <c r="D132" s="661" t="s">
        <v>86</v>
      </c>
      <c r="E132" s="662">
        <v>78.25</v>
      </c>
      <c r="F132" s="663">
        <v>1</v>
      </c>
      <c r="G132" s="664">
        <f t="shared" si="14"/>
        <v>2425.75</v>
      </c>
      <c r="H132" s="663">
        <v>1</v>
      </c>
      <c r="I132" s="649">
        <f t="shared" si="21"/>
        <v>2191</v>
      </c>
      <c r="J132" s="665"/>
      <c r="K132" s="664"/>
      <c r="L132" s="665"/>
      <c r="M132" s="664"/>
      <c r="N132" s="665"/>
      <c r="O132" s="664"/>
      <c r="P132" s="665"/>
      <c r="Q132" s="664"/>
      <c r="R132" s="665"/>
      <c r="S132" s="664"/>
      <c r="T132" s="665"/>
      <c r="U132" s="664"/>
      <c r="V132" s="666"/>
      <c r="W132" s="664"/>
      <c r="X132" s="666"/>
      <c r="Y132" s="664"/>
      <c r="Z132" s="666"/>
      <c r="AA132" s="664"/>
      <c r="AB132" s="666"/>
      <c r="AC132" s="664"/>
      <c r="AD132" s="667">
        <f t="shared" si="30"/>
        <v>0</v>
      </c>
      <c r="AE132" s="667">
        <v>0</v>
      </c>
      <c r="AF132" s="667">
        <f t="shared" si="32"/>
        <v>0</v>
      </c>
      <c r="AG132" s="667">
        <v>0</v>
      </c>
      <c r="AH132" s="664">
        <f t="shared" si="31"/>
        <v>21120</v>
      </c>
      <c r="AI132" s="664">
        <f t="shared" si="33"/>
        <v>1760</v>
      </c>
      <c r="AJ132" s="664">
        <f t="shared" si="34"/>
        <v>1760</v>
      </c>
      <c r="AK132" s="664">
        <v>0</v>
      </c>
      <c r="AL132" s="664">
        <v>0</v>
      </c>
      <c r="AM132" s="664">
        <v>0</v>
      </c>
      <c r="AN132" s="664">
        <v>0</v>
      </c>
      <c r="AO132" s="653">
        <f t="shared" si="23"/>
        <v>8136.75</v>
      </c>
      <c r="AP132" s="644"/>
    </row>
    <row r="133" spans="1:42" s="13" customFormat="1">
      <c r="B133" s="644"/>
      <c r="C133" s="668"/>
      <c r="D133" s="669"/>
      <c r="E133" s="670"/>
      <c r="F133" s="671"/>
      <c r="G133" s="672"/>
      <c r="H133" s="671"/>
      <c r="I133" s="672"/>
      <c r="J133" s="673"/>
      <c r="K133" s="672"/>
      <c r="L133" s="671"/>
      <c r="M133" s="672"/>
      <c r="N133" s="671"/>
      <c r="O133" s="672"/>
      <c r="P133" s="671"/>
      <c r="Q133" s="672"/>
      <c r="R133" s="671"/>
      <c r="S133" s="672"/>
      <c r="T133" s="671"/>
      <c r="U133" s="674"/>
      <c r="V133" s="675"/>
      <c r="W133" s="674"/>
      <c r="X133" s="675"/>
      <c r="Y133" s="674"/>
      <c r="Z133" s="675"/>
      <c r="AA133" s="674"/>
      <c r="AB133" s="671"/>
      <c r="AC133" s="672"/>
      <c r="AD133" s="644"/>
      <c r="AE133" s="644"/>
      <c r="AF133" s="644"/>
      <c r="AG133" s="644"/>
      <c r="AH133" s="644"/>
      <c r="AI133" s="644"/>
      <c r="AJ133" s="644"/>
      <c r="AK133" s="644"/>
      <c r="AL133" s="672"/>
      <c r="AM133" s="672"/>
      <c r="AN133" s="672"/>
      <c r="AO133" s="644"/>
    </row>
    <row r="134" spans="1:42" s="13" customFormat="1" ht="21" customHeight="1">
      <c r="B134" s="696" t="s">
        <v>27</v>
      </c>
      <c r="C134" s="696"/>
      <c r="D134" s="696"/>
      <c r="E134" s="696"/>
      <c r="F134" s="696"/>
      <c r="G134" s="696"/>
      <c r="H134" s="696"/>
      <c r="I134" s="696"/>
      <c r="J134" s="696"/>
      <c r="K134" s="696"/>
      <c r="L134" s="696"/>
      <c r="M134" s="696"/>
      <c r="N134" s="696"/>
      <c r="O134" s="696"/>
      <c r="P134" s="696"/>
      <c r="Q134" s="696"/>
      <c r="R134" s="696"/>
      <c r="S134" s="696"/>
      <c r="T134" s="696"/>
      <c r="U134" s="332"/>
      <c r="V134" s="676"/>
      <c r="W134" s="677"/>
      <c r="X134" s="676"/>
      <c r="Y134" s="677"/>
      <c r="Z134" s="676"/>
      <c r="AA134" s="677"/>
      <c r="AB134" s="678"/>
      <c r="AC134" s="677"/>
      <c r="AL134" s="677"/>
      <c r="AM134" s="677"/>
      <c r="AN134" s="677"/>
    </row>
    <row r="135" spans="1:42" s="13" customFormat="1">
      <c r="C135" s="679"/>
      <c r="D135" s="680"/>
      <c r="E135" s="681"/>
      <c r="F135" s="678"/>
      <c r="G135" s="677"/>
      <c r="H135" s="678"/>
      <c r="I135" s="677"/>
      <c r="J135" s="682"/>
      <c r="K135" s="677"/>
      <c r="L135" s="678"/>
      <c r="M135" s="677"/>
      <c r="N135" s="678"/>
      <c r="O135" s="677"/>
      <c r="P135" s="678"/>
      <c r="Q135" s="677"/>
      <c r="R135" s="678"/>
      <c r="S135" s="677"/>
      <c r="T135" s="678"/>
      <c r="U135" s="677"/>
      <c r="V135" s="676"/>
      <c r="W135" s="677"/>
      <c r="X135" s="676"/>
      <c r="Y135" s="677"/>
      <c r="Z135" s="676"/>
      <c r="AA135" s="677"/>
      <c r="AB135" s="678"/>
      <c r="AC135" s="677"/>
      <c r="AL135" s="677"/>
      <c r="AM135" s="677"/>
      <c r="AN135" s="677"/>
    </row>
    <row r="136" spans="1:42" s="13" customFormat="1">
      <c r="C136" s="679"/>
      <c r="D136" s="680"/>
      <c r="E136" s="681"/>
      <c r="F136" s="678"/>
      <c r="G136" s="677"/>
      <c r="H136" s="678"/>
      <c r="I136" s="677"/>
      <c r="J136" s="682"/>
      <c r="K136" s="677"/>
      <c r="L136" s="678"/>
      <c r="M136" s="677"/>
      <c r="N136" s="678"/>
      <c r="O136" s="677"/>
      <c r="P136" s="678"/>
      <c r="Q136" s="677"/>
      <c r="R136" s="678"/>
      <c r="S136" s="677"/>
      <c r="T136" s="678"/>
      <c r="U136" s="677"/>
      <c r="V136" s="676"/>
      <c r="W136" s="677"/>
      <c r="X136" s="676"/>
      <c r="Y136" s="677"/>
      <c r="Z136" s="676"/>
      <c r="AA136" s="677"/>
      <c r="AB136" s="678"/>
      <c r="AC136" s="677"/>
      <c r="AL136" s="677"/>
      <c r="AM136" s="677"/>
      <c r="AN136" s="677"/>
    </row>
    <row r="137" spans="1:42" s="13" customFormat="1">
      <c r="C137" s="679"/>
      <c r="D137" s="680"/>
      <c r="E137" s="681"/>
      <c r="F137" s="678"/>
      <c r="G137" s="677"/>
      <c r="H137" s="678"/>
      <c r="I137" s="677"/>
      <c r="J137" s="682"/>
      <c r="K137" s="677"/>
      <c r="L137" s="678"/>
      <c r="M137" s="677"/>
      <c r="N137" s="678"/>
      <c r="O137" s="677"/>
      <c r="P137" s="678"/>
      <c r="Q137" s="677"/>
      <c r="R137" s="678"/>
      <c r="S137" s="677"/>
      <c r="T137" s="683"/>
      <c r="U137" s="677"/>
      <c r="V137" s="676"/>
      <c r="W137" s="677"/>
      <c r="X137" s="676"/>
      <c r="Y137" s="677"/>
      <c r="Z137" s="676"/>
      <c r="AA137" s="677"/>
      <c r="AB137" s="678"/>
      <c r="AC137" s="677"/>
      <c r="AL137" s="677"/>
      <c r="AM137" s="677"/>
      <c r="AN137" s="677"/>
    </row>
    <row r="138" spans="1:42" s="13" customFormat="1">
      <c r="C138" s="679"/>
      <c r="D138" s="680"/>
      <c r="E138" s="681"/>
      <c r="F138" s="678"/>
      <c r="G138" s="677"/>
      <c r="H138" s="678"/>
      <c r="I138" s="677"/>
      <c r="J138" s="682"/>
      <c r="K138" s="677"/>
      <c r="L138" s="678"/>
      <c r="M138" s="677"/>
      <c r="N138" s="678"/>
      <c r="O138" s="677"/>
      <c r="P138" s="678"/>
      <c r="Q138" s="677"/>
      <c r="R138" s="678"/>
      <c r="S138" s="677"/>
      <c r="T138" s="678"/>
      <c r="U138" s="677"/>
      <c r="V138" s="676"/>
      <c r="W138" s="677"/>
      <c r="X138" s="676"/>
      <c r="Y138" s="677"/>
      <c r="Z138" s="676"/>
      <c r="AA138" s="677"/>
      <c r="AB138" s="678"/>
      <c r="AC138" s="677"/>
      <c r="AL138" s="677"/>
      <c r="AM138" s="677"/>
      <c r="AN138" s="677"/>
    </row>
    <row r="139" spans="1:42">
      <c r="I139" s="12">
        <f>1205-1133</f>
        <v>72</v>
      </c>
    </row>
  </sheetData>
  <mergeCells count="52">
    <mergeCell ref="Z17:AA17"/>
    <mergeCell ref="N17:O17"/>
    <mergeCell ref="T17:U17"/>
    <mergeCell ref="V17:W17"/>
    <mergeCell ref="AO15:AO18"/>
    <mergeCell ref="X17:Y17"/>
    <mergeCell ref="AL16:AL18"/>
    <mergeCell ref="AM16:AM18"/>
    <mergeCell ref="AN16:AN18"/>
    <mergeCell ref="AD16:AE16"/>
    <mergeCell ref="AJ17:AJ18"/>
    <mergeCell ref="R17:S17"/>
    <mergeCell ref="AD17:AD18"/>
    <mergeCell ref="B7:D7"/>
    <mergeCell ref="E15:E18"/>
    <mergeCell ref="B11:F11"/>
    <mergeCell ref="B9:F9"/>
    <mergeCell ref="B8:F8"/>
    <mergeCell ref="B10:D10"/>
    <mergeCell ref="B12:D12"/>
    <mergeCell ref="B15:B18"/>
    <mergeCell ref="C15:C18"/>
    <mergeCell ref="D15:D18"/>
    <mergeCell ref="F15:AC16"/>
    <mergeCell ref="F17:G17"/>
    <mergeCell ref="AB17:AC17"/>
    <mergeCell ref="J17:K17"/>
    <mergeCell ref="H17:I17"/>
    <mergeCell ref="P17:Q17"/>
    <mergeCell ref="B134:T134"/>
    <mergeCell ref="B85:AO85"/>
    <mergeCell ref="C119:C132"/>
    <mergeCell ref="B118:AO118"/>
    <mergeCell ref="B106:AO106"/>
    <mergeCell ref="C86:C105"/>
    <mergeCell ref="C107:C117"/>
    <mergeCell ref="C67:C84"/>
    <mergeCell ref="AD15:AN15"/>
    <mergeCell ref="AE17:AE18"/>
    <mergeCell ref="AH17:AH18"/>
    <mergeCell ref="AI17:AI18"/>
    <mergeCell ref="AH16:AK16"/>
    <mergeCell ref="AK17:AK18"/>
    <mergeCell ref="AF16:AG16"/>
    <mergeCell ref="AF17:AF18"/>
    <mergeCell ref="AG17:AG18"/>
    <mergeCell ref="C28:C29"/>
    <mergeCell ref="L17:M17"/>
    <mergeCell ref="C20:C27"/>
    <mergeCell ref="C30:C57"/>
    <mergeCell ref="C58:C66"/>
    <mergeCell ref="B19:AO19"/>
  </mergeCells>
  <pageMargins left="0.70866141732283472" right="0.70866141732283472" top="0.74803149606299213" bottom="0.74803149606299213" header="0.31496062992125984" footer="0.31496062992125984"/>
  <pageSetup paperSize="14" scale="27" fitToHeight="0" orientation="landscape" r:id="rId1"/>
  <headerFooter>
    <oddFooter>Página &amp;P</oddFooter>
  </headerFooter>
  <ignoredErrors>
    <ignoredError sqref="AL16:AN18 AH17:AI18 AH16 AD16:AE16 AD17:AE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topLeftCell="F1" workbookViewId="0">
      <selection activeCell="R22" sqref="R22"/>
    </sheetView>
  </sheetViews>
  <sheetFormatPr baseColWidth="10" defaultRowHeight="15"/>
  <cols>
    <col min="17" max="17" width="30.7109375" customWidth="1"/>
    <col min="18" max="18" width="27.140625" bestFit="1" customWidth="1"/>
    <col min="19" max="19" width="19" customWidth="1"/>
    <col min="20" max="20" width="17.85546875" customWidth="1"/>
  </cols>
  <sheetData>
    <row r="1" spans="1:20" ht="36.75">
      <c r="A1" s="448" t="s">
        <v>149</v>
      </c>
      <c r="B1" s="449" t="s">
        <v>150</v>
      </c>
      <c r="C1" s="450" t="s">
        <v>151</v>
      </c>
      <c r="D1" s="451" t="s">
        <v>152</v>
      </c>
      <c r="E1" s="451" t="s">
        <v>153</v>
      </c>
      <c r="F1" s="452" t="s">
        <v>154</v>
      </c>
      <c r="G1" s="453" t="s">
        <v>155</v>
      </c>
      <c r="H1" s="454" t="s">
        <v>156</v>
      </c>
      <c r="I1" s="454" t="s">
        <v>157</v>
      </c>
      <c r="J1" s="454" t="s">
        <v>158</v>
      </c>
      <c r="K1" s="453" t="s">
        <v>159</v>
      </c>
      <c r="L1" s="453" t="s">
        <v>225</v>
      </c>
      <c r="M1" s="455" t="s">
        <v>160</v>
      </c>
      <c r="N1" s="455" t="s">
        <v>161</v>
      </c>
      <c r="O1" s="455" t="s">
        <v>162</v>
      </c>
      <c r="Q1" s="479" t="s">
        <v>226</v>
      </c>
      <c r="R1" t="s">
        <v>228</v>
      </c>
      <c r="S1" t="s">
        <v>229</v>
      </c>
      <c r="T1" t="s">
        <v>231</v>
      </c>
    </row>
    <row r="2" spans="1:20">
      <c r="A2" s="456">
        <v>1</v>
      </c>
      <c r="B2" s="457" t="s">
        <v>163</v>
      </c>
      <c r="C2" s="458">
        <v>9901443824</v>
      </c>
      <c r="D2" s="459" t="s">
        <v>164</v>
      </c>
      <c r="E2" s="460" t="s">
        <v>37</v>
      </c>
      <c r="F2" s="461">
        <v>31</v>
      </c>
      <c r="G2" s="462">
        <v>80.86</v>
      </c>
      <c r="H2" s="462">
        <f t="shared" ref="H2:H34" si="0">+F2*G2</f>
        <v>2506.66</v>
      </c>
      <c r="I2" s="462">
        <f>G2*120</f>
        <v>9703.2000000000007</v>
      </c>
      <c r="J2" s="463">
        <v>4</v>
      </c>
      <c r="K2" s="464">
        <v>0</v>
      </c>
      <c r="L2" s="462">
        <f t="shared" ref="L2:L34" si="1">M2+N2</f>
        <v>1760</v>
      </c>
      <c r="M2" s="462">
        <v>1510</v>
      </c>
      <c r="N2" s="462">
        <v>250</v>
      </c>
      <c r="O2" s="462">
        <f t="shared" ref="O2:O34" si="2">+H2+M2+N2+K2</f>
        <v>4266.66</v>
      </c>
      <c r="Q2" s="480" t="s">
        <v>35</v>
      </c>
      <c r="R2" s="481">
        <v>14</v>
      </c>
      <c r="S2" s="481">
        <v>71.400000000000006</v>
      </c>
      <c r="T2" s="481">
        <v>35</v>
      </c>
    </row>
    <row r="3" spans="1:20">
      <c r="A3" s="456">
        <v>2</v>
      </c>
      <c r="B3" s="457" t="s">
        <v>165</v>
      </c>
      <c r="C3" s="458">
        <v>9901085285</v>
      </c>
      <c r="D3" s="459" t="s">
        <v>166</v>
      </c>
      <c r="E3" s="460" t="s">
        <v>35</v>
      </c>
      <c r="F3" s="461">
        <v>31</v>
      </c>
      <c r="G3" s="462">
        <v>71.400000000000006</v>
      </c>
      <c r="H3" s="462">
        <f t="shared" si="0"/>
        <v>2213.4</v>
      </c>
      <c r="I3" s="462">
        <f t="shared" ref="I3:I34" si="3">G3*120</f>
        <v>8568</v>
      </c>
      <c r="J3" s="463">
        <v>4</v>
      </c>
      <c r="K3" s="465">
        <v>35</v>
      </c>
      <c r="L3" s="462">
        <f t="shared" si="1"/>
        <v>1760</v>
      </c>
      <c r="M3" s="462">
        <v>1510</v>
      </c>
      <c r="N3" s="462">
        <v>250</v>
      </c>
      <c r="O3" s="462">
        <f t="shared" si="2"/>
        <v>4008.4</v>
      </c>
      <c r="Q3" s="480" t="s">
        <v>38</v>
      </c>
      <c r="R3" s="481">
        <v>4</v>
      </c>
      <c r="S3" s="481">
        <v>71.400000000000006</v>
      </c>
      <c r="T3" s="481">
        <v>50</v>
      </c>
    </row>
    <row r="4" spans="1:20">
      <c r="A4" s="456">
        <v>3</v>
      </c>
      <c r="B4" s="466" t="s">
        <v>167</v>
      </c>
      <c r="C4" s="458">
        <v>9901443640</v>
      </c>
      <c r="D4" s="459" t="s">
        <v>168</v>
      </c>
      <c r="E4" s="460" t="s">
        <v>38</v>
      </c>
      <c r="F4" s="461">
        <v>31</v>
      </c>
      <c r="G4" s="462">
        <v>71.400000000000006</v>
      </c>
      <c r="H4" s="462">
        <f t="shared" si="0"/>
        <v>2213.4</v>
      </c>
      <c r="I4" s="462">
        <f t="shared" si="3"/>
        <v>8568</v>
      </c>
      <c r="J4" s="463">
        <v>4</v>
      </c>
      <c r="K4" s="464">
        <v>0</v>
      </c>
      <c r="L4" s="462">
        <f t="shared" si="1"/>
        <v>1760</v>
      </c>
      <c r="M4" s="462">
        <v>1510</v>
      </c>
      <c r="N4" s="462">
        <v>250</v>
      </c>
      <c r="O4" s="462">
        <f t="shared" si="2"/>
        <v>3973.4</v>
      </c>
      <c r="Q4" s="480" t="s">
        <v>39</v>
      </c>
      <c r="R4" s="481">
        <v>1</v>
      </c>
      <c r="S4" s="481">
        <v>78.25</v>
      </c>
      <c r="T4" s="481">
        <v>50</v>
      </c>
    </row>
    <row r="5" spans="1:20">
      <c r="A5" s="456">
        <v>4</v>
      </c>
      <c r="B5" s="457" t="s">
        <v>169</v>
      </c>
      <c r="C5" s="458">
        <v>9901443513</v>
      </c>
      <c r="D5" s="459" t="s">
        <v>170</v>
      </c>
      <c r="E5" s="460" t="s">
        <v>35</v>
      </c>
      <c r="F5" s="461">
        <v>31</v>
      </c>
      <c r="G5" s="462">
        <v>71.400000000000006</v>
      </c>
      <c r="H5" s="462">
        <f t="shared" si="0"/>
        <v>2213.4</v>
      </c>
      <c r="I5" s="462">
        <f t="shared" si="3"/>
        <v>8568</v>
      </c>
      <c r="J5" s="463">
        <v>4</v>
      </c>
      <c r="K5" s="465"/>
      <c r="L5" s="462">
        <f t="shared" si="1"/>
        <v>1760</v>
      </c>
      <c r="M5" s="462">
        <v>1510</v>
      </c>
      <c r="N5" s="462">
        <v>250</v>
      </c>
      <c r="O5" s="462">
        <f t="shared" si="2"/>
        <v>3973.4</v>
      </c>
      <c r="Q5" s="480" t="s">
        <v>31</v>
      </c>
      <c r="R5" s="481">
        <v>2</v>
      </c>
      <c r="S5" s="481">
        <v>72.540000000000006</v>
      </c>
      <c r="T5" s="481">
        <v>0</v>
      </c>
    </row>
    <row r="6" spans="1:20">
      <c r="A6" s="456">
        <v>5</v>
      </c>
      <c r="B6" s="466" t="s">
        <v>171</v>
      </c>
      <c r="C6" s="458">
        <v>9901443740</v>
      </c>
      <c r="D6" s="459" t="s">
        <v>172</v>
      </c>
      <c r="E6" s="460" t="s">
        <v>39</v>
      </c>
      <c r="F6" s="461">
        <v>31</v>
      </c>
      <c r="G6" s="467">
        <v>78.25</v>
      </c>
      <c r="H6" s="462">
        <f t="shared" si="0"/>
        <v>2425.75</v>
      </c>
      <c r="I6" s="462">
        <f t="shared" si="3"/>
        <v>9390</v>
      </c>
      <c r="J6" s="463">
        <v>4</v>
      </c>
      <c r="K6" s="468">
        <v>50</v>
      </c>
      <c r="L6" s="462">
        <f t="shared" si="1"/>
        <v>1760</v>
      </c>
      <c r="M6" s="462">
        <v>1510</v>
      </c>
      <c r="N6" s="462">
        <v>250</v>
      </c>
      <c r="O6" s="462">
        <f t="shared" si="2"/>
        <v>4235.75</v>
      </c>
      <c r="Q6" s="480" t="s">
        <v>40</v>
      </c>
      <c r="R6" s="481">
        <v>1</v>
      </c>
      <c r="S6" s="481">
        <v>73.59</v>
      </c>
      <c r="T6" s="481">
        <v>75</v>
      </c>
    </row>
    <row r="7" spans="1:20">
      <c r="A7" s="456">
        <v>6</v>
      </c>
      <c r="B7" s="466" t="s">
        <v>173</v>
      </c>
      <c r="C7" s="458">
        <v>9901443665</v>
      </c>
      <c r="D7" s="459" t="s">
        <v>174</v>
      </c>
      <c r="E7" s="460" t="s">
        <v>38</v>
      </c>
      <c r="F7" s="461">
        <v>31</v>
      </c>
      <c r="G7" s="462">
        <v>71.400000000000006</v>
      </c>
      <c r="H7" s="462">
        <f t="shared" si="0"/>
        <v>2213.4</v>
      </c>
      <c r="I7" s="462">
        <f t="shared" si="3"/>
        <v>8568</v>
      </c>
      <c r="J7" s="463">
        <v>4</v>
      </c>
      <c r="K7" s="464">
        <v>0</v>
      </c>
      <c r="L7" s="462">
        <f t="shared" si="1"/>
        <v>1760</v>
      </c>
      <c r="M7" s="462">
        <v>1510</v>
      </c>
      <c r="N7" s="462">
        <v>250</v>
      </c>
      <c r="O7" s="462">
        <f t="shared" si="2"/>
        <v>3973.4</v>
      </c>
      <c r="Q7" s="480" t="s">
        <v>41</v>
      </c>
      <c r="R7" s="481">
        <v>5</v>
      </c>
      <c r="S7" s="481">
        <v>75.64</v>
      </c>
      <c r="T7" s="481">
        <v>50</v>
      </c>
    </row>
    <row r="8" spans="1:20">
      <c r="A8" s="456">
        <v>7</v>
      </c>
      <c r="B8" s="457" t="s">
        <v>175</v>
      </c>
      <c r="C8" s="458">
        <v>9901443061</v>
      </c>
      <c r="D8" s="459" t="s">
        <v>176</v>
      </c>
      <c r="E8" s="460" t="s">
        <v>35</v>
      </c>
      <c r="F8" s="461">
        <v>31</v>
      </c>
      <c r="G8" s="462">
        <v>71.400000000000006</v>
      </c>
      <c r="H8" s="462">
        <f t="shared" si="0"/>
        <v>2213.4</v>
      </c>
      <c r="I8" s="462">
        <f t="shared" si="3"/>
        <v>8568</v>
      </c>
      <c r="J8" s="463">
        <v>4</v>
      </c>
      <c r="K8" s="465"/>
      <c r="L8" s="462">
        <f t="shared" si="1"/>
        <v>1760</v>
      </c>
      <c r="M8" s="462">
        <v>1510</v>
      </c>
      <c r="N8" s="462">
        <v>250</v>
      </c>
      <c r="O8" s="462">
        <f t="shared" si="2"/>
        <v>3973.4</v>
      </c>
      <c r="Q8" s="480" t="s">
        <v>42</v>
      </c>
      <c r="R8" s="481">
        <v>3</v>
      </c>
      <c r="S8" s="481">
        <v>75.64</v>
      </c>
      <c r="T8" s="481">
        <v>50</v>
      </c>
    </row>
    <row r="9" spans="1:20">
      <c r="A9" s="456">
        <v>8</v>
      </c>
      <c r="B9" s="457" t="s">
        <v>177</v>
      </c>
      <c r="C9" s="458">
        <v>9901443781</v>
      </c>
      <c r="D9" s="459" t="s">
        <v>178</v>
      </c>
      <c r="E9" s="460" t="s">
        <v>41</v>
      </c>
      <c r="F9" s="461">
        <v>31</v>
      </c>
      <c r="G9" s="462">
        <v>75.64</v>
      </c>
      <c r="H9" s="462">
        <f t="shared" si="0"/>
        <v>2344.84</v>
      </c>
      <c r="I9" s="462">
        <f t="shared" si="3"/>
        <v>9076.7999999999993</v>
      </c>
      <c r="J9" s="463">
        <v>4</v>
      </c>
      <c r="K9" s="464">
        <v>0</v>
      </c>
      <c r="L9" s="462">
        <f t="shared" si="1"/>
        <v>1760</v>
      </c>
      <c r="M9" s="462">
        <v>1510</v>
      </c>
      <c r="N9" s="462">
        <v>250</v>
      </c>
      <c r="O9" s="462">
        <f t="shared" si="2"/>
        <v>4104.84</v>
      </c>
      <c r="Q9" s="480" t="s">
        <v>37</v>
      </c>
      <c r="R9" s="481">
        <v>3</v>
      </c>
      <c r="S9" s="481">
        <v>80.86</v>
      </c>
      <c r="T9" s="481">
        <v>35</v>
      </c>
    </row>
    <row r="10" spans="1:20" ht="22.5">
      <c r="A10" s="456">
        <v>9</v>
      </c>
      <c r="B10" s="466" t="s">
        <v>179</v>
      </c>
      <c r="C10" s="458">
        <v>9901442257</v>
      </c>
      <c r="D10" s="469" t="s">
        <v>180</v>
      </c>
      <c r="E10" s="460" t="s">
        <v>41</v>
      </c>
      <c r="F10" s="461">
        <v>31</v>
      </c>
      <c r="G10" s="462">
        <v>75.64</v>
      </c>
      <c r="H10" s="462">
        <f t="shared" si="0"/>
        <v>2344.84</v>
      </c>
      <c r="I10" s="462">
        <f t="shared" si="3"/>
        <v>9076.7999999999993</v>
      </c>
      <c r="J10" s="463">
        <v>4</v>
      </c>
      <c r="K10" s="464">
        <v>0</v>
      </c>
      <c r="L10" s="462">
        <f t="shared" si="1"/>
        <v>1760</v>
      </c>
      <c r="M10" s="462">
        <v>1510</v>
      </c>
      <c r="N10" s="462">
        <v>250</v>
      </c>
      <c r="O10" s="462">
        <f t="shared" si="2"/>
        <v>4104.84</v>
      </c>
      <c r="Q10" s="480" t="s">
        <v>227</v>
      </c>
      <c r="R10" s="481">
        <v>33</v>
      </c>
      <c r="S10" s="481">
        <v>80.86</v>
      </c>
      <c r="T10" s="481">
        <v>345</v>
      </c>
    </row>
    <row r="11" spans="1:20">
      <c r="A11" s="456">
        <v>10</v>
      </c>
      <c r="B11" s="457" t="s">
        <v>181</v>
      </c>
      <c r="C11" s="458">
        <v>9901443578</v>
      </c>
      <c r="D11" s="459" t="s">
        <v>182</v>
      </c>
      <c r="E11" s="460" t="s">
        <v>35</v>
      </c>
      <c r="F11" s="461">
        <v>31</v>
      </c>
      <c r="G11" s="462">
        <v>71.400000000000006</v>
      </c>
      <c r="H11" s="462">
        <f t="shared" si="0"/>
        <v>2213.4</v>
      </c>
      <c r="I11" s="462">
        <f t="shared" si="3"/>
        <v>8568</v>
      </c>
      <c r="J11" s="463">
        <v>4</v>
      </c>
      <c r="K11" s="464">
        <v>0</v>
      </c>
      <c r="L11" s="462">
        <f t="shared" si="1"/>
        <v>1760</v>
      </c>
      <c r="M11" s="462">
        <v>1510</v>
      </c>
      <c r="N11" s="462">
        <v>250</v>
      </c>
      <c r="O11" s="462">
        <f t="shared" si="2"/>
        <v>3973.4</v>
      </c>
    </row>
    <row r="12" spans="1:20">
      <c r="A12" s="456">
        <v>11</v>
      </c>
      <c r="B12" s="457" t="s">
        <v>183</v>
      </c>
      <c r="C12" s="458">
        <v>9901443273</v>
      </c>
      <c r="D12" s="459" t="s">
        <v>184</v>
      </c>
      <c r="E12" s="460" t="s">
        <v>42</v>
      </c>
      <c r="F12" s="461">
        <v>31</v>
      </c>
      <c r="G12" s="462">
        <v>75.64</v>
      </c>
      <c r="H12" s="462">
        <f t="shared" si="0"/>
        <v>2344.84</v>
      </c>
      <c r="I12" s="462">
        <f t="shared" si="3"/>
        <v>9076.7999999999993</v>
      </c>
      <c r="J12" s="463">
        <v>4</v>
      </c>
      <c r="K12" s="464">
        <v>0</v>
      </c>
      <c r="L12" s="462">
        <f t="shared" si="1"/>
        <v>1760</v>
      </c>
      <c r="M12" s="462">
        <v>1510</v>
      </c>
      <c r="N12" s="462">
        <v>250</v>
      </c>
      <c r="O12" s="462">
        <f t="shared" si="2"/>
        <v>4104.84</v>
      </c>
    </row>
    <row r="13" spans="1:20">
      <c r="A13" s="456">
        <v>12</v>
      </c>
      <c r="B13" s="466" t="s">
        <v>185</v>
      </c>
      <c r="C13" s="458">
        <v>9901443596</v>
      </c>
      <c r="D13" s="459" t="s">
        <v>186</v>
      </c>
      <c r="E13" s="460" t="s">
        <v>42</v>
      </c>
      <c r="F13" s="461">
        <v>31</v>
      </c>
      <c r="G13" s="462">
        <v>75.64</v>
      </c>
      <c r="H13" s="462">
        <f t="shared" si="0"/>
        <v>2344.84</v>
      </c>
      <c r="I13" s="462">
        <f t="shared" si="3"/>
        <v>9076.7999999999993</v>
      </c>
      <c r="J13" s="463">
        <v>4</v>
      </c>
      <c r="K13" s="464">
        <v>50</v>
      </c>
      <c r="L13" s="462">
        <f t="shared" si="1"/>
        <v>1760</v>
      </c>
      <c r="M13" s="462">
        <v>1510</v>
      </c>
      <c r="N13" s="462">
        <v>250</v>
      </c>
      <c r="O13" s="462">
        <f t="shared" si="2"/>
        <v>4154.84</v>
      </c>
    </row>
    <row r="14" spans="1:20">
      <c r="A14" s="456">
        <v>13</v>
      </c>
      <c r="B14" s="457" t="s">
        <v>187</v>
      </c>
      <c r="C14" s="458">
        <v>9901443448</v>
      </c>
      <c r="D14" s="459" t="s">
        <v>188</v>
      </c>
      <c r="E14" s="460" t="s">
        <v>41</v>
      </c>
      <c r="F14" s="461">
        <v>31</v>
      </c>
      <c r="G14" s="462">
        <v>75.64</v>
      </c>
      <c r="H14" s="462">
        <f t="shared" si="0"/>
        <v>2344.84</v>
      </c>
      <c r="I14" s="462">
        <f t="shared" si="3"/>
        <v>9076.7999999999993</v>
      </c>
      <c r="J14" s="463">
        <v>4</v>
      </c>
      <c r="K14" s="465"/>
      <c r="L14" s="462">
        <f t="shared" si="1"/>
        <v>1760</v>
      </c>
      <c r="M14" s="462">
        <v>1510</v>
      </c>
      <c r="N14" s="462">
        <v>250</v>
      </c>
      <c r="O14" s="462">
        <f t="shared" si="2"/>
        <v>4104.84</v>
      </c>
    </row>
    <row r="15" spans="1:20">
      <c r="A15" s="456">
        <v>14</v>
      </c>
      <c r="B15" s="457" t="s">
        <v>189</v>
      </c>
      <c r="C15" s="470">
        <v>9901484265</v>
      </c>
      <c r="D15" s="471" t="s">
        <v>190</v>
      </c>
      <c r="E15" s="471" t="s">
        <v>38</v>
      </c>
      <c r="F15" s="461">
        <v>31</v>
      </c>
      <c r="G15" s="462">
        <v>71.400000000000006</v>
      </c>
      <c r="H15" s="462">
        <f t="shared" si="0"/>
        <v>2213.4</v>
      </c>
      <c r="I15" s="462">
        <f t="shared" si="3"/>
        <v>8568</v>
      </c>
      <c r="J15" s="463">
        <v>4</v>
      </c>
      <c r="K15" s="464">
        <v>0</v>
      </c>
      <c r="L15" s="462">
        <f t="shared" si="1"/>
        <v>1760</v>
      </c>
      <c r="M15" s="462">
        <v>1510</v>
      </c>
      <c r="N15" s="462">
        <v>250</v>
      </c>
      <c r="O15" s="462">
        <f t="shared" si="2"/>
        <v>3973.4</v>
      </c>
    </row>
    <row r="16" spans="1:20">
      <c r="A16" s="456">
        <v>15</v>
      </c>
      <c r="B16" s="457" t="s">
        <v>191</v>
      </c>
      <c r="C16" s="458">
        <v>9901451166</v>
      </c>
      <c r="D16" s="459" t="s">
        <v>192</v>
      </c>
      <c r="E16" s="460" t="s">
        <v>35</v>
      </c>
      <c r="F16" s="461">
        <v>31</v>
      </c>
      <c r="G16" s="462">
        <v>71.400000000000006</v>
      </c>
      <c r="H16" s="462">
        <f t="shared" si="0"/>
        <v>2213.4</v>
      </c>
      <c r="I16" s="462">
        <f t="shared" si="3"/>
        <v>8568</v>
      </c>
      <c r="J16" s="463">
        <v>4</v>
      </c>
      <c r="K16" s="464">
        <v>0</v>
      </c>
      <c r="L16" s="462">
        <f t="shared" si="1"/>
        <v>1760</v>
      </c>
      <c r="M16" s="462">
        <v>1510</v>
      </c>
      <c r="N16" s="462">
        <v>250</v>
      </c>
      <c r="O16" s="462">
        <f t="shared" si="2"/>
        <v>3973.4</v>
      </c>
    </row>
    <row r="17" spans="1:15">
      <c r="A17" s="456">
        <v>16</v>
      </c>
      <c r="B17" s="457" t="s">
        <v>193</v>
      </c>
      <c r="C17" s="458">
        <v>9901150740</v>
      </c>
      <c r="D17" s="459" t="s">
        <v>194</v>
      </c>
      <c r="E17" s="460" t="s">
        <v>37</v>
      </c>
      <c r="F17" s="461">
        <v>31</v>
      </c>
      <c r="G17" s="462">
        <v>80.86</v>
      </c>
      <c r="H17" s="462">
        <f t="shared" si="0"/>
        <v>2506.66</v>
      </c>
      <c r="I17" s="462">
        <f t="shared" si="3"/>
        <v>9703.2000000000007</v>
      </c>
      <c r="J17" s="463">
        <v>4</v>
      </c>
      <c r="K17" s="465">
        <v>35</v>
      </c>
      <c r="L17" s="462">
        <f t="shared" si="1"/>
        <v>1760</v>
      </c>
      <c r="M17" s="462">
        <v>1510</v>
      </c>
      <c r="N17" s="462">
        <v>250</v>
      </c>
      <c r="O17" s="462">
        <f t="shared" si="2"/>
        <v>4301.66</v>
      </c>
    </row>
    <row r="18" spans="1:15">
      <c r="A18" s="456">
        <v>17</v>
      </c>
      <c r="B18" s="466" t="s">
        <v>195</v>
      </c>
      <c r="C18" s="458">
        <v>9901443863</v>
      </c>
      <c r="D18" s="459" t="s">
        <v>196</v>
      </c>
      <c r="E18" s="460" t="s">
        <v>38</v>
      </c>
      <c r="F18" s="461">
        <v>31</v>
      </c>
      <c r="G18" s="462">
        <v>71.400000000000006</v>
      </c>
      <c r="H18" s="462">
        <f t="shared" si="0"/>
        <v>2213.4</v>
      </c>
      <c r="I18" s="462">
        <f t="shared" si="3"/>
        <v>8568</v>
      </c>
      <c r="J18" s="463">
        <v>4</v>
      </c>
      <c r="K18" s="465">
        <v>50</v>
      </c>
      <c r="L18" s="462">
        <f t="shared" si="1"/>
        <v>1760</v>
      </c>
      <c r="M18" s="462">
        <v>1510</v>
      </c>
      <c r="N18" s="462">
        <v>250</v>
      </c>
      <c r="O18" s="462">
        <f t="shared" si="2"/>
        <v>4023.4</v>
      </c>
    </row>
    <row r="19" spans="1:15">
      <c r="A19" s="456">
        <v>18</v>
      </c>
      <c r="B19" s="457" t="s">
        <v>197</v>
      </c>
      <c r="C19" s="458">
        <v>9901185398</v>
      </c>
      <c r="D19" s="459" t="s">
        <v>198</v>
      </c>
      <c r="E19" s="460" t="s">
        <v>35</v>
      </c>
      <c r="F19" s="461">
        <v>31</v>
      </c>
      <c r="G19" s="462">
        <v>71.400000000000006</v>
      </c>
      <c r="H19" s="462">
        <f t="shared" si="0"/>
        <v>2213.4</v>
      </c>
      <c r="I19" s="462">
        <f t="shared" si="3"/>
        <v>8568</v>
      </c>
      <c r="J19" s="463">
        <v>4</v>
      </c>
      <c r="K19" s="464">
        <v>0</v>
      </c>
      <c r="L19" s="462">
        <f t="shared" si="1"/>
        <v>1760</v>
      </c>
      <c r="M19" s="462">
        <v>1510</v>
      </c>
      <c r="N19" s="462">
        <v>250</v>
      </c>
      <c r="O19" s="462">
        <f t="shared" si="2"/>
        <v>3973.4</v>
      </c>
    </row>
    <row r="20" spans="1:15">
      <c r="A20" s="456">
        <v>19</v>
      </c>
      <c r="B20" s="457" t="s">
        <v>199</v>
      </c>
      <c r="C20" s="458">
        <v>9901442225</v>
      </c>
      <c r="D20" s="459" t="s">
        <v>200</v>
      </c>
      <c r="E20" s="460" t="s">
        <v>41</v>
      </c>
      <c r="F20" s="461">
        <v>31</v>
      </c>
      <c r="G20" s="462">
        <v>75.64</v>
      </c>
      <c r="H20" s="462">
        <f t="shared" si="0"/>
        <v>2344.84</v>
      </c>
      <c r="I20" s="462">
        <f t="shared" si="3"/>
        <v>9076.7999999999993</v>
      </c>
      <c r="J20" s="463">
        <v>4</v>
      </c>
      <c r="K20" s="465">
        <v>50</v>
      </c>
      <c r="L20" s="462">
        <f t="shared" si="1"/>
        <v>1760</v>
      </c>
      <c r="M20" s="462">
        <v>1510</v>
      </c>
      <c r="N20" s="462">
        <v>250</v>
      </c>
      <c r="O20" s="462">
        <f t="shared" si="2"/>
        <v>4154.84</v>
      </c>
    </row>
    <row r="21" spans="1:15">
      <c r="A21" s="456">
        <v>20</v>
      </c>
      <c r="B21" s="466" t="s">
        <v>201</v>
      </c>
      <c r="C21" s="458">
        <v>9901443864</v>
      </c>
      <c r="D21" s="459" t="s">
        <v>202</v>
      </c>
      <c r="E21" s="460" t="s">
        <v>40</v>
      </c>
      <c r="F21" s="461">
        <v>31</v>
      </c>
      <c r="G21" s="462">
        <v>73.59</v>
      </c>
      <c r="H21" s="462">
        <f t="shared" si="0"/>
        <v>2281.29</v>
      </c>
      <c r="I21" s="462">
        <f t="shared" si="3"/>
        <v>8830.8000000000011</v>
      </c>
      <c r="J21" s="463">
        <v>4</v>
      </c>
      <c r="K21" s="464">
        <v>75</v>
      </c>
      <c r="L21" s="462">
        <f t="shared" si="1"/>
        <v>1760</v>
      </c>
      <c r="M21" s="462">
        <v>1510</v>
      </c>
      <c r="N21" s="462">
        <v>250</v>
      </c>
      <c r="O21" s="462">
        <f t="shared" si="2"/>
        <v>4116.29</v>
      </c>
    </row>
    <row r="22" spans="1:15">
      <c r="A22" s="456">
        <v>21</v>
      </c>
      <c r="B22" s="457" t="s">
        <v>203</v>
      </c>
      <c r="C22" s="458">
        <v>9901359806</v>
      </c>
      <c r="D22" s="459" t="s">
        <v>204</v>
      </c>
      <c r="E22" s="460" t="s">
        <v>37</v>
      </c>
      <c r="F22" s="461">
        <v>31</v>
      </c>
      <c r="G22" s="462">
        <v>80.86</v>
      </c>
      <c r="H22" s="462">
        <f t="shared" si="0"/>
        <v>2506.66</v>
      </c>
      <c r="I22" s="462">
        <f t="shared" si="3"/>
        <v>9703.2000000000007</v>
      </c>
      <c r="J22" s="463">
        <v>4</v>
      </c>
      <c r="K22" s="464">
        <v>0</v>
      </c>
      <c r="L22" s="462">
        <f t="shared" si="1"/>
        <v>1760</v>
      </c>
      <c r="M22" s="462">
        <v>1510</v>
      </c>
      <c r="N22" s="462">
        <v>250</v>
      </c>
      <c r="O22" s="462">
        <f t="shared" si="2"/>
        <v>4266.66</v>
      </c>
    </row>
    <row r="23" spans="1:15">
      <c r="A23" s="456">
        <v>22</v>
      </c>
      <c r="B23" s="457" t="s">
        <v>205</v>
      </c>
      <c r="C23" s="458">
        <v>9901443355</v>
      </c>
      <c r="D23" s="459" t="s">
        <v>206</v>
      </c>
      <c r="E23" s="460" t="s">
        <v>35</v>
      </c>
      <c r="F23" s="461">
        <v>31</v>
      </c>
      <c r="G23" s="462">
        <v>71.400000000000006</v>
      </c>
      <c r="H23" s="462">
        <f t="shared" si="0"/>
        <v>2213.4</v>
      </c>
      <c r="I23" s="462">
        <f t="shared" si="3"/>
        <v>8568</v>
      </c>
      <c r="J23" s="463">
        <v>4</v>
      </c>
      <c r="K23" s="464">
        <v>0</v>
      </c>
      <c r="L23" s="462">
        <f t="shared" si="1"/>
        <v>1760</v>
      </c>
      <c r="M23" s="462">
        <v>1510</v>
      </c>
      <c r="N23" s="462">
        <v>250</v>
      </c>
      <c r="O23" s="462">
        <f t="shared" si="2"/>
        <v>3973.4</v>
      </c>
    </row>
    <row r="24" spans="1:15">
      <c r="A24" s="456">
        <v>23</v>
      </c>
      <c r="B24" s="466" t="s">
        <v>207</v>
      </c>
      <c r="C24" s="458">
        <v>9901450918</v>
      </c>
      <c r="D24" s="459" t="s">
        <v>208</v>
      </c>
      <c r="E24" s="460" t="s">
        <v>35</v>
      </c>
      <c r="F24" s="461">
        <v>31</v>
      </c>
      <c r="G24" s="462">
        <v>71.400000000000006</v>
      </c>
      <c r="H24" s="462">
        <f t="shared" si="0"/>
        <v>2213.4</v>
      </c>
      <c r="I24" s="462">
        <f t="shared" si="3"/>
        <v>8568</v>
      </c>
      <c r="J24" s="463">
        <v>4</v>
      </c>
      <c r="K24" s="464">
        <v>0</v>
      </c>
      <c r="L24" s="462">
        <f t="shared" si="1"/>
        <v>1760</v>
      </c>
      <c r="M24" s="462">
        <v>1510</v>
      </c>
      <c r="N24" s="462">
        <v>250</v>
      </c>
      <c r="O24" s="462">
        <f t="shared" si="2"/>
        <v>3973.4</v>
      </c>
    </row>
    <row r="25" spans="1:15" ht="45">
      <c r="A25" s="456">
        <v>24</v>
      </c>
      <c r="B25" s="466" t="s">
        <v>209</v>
      </c>
      <c r="C25" s="458">
        <v>9901443325</v>
      </c>
      <c r="D25" s="472" t="s">
        <v>210</v>
      </c>
      <c r="E25" s="460" t="s">
        <v>35</v>
      </c>
      <c r="F25" s="461">
        <v>31</v>
      </c>
      <c r="G25" s="462">
        <v>71.400000000000006</v>
      </c>
      <c r="H25" s="462">
        <f t="shared" si="0"/>
        <v>2213.4</v>
      </c>
      <c r="I25" s="462">
        <f t="shared" si="3"/>
        <v>8568</v>
      </c>
      <c r="J25" s="463">
        <v>4</v>
      </c>
      <c r="K25" s="465"/>
      <c r="L25" s="462">
        <f t="shared" si="1"/>
        <v>1760</v>
      </c>
      <c r="M25" s="462">
        <v>1510</v>
      </c>
      <c r="N25" s="462">
        <v>250</v>
      </c>
      <c r="O25" s="462">
        <f t="shared" si="2"/>
        <v>3973.4</v>
      </c>
    </row>
    <row r="26" spans="1:15">
      <c r="A26" s="456">
        <v>25</v>
      </c>
      <c r="B26" s="466" t="s">
        <v>211</v>
      </c>
      <c r="C26" s="470">
        <v>9901482993</v>
      </c>
      <c r="D26" s="471" t="s">
        <v>212</v>
      </c>
      <c r="E26" s="471" t="s">
        <v>31</v>
      </c>
      <c r="F26" s="461">
        <v>31</v>
      </c>
      <c r="G26" s="462">
        <v>72.540000000000006</v>
      </c>
      <c r="H26" s="462">
        <f t="shared" si="0"/>
        <v>2248.7400000000002</v>
      </c>
      <c r="I26" s="462">
        <f t="shared" si="3"/>
        <v>8704.8000000000011</v>
      </c>
      <c r="J26" s="463">
        <v>4</v>
      </c>
      <c r="K26" s="464">
        <v>0</v>
      </c>
      <c r="L26" s="462">
        <f t="shared" si="1"/>
        <v>1760</v>
      </c>
      <c r="M26" s="462">
        <v>1510</v>
      </c>
      <c r="N26" s="462">
        <v>250</v>
      </c>
      <c r="O26" s="462">
        <f t="shared" si="2"/>
        <v>4008.7400000000002</v>
      </c>
    </row>
    <row r="27" spans="1:15">
      <c r="A27" s="456">
        <v>26</v>
      </c>
      <c r="B27" s="457" t="s">
        <v>213</v>
      </c>
      <c r="C27" s="458">
        <v>9901443628</v>
      </c>
      <c r="D27" s="459" t="s">
        <v>214</v>
      </c>
      <c r="E27" s="460" t="s">
        <v>35</v>
      </c>
      <c r="F27" s="461">
        <v>31</v>
      </c>
      <c r="G27" s="462">
        <v>71.400000000000006</v>
      </c>
      <c r="H27" s="462">
        <f t="shared" si="0"/>
        <v>2213.4</v>
      </c>
      <c r="I27" s="462">
        <f t="shared" si="3"/>
        <v>8568</v>
      </c>
      <c r="J27" s="463">
        <v>4</v>
      </c>
      <c r="K27" s="465"/>
      <c r="L27" s="462">
        <f t="shared" si="1"/>
        <v>1760</v>
      </c>
      <c r="M27" s="462">
        <v>1510</v>
      </c>
      <c r="N27" s="462">
        <v>250</v>
      </c>
      <c r="O27" s="462">
        <f t="shared" si="2"/>
        <v>3973.4</v>
      </c>
    </row>
    <row r="28" spans="1:15">
      <c r="A28" s="456">
        <v>27</v>
      </c>
      <c r="B28" s="457" t="s">
        <v>215</v>
      </c>
      <c r="C28" s="458">
        <v>9901442510</v>
      </c>
      <c r="D28" s="459" t="s">
        <v>216</v>
      </c>
      <c r="E28" s="460" t="s">
        <v>41</v>
      </c>
      <c r="F28" s="461">
        <v>31</v>
      </c>
      <c r="G28" s="462">
        <v>75.64</v>
      </c>
      <c r="H28" s="462">
        <f t="shared" si="0"/>
        <v>2344.84</v>
      </c>
      <c r="I28" s="462">
        <f t="shared" si="3"/>
        <v>9076.7999999999993</v>
      </c>
      <c r="J28" s="463">
        <v>4</v>
      </c>
      <c r="K28" s="464">
        <v>0</v>
      </c>
      <c r="L28" s="462">
        <f t="shared" si="1"/>
        <v>1760</v>
      </c>
      <c r="M28" s="462">
        <v>1510</v>
      </c>
      <c r="N28" s="462">
        <v>250</v>
      </c>
      <c r="O28" s="462">
        <f t="shared" si="2"/>
        <v>4104.84</v>
      </c>
    </row>
    <row r="29" spans="1:15">
      <c r="A29" s="456">
        <v>28</v>
      </c>
      <c r="B29" s="466" t="s">
        <v>217</v>
      </c>
      <c r="C29" s="473">
        <v>9901551706</v>
      </c>
      <c r="D29" s="471" t="s">
        <v>218</v>
      </c>
      <c r="E29" s="471" t="s">
        <v>35</v>
      </c>
      <c r="F29" s="461">
        <v>31</v>
      </c>
      <c r="G29" s="462">
        <v>71.400000000000006</v>
      </c>
      <c r="H29" s="462">
        <f t="shared" si="0"/>
        <v>2213.4</v>
      </c>
      <c r="I29" s="462">
        <f t="shared" si="3"/>
        <v>8568</v>
      </c>
      <c r="J29" s="463">
        <v>4</v>
      </c>
      <c r="K29" s="464">
        <v>0</v>
      </c>
      <c r="L29" s="462">
        <f t="shared" si="1"/>
        <v>1760</v>
      </c>
      <c r="M29" s="462">
        <v>1510</v>
      </c>
      <c r="N29" s="462">
        <v>250</v>
      </c>
      <c r="O29" s="462">
        <f t="shared" si="2"/>
        <v>3973.4</v>
      </c>
    </row>
    <row r="30" spans="1:15">
      <c r="A30" s="456">
        <v>29</v>
      </c>
      <c r="B30" s="466" t="s">
        <v>219</v>
      </c>
      <c r="C30" s="473">
        <v>9901552688</v>
      </c>
      <c r="D30" s="471" t="s">
        <v>220</v>
      </c>
      <c r="E30" s="471" t="s">
        <v>31</v>
      </c>
      <c r="F30" s="461">
        <v>31</v>
      </c>
      <c r="G30" s="462">
        <v>72.540000000000006</v>
      </c>
      <c r="H30" s="462">
        <f t="shared" si="0"/>
        <v>2248.7400000000002</v>
      </c>
      <c r="I30" s="462">
        <f t="shared" si="3"/>
        <v>8704.8000000000011</v>
      </c>
      <c r="J30" s="463">
        <v>4</v>
      </c>
      <c r="K30" s="464">
        <v>0</v>
      </c>
      <c r="L30" s="462">
        <f t="shared" si="1"/>
        <v>1760</v>
      </c>
      <c r="M30" s="462">
        <v>1510</v>
      </c>
      <c r="N30" s="462">
        <v>250</v>
      </c>
      <c r="O30" s="462">
        <f t="shared" si="2"/>
        <v>4008.7400000000002</v>
      </c>
    </row>
    <row r="31" spans="1:15">
      <c r="A31" s="456">
        <v>30</v>
      </c>
      <c r="B31" s="466"/>
      <c r="C31" s="474">
        <v>9901563296</v>
      </c>
      <c r="D31" s="471" t="s">
        <v>221</v>
      </c>
      <c r="E31" s="460" t="s">
        <v>35</v>
      </c>
      <c r="F31" s="461">
        <v>31</v>
      </c>
      <c r="G31" s="462">
        <v>71.400000000000006</v>
      </c>
      <c r="H31" s="462">
        <f t="shared" si="0"/>
        <v>2213.4</v>
      </c>
      <c r="I31" s="462">
        <f t="shared" si="3"/>
        <v>8568</v>
      </c>
      <c r="J31" s="463">
        <v>4</v>
      </c>
      <c r="K31" s="464"/>
      <c r="L31" s="462">
        <f t="shared" si="1"/>
        <v>1760</v>
      </c>
      <c r="M31" s="462">
        <v>1510</v>
      </c>
      <c r="N31" s="462">
        <v>250</v>
      </c>
      <c r="O31" s="462">
        <f t="shared" si="2"/>
        <v>3973.4</v>
      </c>
    </row>
    <row r="32" spans="1:15">
      <c r="A32" s="456">
        <v>31</v>
      </c>
      <c r="B32" s="466"/>
      <c r="C32" s="474">
        <v>9901570905</v>
      </c>
      <c r="D32" s="471" t="s">
        <v>222</v>
      </c>
      <c r="E32" s="460" t="s">
        <v>35</v>
      </c>
      <c r="F32" s="461">
        <v>31</v>
      </c>
      <c r="G32" s="462">
        <v>71.400000000000006</v>
      </c>
      <c r="H32" s="462">
        <f t="shared" si="0"/>
        <v>2213.4</v>
      </c>
      <c r="I32" s="462">
        <f t="shared" si="3"/>
        <v>8568</v>
      </c>
      <c r="J32" s="463">
        <v>4</v>
      </c>
      <c r="K32" s="464">
        <v>0</v>
      </c>
      <c r="L32" s="462">
        <f t="shared" si="1"/>
        <v>1760</v>
      </c>
      <c r="M32" s="462">
        <v>1510</v>
      </c>
      <c r="N32" s="462">
        <v>250</v>
      </c>
      <c r="O32" s="462">
        <f t="shared" si="2"/>
        <v>3973.4</v>
      </c>
    </row>
    <row r="33" spans="1:15">
      <c r="A33" s="456">
        <v>32</v>
      </c>
      <c r="B33" s="466"/>
      <c r="C33" s="474"/>
      <c r="D33" s="475" t="s">
        <v>223</v>
      </c>
      <c r="E33" s="460" t="s">
        <v>42</v>
      </c>
      <c r="F33" s="461"/>
      <c r="G33" s="462">
        <v>75.64</v>
      </c>
      <c r="H33" s="462">
        <f>+F33*G33</f>
        <v>0</v>
      </c>
      <c r="I33" s="462">
        <f t="shared" si="3"/>
        <v>9076.7999999999993</v>
      </c>
      <c r="J33" s="463">
        <v>4</v>
      </c>
      <c r="K33" s="464"/>
      <c r="L33" s="462"/>
      <c r="M33" s="462"/>
      <c r="N33" s="462"/>
      <c r="O33" s="462"/>
    </row>
    <row r="34" spans="1:15">
      <c r="A34" s="456">
        <v>32</v>
      </c>
      <c r="B34" s="466"/>
      <c r="C34" s="474">
        <v>9901575927</v>
      </c>
      <c r="D34" s="471" t="s">
        <v>224</v>
      </c>
      <c r="E34" s="460" t="s">
        <v>35</v>
      </c>
      <c r="F34" s="461">
        <v>31</v>
      </c>
      <c r="G34" s="462">
        <v>71.400000000000006</v>
      </c>
      <c r="H34" s="462">
        <f t="shared" si="0"/>
        <v>2213.4</v>
      </c>
      <c r="I34" s="462">
        <f t="shared" si="3"/>
        <v>8568</v>
      </c>
      <c r="J34" s="463">
        <v>4</v>
      </c>
      <c r="K34" s="464">
        <v>0</v>
      </c>
      <c r="L34" s="462">
        <f t="shared" si="1"/>
        <v>1760</v>
      </c>
      <c r="M34" s="462">
        <v>1510</v>
      </c>
      <c r="N34" s="462">
        <v>250</v>
      </c>
      <c r="O34" s="462">
        <f t="shared" si="2"/>
        <v>3973.4</v>
      </c>
    </row>
    <row r="35" spans="1:15">
      <c r="A35" s="456"/>
      <c r="B35" s="456"/>
      <c r="C35" s="476"/>
      <c r="D35" s="459"/>
      <c r="E35" s="460"/>
      <c r="F35" s="461"/>
      <c r="G35" s="477">
        <f t="shared" ref="G35:O35" si="4">SUM(G2:G34)</f>
        <v>2429.8200000000006</v>
      </c>
      <c r="H35" s="477">
        <f t="shared" si="4"/>
        <v>72979.579999999987</v>
      </c>
      <c r="I35" s="477">
        <f t="shared" si="4"/>
        <v>291578.39999999997</v>
      </c>
      <c r="J35" s="477">
        <f t="shared" si="4"/>
        <v>132</v>
      </c>
      <c r="K35" s="477">
        <f t="shared" si="4"/>
        <v>345</v>
      </c>
      <c r="L35" s="477">
        <f t="shared" si="4"/>
        <v>56320</v>
      </c>
      <c r="M35" s="477">
        <f t="shared" si="4"/>
        <v>48320</v>
      </c>
      <c r="N35" s="477">
        <f t="shared" si="4"/>
        <v>8000</v>
      </c>
      <c r="O35" s="478">
        <f t="shared" si="4"/>
        <v>129644.57999999994</v>
      </c>
    </row>
  </sheetData>
  <conditionalFormatting sqref="D14">
    <cfRule type="duplicateValues" dxfId="206" priority="4" stopIfTrue="1"/>
  </conditionalFormatting>
  <conditionalFormatting sqref="D14">
    <cfRule type="duplicateValues" dxfId="205" priority="5"/>
  </conditionalFormatting>
  <conditionalFormatting sqref="D35">
    <cfRule type="duplicateValues" dxfId="204" priority="6"/>
  </conditionalFormatting>
  <conditionalFormatting sqref="D35">
    <cfRule type="duplicateValues" dxfId="203" priority="7"/>
  </conditionalFormatting>
  <conditionalFormatting sqref="D35">
    <cfRule type="duplicateValues" dxfId="202" priority="8" stopIfTrue="1"/>
  </conditionalFormatting>
  <conditionalFormatting sqref="D16:D20 D1:D4 D6:D13">
    <cfRule type="duplicateValues" dxfId="201" priority="9" stopIfTrue="1"/>
  </conditionalFormatting>
  <conditionalFormatting sqref="D16:D20 D1:D4 D6:D13">
    <cfRule type="duplicateValues" dxfId="200" priority="10"/>
  </conditionalFormatting>
  <conditionalFormatting sqref="D16:D20 D1:D4 D6:D14">
    <cfRule type="duplicateValues" dxfId="199" priority="11"/>
  </conditionalFormatting>
  <conditionalFormatting sqref="D5">
    <cfRule type="duplicateValues" dxfId="198" priority="1" stopIfTrue="1"/>
  </conditionalFormatting>
  <conditionalFormatting sqref="D5">
    <cfRule type="duplicateValues" dxfId="197" priority="2"/>
  </conditionalFormatting>
  <conditionalFormatting sqref="D5">
    <cfRule type="duplicateValues" dxfId="196" priority="3"/>
  </conditionalFormatting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"/>
  <sheetViews>
    <sheetView topLeftCell="AG1" workbookViewId="0">
      <selection activeCell="AG4" sqref="AG4:AG6"/>
    </sheetView>
  </sheetViews>
  <sheetFormatPr baseColWidth="10" defaultRowHeight="15"/>
  <cols>
    <col min="31" max="31" width="21.28515625" customWidth="1"/>
    <col min="32" max="32" width="27.140625" bestFit="1" customWidth="1"/>
    <col min="33" max="33" width="17.85546875" customWidth="1"/>
    <col min="34" max="34" width="19" customWidth="1"/>
  </cols>
  <sheetData>
    <row r="1" spans="1:34" s="486" customFormat="1" ht="36">
      <c r="A1" s="448" t="s">
        <v>149</v>
      </c>
      <c r="B1" s="449" t="s">
        <v>150</v>
      </c>
      <c r="C1" s="450" t="s">
        <v>151</v>
      </c>
      <c r="D1" s="451" t="s">
        <v>152</v>
      </c>
      <c r="E1" s="451" t="s">
        <v>153</v>
      </c>
      <c r="F1" s="482" t="s">
        <v>269</v>
      </c>
      <c r="G1" s="483" t="s">
        <v>155</v>
      </c>
      <c r="H1" s="454" t="s">
        <v>156</v>
      </c>
      <c r="I1" s="454" t="s">
        <v>157</v>
      </c>
      <c r="J1" s="454" t="s">
        <v>158</v>
      </c>
      <c r="K1" s="453" t="s">
        <v>159</v>
      </c>
      <c r="L1" s="453" t="s">
        <v>225</v>
      </c>
      <c r="M1" s="455" t="s">
        <v>160</v>
      </c>
      <c r="N1" s="455" t="s">
        <v>161</v>
      </c>
      <c r="O1" s="455" t="s">
        <v>162</v>
      </c>
      <c r="P1" s="455" t="s">
        <v>232</v>
      </c>
      <c r="Q1" s="455" t="s">
        <v>233</v>
      </c>
      <c r="R1" s="455" t="s">
        <v>234</v>
      </c>
      <c r="S1" s="484" t="s">
        <v>235</v>
      </c>
      <c r="T1" s="484" t="s">
        <v>236</v>
      </c>
      <c r="U1" s="485" t="s">
        <v>237</v>
      </c>
      <c r="V1" s="485" t="s">
        <v>238</v>
      </c>
      <c r="W1" s="485" t="s">
        <v>239</v>
      </c>
      <c r="X1" s="485" t="s">
        <v>267</v>
      </c>
      <c r="Y1" s="485" t="s">
        <v>268</v>
      </c>
      <c r="Z1" s="485" t="s">
        <v>240</v>
      </c>
      <c r="AA1" s="485" t="s">
        <v>241</v>
      </c>
      <c r="AB1" s="455" t="s">
        <v>242</v>
      </c>
    </row>
    <row r="2" spans="1:34" s="486" customFormat="1" ht="12">
      <c r="A2" s="456">
        <v>1</v>
      </c>
      <c r="B2" s="466" t="s">
        <v>243</v>
      </c>
      <c r="C2" s="487">
        <v>9901443816</v>
      </c>
      <c r="D2" s="459" t="s">
        <v>244</v>
      </c>
      <c r="E2" s="460" t="s">
        <v>44</v>
      </c>
      <c r="F2" s="461">
        <v>31</v>
      </c>
      <c r="G2" s="462">
        <v>72.540000000000006</v>
      </c>
      <c r="H2" s="462">
        <f>+F2*G2</f>
        <v>2248.7400000000002</v>
      </c>
      <c r="I2" s="462">
        <f t="shared" ref="I2:I4" si="0">G2*120</f>
        <v>8704.8000000000011</v>
      </c>
      <c r="J2" s="463">
        <v>4</v>
      </c>
      <c r="K2" s="464">
        <v>75</v>
      </c>
      <c r="L2" s="462">
        <f>M2+N2</f>
        <v>1760</v>
      </c>
      <c r="M2" s="462">
        <v>1510</v>
      </c>
      <c r="N2" s="462">
        <v>250</v>
      </c>
      <c r="O2" s="462">
        <f>+H2+M2+N2+K2</f>
        <v>4083.7400000000002</v>
      </c>
      <c r="P2" s="488">
        <f t="shared" ref="P2:P4" si="1">(((G2*120)+(K2+M2)*4)/12)</f>
        <v>1253.7333333333333</v>
      </c>
      <c r="Q2" s="489">
        <f t="shared" ref="Q2:Q4" si="2">(((G2*30)+M2+K2)/365*120)</f>
        <v>1236.5589041095891</v>
      </c>
      <c r="R2" s="489">
        <f t="shared" ref="R2:R4" si="3">+(200/365)*120</f>
        <v>65.753424657534239</v>
      </c>
      <c r="S2" s="490">
        <f t="shared" ref="S2:S4" si="4">(((G2*120)+((K2+M2+N2)*4)))</f>
        <v>16044.800000000001</v>
      </c>
      <c r="T2" s="490">
        <f t="shared" ref="T2:T4" si="5">+S2+R2+Q2+P2</f>
        <v>18600.845662100459</v>
      </c>
      <c r="U2" s="491">
        <f>ROUND((((H2+K2+M2)*4.83)/100),2)</f>
        <v>185.17</v>
      </c>
      <c r="V2" s="462"/>
      <c r="W2" s="462">
        <v>10</v>
      </c>
      <c r="X2" s="462"/>
      <c r="Y2" s="462"/>
      <c r="Z2" s="462">
        <f>V2+W2+X2+Y2+U2</f>
        <v>195.17</v>
      </c>
      <c r="AA2" s="462">
        <f>+O2-Z2</f>
        <v>3888.57</v>
      </c>
      <c r="AB2" s="489">
        <v>1000</v>
      </c>
    </row>
    <row r="3" spans="1:34" s="486" customFormat="1">
      <c r="A3" s="456">
        <v>2</v>
      </c>
      <c r="B3" s="466"/>
      <c r="C3" s="487"/>
      <c r="D3" s="492"/>
      <c r="E3" s="460"/>
      <c r="F3" s="461"/>
      <c r="G3" s="462"/>
      <c r="H3" s="462"/>
      <c r="I3" s="462"/>
      <c r="J3" s="463"/>
      <c r="K3" s="464"/>
      <c r="L3" s="462"/>
      <c r="M3" s="462"/>
      <c r="N3" s="462"/>
      <c r="O3" s="462"/>
      <c r="P3" s="488"/>
      <c r="Q3" s="489"/>
      <c r="R3" s="489"/>
      <c r="S3" s="490">
        <f t="shared" si="4"/>
        <v>0</v>
      </c>
      <c r="T3" s="490">
        <f t="shared" si="5"/>
        <v>0</v>
      </c>
      <c r="U3" s="491">
        <f>ROUND((((H3+K3+M3)*4.83)/100),2)</f>
        <v>0</v>
      </c>
      <c r="V3" s="462"/>
      <c r="W3" s="462"/>
      <c r="X3" s="462"/>
      <c r="Y3" s="462"/>
      <c r="Z3" s="462">
        <f>V3+W3+X3+Y3+U3</f>
        <v>0</v>
      </c>
      <c r="AA3" s="462">
        <f>+O3-Z3</f>
        <v>0</v>
      </c>
      <c r="AB3" s="489">
        <v>1000</v>
      </c>
      <c r="AE3" s="479" t="s">
        <v>226</v>
      </c>
      <c r="AF3" t="s">
        <v>228</v>
      </c>
      <c r="AG3" t="s">
        <v>231</v>
      </c>
      <c r="AH3" t="s">
        <v>229</v>
      </c>
    </row>
    <row r="4" spans="1:34" s="486" customFormat="1">
      <c r="A4" s="456">
        <v>2</v>
      </c>
      <c r="B4" s="457" t="s">
        <v>245</v>
      </c>
      <c r="C4" s="487">
        <v>9901450923</v>
      </c>
      <c r="D4" s="459" t="s">
        <v>246</v>
      </c>
      <c r="E4" s="460" t="s">
        <v>35</v>
      </c>
      <c r="F4" s="461">
        <v>31</v>
      </c>
      <c r="G4" s="462">
        <v>71.400000000000006</v>
      </c>
      <c r="H4" s="462">
        <f>+F4*G4</f>
        <v>2213.4</v>
      </c>
      <c r="I4" s="462">
        <f t="shared" si="0"/>
        <v>8568</v>
      </c>
      <c r="J4" s="463">
        <v>4</v>
      </c>
      <c r="K4" s="464">
        <v>0</v>
      </c>
      <c r="L4" s="462">
        <f>M4+N4</f>
        <v>1760</v>
      </c>
      <c r="M4" s="462">
        <v>1510</v>
      </c>
      <c r="N4" s="462">
        <v>250</v>
      </c>
      <c r="O4" s="462">
        <f>+H4+M4+N4+K4</f>
        <v>3973.4</v>
      </c>
      <c r="P4" s="488">
        <f t="shared" si="1"/>
        <v>1217.3333333333333</v>
      </c>
      <c r="Q4" s="489">
        <f t="shared" si="2"/>
        <v>1200.6575342465753</v>
      </c>
      <c r="R4" s="489">
        <f t="shared" si="3"/>
        <v>65.753424657534239</v>
      </c>
      <c r="S4" s="490">
        <f t="shared" si="4"/>
        <v>15608</v>
      </c>
      <c r="T4" s="490">
        <f t="shared" si="5"/>
        <v>18091.744292237443</v>
      </c>
      <c r="U4" s="491">
        <f>ROUND((((H4+K4+M4)*4.83)/100),2)</f>
        <v>179.84</v>
      </c>
      <c r="V4" s="462"/>
      <c r="W4" s="462"/>
      <c r="X4" s="462"/>
      <c r="Y4" s="462"/>
      <c r="Z4" s="462">
        <f>V4+W4+X4+Y4+U4</f>
        <v>179.84</v>
      </c>
      <c r="AA4" s="462">
        <f>+O4-Z4</f>
        <v>3793.56</v>
      </c>
      <c r="AB4" s="489">
        <v>1000</v>
      </c>
      <c r="AE4" s="480" t="s">
        <v>44</v>
      </c>
      <c r="AF4" s="481">
        <v>7</v>
      </c>
      <c r="AG4" s="481">
        <v>350</v>
      </c>
      <c r="AH4" s="481">
        <v>72.540000000000006</v>
      </c>
    </row>
    <row r="5" spans="1:34" s="486" customFormat="1">
      <c r="A5" s="456">
        <v>1</v>
      </c>
      <c r="B5" s="466" t="s">
        <v>247</v>
      </c>
      <c r="C5" s="497">
        <v>9901443708</v>
      </c>
      <c r="D5" s="459" t="s">
        <v>248</v>
      </c>
      <c r="E5" s="460" t="s">
        <v>44</v>
      </c>
      <c r="F5" s="461">
        <v>31</v>
      </c>
      <c r="G5" s="462">
        <v>72.540000000000006</v>
      </c>
      <c r="H5" s="462">
        <f t="shared" ref="H5:H14" si="6">+F5*G5</f>
        <v>2248.7400000000002</v>
      </c>
      <c r="I5" s="462">
        <f t="shared" ref="I5:I14" si="7">G5*120</f>
        <v>8704.8000000000011</v>
      </c>
      <c r="J5" s="463">
        <v>4</v>
      </c>
      <c r="K5" s="464">
        <v>75</v>
      </c>
      <c r="L5" s="462">
        <f t="shared" ref="L5:L14" si="8">M5+N5</f>
        <v>1760</v>
      </c>
      <c r="M5" s="462">
        <v>1510</v>
      </c>
      <c r="N5" s="462">
        <v>250</v>
      </c>
      <c r="O5" s="462">
        <f t="shared" ref="O5:O14" si="9">+H5+M5+N5+K5</f>
        <v>4083.7400000000002</v>
      </c>
      <c r="P5" s="488">
        <f t="shared" ref="P5:P14" si="10">(((G5*120)+(K5+M5)*4)/12)</f>
        <v>1253.7333333333333</v>
      </c>
      <c r="Q5" s="489">
        <f t="shared" ref="Q5:Q14" si="11">(((G5*30)+M5+K5)/365*120)</f>
        <v>1236.5589041095891</v>
      </c>
      <c r="R5" s="489">
        <f t="shared" ref="R5:R14" si="12">+(200/365)*120</f>
        <v>65.753424657534239</v>
      </c>
      <c r="S5" s="490">
        <f t="shared" ref="S5:S14" si="13">(((G5*120)+((K5+M5+N5)*4)))</f>
        <v>16044.800000000001</v>
      </c>
      <c r="T5" s="490">
        <f t="shared" ref="T5:T14" si="14">+S5+R5+Q5+P5</f>
        <v>18600.845662100459</v>
      </c>
      <c r="U5" s="491">
        <f t="shared" ref="U5:U14" si="15">ROUND((((H5+K5+M5)*4.83)/100),2)</f>
        <v>185.17</v>
      </c>
      <c r="V5" s="462"/>
      <c r="W5" s="462">
        <v>10</v>
      </c>
      <c r="X5" s="462"/>
      <c r="Y5" s="462">
        <v>1495.67</v>
      </c>
      <c r="Z5" s="462">
        <f t="shared" ref="Z5:Z14" si="16">V5+W5+X5+Y5+U5</f>
        <v>1690.8400000000001</v>
      </c>
      <c r="AA5" s="462">
        <f t="shared" ref="AA5:AA14" si="17">+O5-Z5</f>
        <v>2392.9</v>
      </c>
      <c r="AB5" s="489">
        <v>1000</v>
      </c>
      <c r="AE5" s="480" t="s">
        <v>35</v>
      </c>
      <c r="AF5" s="481">
        <v>5</v>
      </c>
      <c r="AG5" s="481">
        <v>50</v>
      </c>
      <c r="AH5" s="481">
        <v>71.400000000000006</v>
      </c>
    </row>
    <row r="6" spans="1:34" s="486" customFormat="1">
      <c r="A6" s="456">
        <v>2</v>
      </c>
      <c r="B6" s="457" t="s">
        <v>249</v>
      </c>
      <c r="C6" s="497">
        <v>9901442866</v>
      </c>
      <c r="D6" s="459" t="s">
        <v>250</v>
      </c>
      <c r="E6" s="460" t="s">
        <v>44</v>
      </c>
      <c r="F6" s="461">
        <v>31</v>
      </c>
      <c r="G6" s="462">
        <v>72.540000000000006</v>
      </c>
      <c r="H6" s="462">
        <f t="shared" si="6"/>
        <v>2248.7400000000002</v>
      </c>
      <c r="I6" s="462">
        <f t="shared" si="7"/>
        <v>8704.8000000000011</v>
      </c>
      <c r="J6" s="463">
        <v>4</v>
      </c>
      <c r="K6" s="464">
        <v>0</v>
      </c>
      <c r="L6" s="462">
        <f t="shared" si="8"/>
        <v>1760</v>
      </c>
      <c r="M6" s="462">
        <v>1510</v>
      </c>
      <c r="N6" s="462">
        <v>250</v>
      </c>
      <c r="O6" s="462">
        <f t="shared" si="9"/>
        <v>4008.7400000000002</v>
      </c>
      <c r="P6" s="488">
        <f t="shared" si="10"/>
        <v>1228.7333333333333</v>
      </c>
      <c r="Q6" s="489">
        <f t="shared" si="11"/>
        <v>1211.9013698630138</v>
      </c>
      <c r="R6" s="489">
        <f t="shared" si="12"/>
        <v>65.753424657534239</v>
      </c>
      <c r="S6" s="490">
        <f t="shared" si="13"/>
        <v>15744.800000000001</v>
      </c>
      <c r="T6" s="490">
        <f t="shared" si="14"/>
        <v>18251.188127853882</v>
      </c>
      <c r="U6" s="491">
        <f t="shared" si="15"/>
        <v>181.55</v>
      </c>
      <c r="V6" s="462"/>
      <c r="W6" s="462"/>
      <c r="X6" s="462"/>
      <c r="Y6" s="462"/>
      <c r="Z6" s="462">
        <f t="shared" si="16"/>
        <v>181.55</v>
      </c>
      <c r="AA6" s="462">
        <f t="shared" si="17"/>
        <v>3827.19</v>
      </c>
      <c r="AB6" s="489">
        <v>1000</v>
      </c>
      <c r="AE6" s="480" t="s">
        <v>230</v>
      </c>
      <c r="AF6" s="481"/>
      <c r="AG6" s="481"/>
      <c r="AH6" s="481"/>
    </row>
    <row r="7" spans="1:34" s="486" customFormat="1">
      <c r="A7" s="456">
        <v>3</v>
      </c>
      <c r="B7" s="457" t="s">
        <v>251</v>
      </c>
      <c r="C7" s="497">
        <v>9901442201</v>
      </c>
      <c r="D7" s="459" t="s">
        <v>252</v>
      </c>
      <c r="E7" s="460" t="s">
        <v>44</v>
      </c>
      <c r="F7" s="461">
        <v>31</v>
      </c>
      <c r="G7" s="462">
        <v>72.540000000000006</v>
      </c>
      <c r="H7" s="462">
        <f t="shared" si="6"/>
        <v>2248.7400000000002</v>
      </c>
      <c r="I7" s="462">
        <f t="shared" si="7"/>
        <v>8704.8000000000011</v>
      </c>
      <c r="J7" s="463">
        <v>4</v>
      </c>
      <c r="K7" s="465">
        <v>75</v>
      </c>
      <c r="L7" s="462">
        <f t="shared" si="8"/>
        <v>1760</v>
      </c>
      <c r="M7" s="462">
        <v>1510</v>
      </c>
      <c r="N7" s="462">
        <v>250</v>
      </c>
      <c r="O7" s="462">
        <f t="shared" si="9"/>
        <v>4083.7400000000002</v>
      </c>
      <c r="P7" s="488">
        <f t="shared" si="10"/>
        <v>1253.7333333333333</v>
      </c>
      <c r="Q7" s="489">
        <f t="shared" si="11"/>
        <v>1236.5589041095891</v>
      </c>
      <c r="R7" s="489">
        <f t="shared" si="12"/>
        <v>65.753424657534239</v>
      </c>
      <c r="S7" s="490">
        <f t="shared" si="13"/>
        <v>16044.800000000001</v>
      </c>
      <c r="T7" s="490">
        <f t="shared" si="14"/>
        <v>18600.845662100459</v>
      </c>
      <c r="U7" s="491">
        <f t="shared" si="15"/>
        <v>185.17</v>
      </c>
      <c r="V7" s="462"/>
      <c r="W7" s="462"/>
      <c r="X7" s="462"/>
      <c r="Y7" s="462"/>
      <c r="Z7" s="462">
        <f t="shared" si="16"/>
        <v>185.17</v>
      </c>
      <c r="AA7" s="462">
        <f t="shared" si="17"/>
        <v>3898.57</v>
      </c>
      <c r="AB7" s="489">
        <v>1000</v>
      </c>
      <c r="AE7" s="480" t="s">
        <v>227</v>
      </c>
      <c r="AF7" s="481">
        <v>12</v>
      </c>
      <c r="AG7" s="481">
        <v>400</v>
      </c>
      <c r="AH7" s="481">
        <v>72.540000000000006</v>
      </c>
    </row>
    <row r="8" spans="1:34" s="486" customFormat="1">
      <c r="A8" s="456">
        <v>4</v>
      </c>
      <c r="B8" s="466" t="s">
        <v>253</v>
      </c>
      <c r="C8" s="497">
        <v>9901442804</v>
      </c>
      <c r="D8" s="459" t="s">
        <v>254</v>
      </c>
      <c r="E8" s="460" t="s">
        <v>44</v>
      </c>
      <c r="F8" s="461">
        <v>31</v>
      </c>
      <c r="G8" s="462">
        <v>72.540000000000006</v>
      </c>
      <c r="H8" s="462">
        <f t="shared" si="6"/>
        <v>2248.7400000000002</v>
      </c>
      <c r="I8" s="462">
        <f t="shared" si="7"/>
        <v>8704.8000000000011</v>
      </c>
      <c r="J8" s="463">
        <v>4</v>
      </c>
      <c r="K8" s="464">
        <v>50</v>
      </c>
      <c r="L8" s="462">
        <f t="shared" si="8"/>
        <v>1760</v>
      </c>
      <c r="M8" s="462">
        <v>1510</v>
      </c>
      <c r="N8" s="462">
        <v>250</v>
      </c>
      <c r="O8" s="462">
        <f t="shared" si="9"/>
        <v>4058.7400000000002</v>
      </c>
      <c r="P8" s="488">
        <f t="shared" si="10"/>
        <v>1245.4000000000001</v>
      </c>
      <c r="Q8" s="489">
        <f t="shared" si="11"/>
        <v>1228.3397260273973</v>
      </c>
      <c r="R8" s="489">
        <f t="shared" si="12"/>
        <v>65.753424657534239</v>
      </c>
      <c r="S8" s="490">
        <f t="shared" si="13"/>
        <v>15944.800000000001</v>
      </c>
      <c r="T8" s="490">
        <f t="shared" si="14"/>
        <v>18484.293150684935</v>
      </c>
      <c r="U8" s="491">
        <f t="shared" si="15"/>
        <v>183.96</v>
      </c>
      <c r="V8" s="498">
        <f>(O8-N8)*11%</f>
        <v>418.96140000000003</v>
      </c>
      <c r="W8" s="462"/>
      <c r="X8" s="462"/>
      <c r="Y8" s="462"/>
      <c r="Z8" s="462">
        <f t="shared" si="16"/>
        <v>602.92140000000006</v>
      </c>
      <c r="AA8" s="462">
        <f t="shared" si="17"/>
        <v>3455.8186000000001</v>
      </c>
      <c r="AB8" s="489">
        <v>1000</v>
      </c>
      <c r="AE8"/>
      <c r="AF8"/>
      <c r="AG8"/>
    </row>
    <row r="9" spans="1:34" s="486" customFormat="1">
      <c r="A9" s="456">
        <v>5</v>
      </c>
      <c r="B9" s="457" t="s">
        <v>255</v>
      </c>
      <c r="C9" s="497">
        <v>9901442805</v>
      </c>
      <c r="D9" s="459" t="s">
        <v>256</v>
      </c>
      <c r="E9" s="460" t="s">
        <v>44</v>
      </c>
      <c r="F9" s="461">
        <v>31</v>
      </c>
      <c r="G9" s="462">
        <v>72.540000000000006</v>
      </c>
      <c r="H9" s="462">
        <f t="shared" si="6"/>
        <v>2248.7400000000002</v>
      </c>
      <c r="I9" s="462">
        <f t="shared" si="7"/>
        <v>8704.8000000000011</v>
      </c>
      <c r="J9" s="463">
        <v>4</v>
      </c>
      <c r="K9" s="464">
        <v>75</v>
      </c>
      <c r="L9" s="462">
        <f t="shared" si="8"/>
        <v>1760</v>
      </c>
      <c r="M9" s="462">
        <v>1510</v>
      </c>
      <c r="N9" s="462">
        <v>250</v>
      </c>
      <c r="O9" s="462">
        <f t="shared" si="9"/>
        <v>4083.7400000000002</v>
      </c>
      <c r="P9" s="488">
        <f t="shared" si="10"/>
        <v>1253.7333333333333</v>
      </c>
      <c r="Q9" s="489">
        <f t="shared" si="11"/>
        <v>1236.5589041095891</v>
      </c>
      <c r="R9" s="489">
        <f t="shared" si="12"/>
        <v>65.753424657534239</v>
      </c>
      <c r="S9" s="490">
        <f t="shared" si="13"/>
        <v>16044.800000000001</v>
      </c>
      <c r="T9" s="490">
        <f t="shared" si="14"/>
        <v>18600.845662100459</v>
      </c>
      <c r="U9" s="491">
        <f t="shared" si="15"/>
        <v>185.17</v>
      </c>
      <c r="V9" s="498">
        <f>(O9-N9)*11%</f>
        <v>421.71140000000003</v>
      </c>
      <c r="W9" s="498">
        <v>10</v>
      </c>
      <c r="X9" s="462"/>
      <c r="Y9" s="462">
        <v>1770.67</v>
      </c>
      <c r="Z9" s="462">
        <f t="shared" si="16"/>
        <v>2387.5514000000003</v>
      </c>
      <c r="AA9" s="462">
        <f t="shared" si="17"/>
        <v>1696.1886</v>
      </c>
      <c r="AB9" s="489">
        <v>1000</v>
      </c>
      <c r="AE9"/>
      <c r="AF9"/>
      <c r="AG9"/>
    </row>
    <row r="10" spans="1:34" s="486" customFormat="1">
      <c r="A10" s="456">
        <v>6</v>
      </c>
      <c r="B10" s="466" t="s">
        <v>257</v>
      </c>
      <c r="C10" s="497">
        <v>9901443598</v>
      </c>
      <c r="D10" s="459" t="s">
        <v>258</v>
      </c>
      <c r="E10" s="460" t="s">
        <v>35</v>
      </c>
      <c r="F10" s="461">
        <v>31</v>
      </c>
      <c r="G10" s="462">
        <v>71.400000000000006</v>
      </c>
      <c r="H10" s="462">
        <f t="shared" si="6"/>
        <v>2213.4</v>
      </c>
      <c r="I10" s="462">
        <f t="shared" si="7"/>
        <v>8568</v>
      </c>
      <c r="J10" s="463">
        <v>4</v>
      </c>
      <c r="K10" s="464">
        <v>50</v>
      </c>
      <c r="L10" s="462">
        <f t="shared" si="8"/>
        <v>1760</v>
      </c>
      <c r="M10" s="462">
        <v>1510</v>
      </c>
      <c r="N10" s="462">
        <v>250</v>
      </c>
      <c r="O10" s="462">
        <f t="shared" si="9"/>
        <v>4023.4</v>
      </c>
      <c r="P10" s="488">
        <f t="shared" si="10"/>
        <v>1234</v>
      </c>
      <c r="Q10" s="489">
        <f t="shared" si="11"/>
        <v>1217.0958904109589</v>
      </c>
      <c r="R10" s="489">
        <f t="shared" si="12"/>
        <v>65.753424657534239</v>
      </c>
      <c r="S10" s="490">
        <f t="shared" si="13"/>
        <v>15808</v>
      </c>
      <c r="T10" s="490">
        <f t="shared" si="14"/>
        <v>18324.849315068492</v>
      </c>
      <c r="U10" s="491">
        <f t="shared" si="15"/>
        <v>182.26</v>
      </c>
      <c r="V10" s="498">
        <f>(O10-N10)*11%</f>
        <v>415.07400000000001</v>
      </c>
      <c r="W10" s="462">
        <v>10</v>
      </c>
      <c r="X10" s="462"/>
      <c r="Y10" s="462"/>
      <c r="Z10" s="462">
        <f t="shared" si="16"/>
        <v>607.33400000000006</v>
      </c>
      <c r="AA10" s="462">
        <f t="shared" si="17"/>
        <v>3416.0659999999998</v>
      </c>
      <c r="AB10" s="489">
        <v>1000</v>
      </c>
      <c r="AE10"/>
      <c r="AF10"/>
      <c r="AG10"/>
    </row>
    <row r="11" spans="1:34" s="486" customFormat="1">
      <c r="A11" s="456">
        <v>7</v>
      </c>
      <c r="B11" s="457" t="s">
        <v>259</v>
      </c>
      <c r="C11" s="497">
        <v>9901443057</v>
      </c>
      <c r="D11" s="459" t="s">
        <v>260</v>
      </c>
      <c r="E11" s="460" t="s">
        <v>35</v>
      </c>
      <c r="F11" s="461">
        <v>31</v>
      </c>
      <c r="G11" s="462">
        <v>71.400000000000006</v>
      </c>
      <c r="H11" s="462">
        <f t="shared" si="6"/>
        <v>2213.4</v>
      </c>
      <c r="I11" s="462">
        <f t="shared" si="7"/>
        <v>8568</v>
      </c>
      <c r="J11" s="463">
        <v>4</v>
      </c>
      <c r="K11" s="464">
        <v>0</v>
      </c>
      <c r="L11" s="462">
        <f t="shared" si="8"/>
        <v>1760</v>
      </c>
      <c r="M11" s="462">
        <v>1510</v>
      </c>
      <c r="N11" s="462">
        <v>250</v>
      </c>
      <c r="O11" s="462">
        <f t="shared" si="9"/>
        <v>3973.4</v>
      </c>
      <c r="P11" s="488">
        <f t="shared" si="10"/>
        <v>1217.3333333333333</v>
      </c>
      <c r="Q11" s="489">
        <f t="shared" si="11"/>
        <v>1200.6575342465753</v>
      </c>
      <c r="R11" s="489">
        <f t="shared" si="12"/>
        <v>65.753424657534239</v>
      </c>
      <c r="S11" s="490">
        <f t="shared" si="13"/>
        <v>15608</v>
      </c>
      <c r="T11" s="490">
        <f t="shared" si="14"/>
        <v>18091.744292237443</v>
      </c>
      <c r="U11" s="491">
        <f t="shared" si="15"/>
        <v>179.84</v>
      </c>
      <c r="V11" s="462"/>
      <c r="W11" s="462"/>
      <c r="X11" s="462"/>
      <c r="Y11" s="462">
        <v>1043.92</v>
      </c>
      <c r="Z11" s="462">
        <f t="shared" si="16"/>
        <v>1223.76</v>
      </c>
      <c r="AA11" s="462">
        <f t="shared" si="17"/>
        <v>2749.6400000000003</v>
      </c>
      <c r="AB11" s="489">
        <v>1000</v>
      </c>
      <c r="AE11"/>
      <c r="AF11"/>
      <c r="AG11"/>
    </row>
    <row r="12" spans="1:34" s="486" customFormat="1">
      <c r="A12" s="456">
        <v>8</v>
      </c>
      <c r="B12" s="457" t="s">
        <v>261</v>
      </c>
      <c r="C12" s="497">
        <v>9901443717</v>
      </c>
      <c r="D12" s="459" t="s">
        <v>262</v>
      </c>
      <c r="E12" s="460" t="s">
        <v>44</v>
      </c>
      <c r="F12" s="461">
        <v>31</v>
      </c>
      <c r="G12" s="462">
        <v>72.540000000000006</v>
      </c>
      <c r="H12" s="462">
        <f t="shared" si="6"/>
        <v>2248.7400000000002</v>
      </c>
      <c r="I12" s="462">
        <f t="shared" si="7"/>
        <v>8704.8000000000011</v>
      </c>
      <c r="J12" s="463">
        <v>4</v>
      </c>
      <c r="K12" s="464">
        <v>0</v>
      </c>
      <c r="L12" s="462">
        <f t="shared" si="8"/>
        <v>1760</v>
      </c>
      <c r="M12" s="462">
        <v>1510</v>
      </c>
      <c r="N12" s="462">
        <v>250</v>
      </c>
      <c r="O12" s="462">
        <f t="shared" si="9"/>
        <v>4008.7400000000002</v>
      </c>
      <c r="P12" s="488">
        <f t="shared" si="10"/>
        <v>1228.7333333333333</v>
      </c>
      <c r="Q12" s="489">
        <f t="shared" si="11"/>
        <v>1211.9013698630138</v>
      </c>
      <c r="R12" s="489">
        <f t="shared" si="12"/>
        <v>65.753424657534239</v>
      </c>
      <c r="S12" s="490">
        <f t="shared" si="13"/>
        <v>15744.800000000001</v>
      </c>
      <c r="T12" s="490">
        <f t="shared" si="14"/>
        <v>18251.188127853882</v>
      </c>
      <c r="U12" s="491">
        <f t="shared" si="15"/>
        <v>181.55</v>
      </c>
      <c r="V12" s="462"/>
      <c r="W12" s="462"/>
      <c r="X12" s="462"/>
      <c r="Y12" s="462">
        <v>1249.19</v>
      </c>
      <c r="Z12" s="462">
        <f t="shared" si="16"/>
        <v>1430.74</v>
      </c>
      <c r="AA12" s="462">
        <f t="shared" si="17"/>
        <v>2578</v>
      </c>
      <c r="AB12" s="489">
        <v>1000</v>
      </c>
      <c r="AE12"/>
      <c r="AF12"/>
      <c r="AG12"/>
    </row>
    <row r="13" spans="1:34" s="486" customFormat="1">
      <c r="A13" s="456">
        <v>9</v>
      </c>
      <c r="B13" s="466" t="s">
        <v>263</v>
      </c>
      <c r="C13" s="497">
        <v>9901450832</v>
      </c>
      <c r="D13" s="459" t="s">
        <v>264</v>
      </c>
      <c r="E13" s="460" t="s">
        <v>35</v>
      </c>
      <c r="F13" s="461">
        <v>31</v>
      </c>
      <c r="G13" s="462">
        <v>71.400000000000006</v>
      </c>
      <c r="H13" s="462">
        <f t="shared" si="6"/>
        <v>2213.4</v>
      </c>
      <c r="I13" s="462">
        <f t="shared" si="7"/>
        <v>8568</v>
      </c>
      <c r="J13" s="463">
        <v>4</v>
      </c>
      <c r="K13" s="464">
        <v>0</v>
      </c>
      <c r="L13" s="462">
        <f t="shared" si="8"/>
        <v>1760</v>
      </c>
      <c r="M13" s="462">
        <v>1510</v>
      </c>
      <c r="N13" s="462">
        <v>250</v>
      </c>
      <c r="O13" s="462">
        <f t="shared" si="9"/>
        <v>3973.4</v>
      </c>
      <c r="P13" s="488">
        <f t="shared" si="10"/>
        <v>1217.3333333333333</v>
      </c>
      <c r="Q13" s="489">
        <f t="shared" si="11"/>
        <v>1200.6575342465753</v>
      </c>
      <c r="R13" s="489">
        <f t="shared" si="12"/>
        <v>65.753424657534239</v>
      </c>
      <c r="S13" s="490">
        <f t="shared" si="13"/>
        <v>15608</v>
      </c>
      <c r="T13" s="490">
        <f t="shared" si="14"/>
        <v>18091.744292237443</v>
      </c>
      <c r="U13" s="491">
        <f t="shared" si="15"/>
        <v>179.84</v>
      </c>
      <c r="V13" s="498">
        <f>(O13-N13)*11%</f>
        <v>409.57400000000001</v>
      </c>
      <c r="W13" s="462"/>
      <c r="X13" s="462"/>
      <c r="Y13" s="462">
        <v>1786.07</v>
      </c>
      <c r="Z13" s="462">
        <f t="shared" si="16"/>
        <v>2375.4839999999999</v>
      </c>
      <c r="AA13" s="462">
        <f t="shared" si="17"/>
        <v>1597.9160000000002</v>
      </c>
      <c r="AB13" s="489">
        <v>1000</v>
      </c>
      <c r="AE13"/>
      <c r="AF13"/>
      <c r="AG13"/>
    </row>
    <row r="14" spans="1:34" s="486" customFormat="1">
      <c r="A14" s="456">
        <v>10</v>
      </c>
      <c r="B14" s="457" t="s">
        <v>265</v>
      </c>
      <c r="C14" s="4">
        <v>9901442867</v>
      </c>
      <c r="D14" s="459" t="s">
        <v>266</v>
      </c>
      <c r="E14" s="460" t="s">
        <v>35</v>
      </c>
      <c r="F14" s="461">
        <v>31</v>
      </c>
      <c r="G14" s="462">
        <v>71.400000000000006</v>
      </c>
      <c r="H14" s="462">
        <f t="shared" si="6"/>
        <v>2213.4</v>
      </c>
      <c r="I14" s="462">
        <f t="shared" si="7"/>
        <v>8568</v>
      </c>
      <c r="J14" s="463">
        <v>4</v>
      </c>
      <c r="K14" s="464">
        <v>0</v>
      </c>
      <c r="L14" s="462">
        <f t="shared" si="8"/>
        <v>1760</v>
      </c>
      <c r="M14" s="462">
        <v>1510</v>
      </c>
      <c r="N14" s="462">
        <v>250</v>
      </c>
      <c r="O14" s="462">
        <f t="shared" si="9"/>
        <v>3973.4</v>
      </c>
      <c r="P14" s="488">
        <f t="shared" si="10"/>
        <v>1217.3333333333333</v>
      </c>
      <c r="Q14" s="489">
        <f t="shared" si="11"/>
        <v>1200.6575342465753</v>
      </c>
      <c r="R14" s="489">
        <f t="shared" si="12"/>
        <v>65.753424657534239</v>
      </c>
      <c r="S14" s="490">
        <f t="shared" si="13"/>
        <v>15608</v>
      </c>
      <c r="T14" s="490">
        <f t="shared" si="14"/>
        <v>18091.744292237443</v>
      </c>
      <c r="U14" s="491">
        <f t="shared" si="15"/>
        <v>179.84</v>
      </c>
      <c r="V14" s="462"/>
      <c r="W14" s="462"/>
      <c r="X14" s="462"/>
      <c r="Y14" s="462"/>
      <c r="Z14" s="462">
        <f t="shared" si="16"/>
        <v>179.84</v>
      </c>
      <c r="AA14" s="462">
        <f t="shared" si="17"/>
        <v>3793.56</v>
      </c>
      <c r="AB14" s="489">
        <v>1000</v>
      </c>
      <c r="AE14"/>
      <c r="AF14"/>
      <c r="AG14"/>
    </row>
    <row r="15" spans="1:34" s="486" customFormat="1">
      <c r="A15" s="499"/>
      <c r="B15" s="500"/>
      <c r="C15" s="501"/>
      <c r="D15" s="456"/>
      <c r="E15" s="456"/>
      <c r="F15" s="502"/>
      <c r="G15" s="503">
        <f t="shared" ref="G15:AB15" si="18">SUM(G5:G14)</f>
        <v>720.83999999999992</v>
      </c>
      <c r="H15" s="503">
        <f t="shared" si="18"/>
        <v>22346.040000000005</v>
      </c>
      <c r="I15" s="503">
        <f t="shared" si="18"/>
        <v>86500.800000000003</v>
      </c>
      <c r="J15" s="503">
        <f t="shared" si="18"/>
        <v>40</v>
      </c>
      <c r="K15" s="503">
        <f>SUM(K5:K14)</f>
        <v>325</v>
      </c>
      <c r="L15" s="503">
        <f t="shared" si="18"/>
        <v>17600</v>
      </c>
      <c r="M15" s="503">
        <f>SUM(M5:M14)</f>
        <v>15100</v>
      </c>
      <c r="N15" s="503">
        <f>SUM(N5:N14)</f>
        <v>2500</v>
      </c>
      <c r="O15" s="504">
        <f t="shared" si="18"/>
        <v>40271.040000000008</v>
      </c>
      <c r="P15" s="503">
        <f t="shared" si="18"/>
        <v>12350.066666666669</v>
      </c>
      <c r="Q15" s="503">
        <f t="shared" si="18"/>
        <v>12180.887671232875</v>
      </c>
      <c r="R15" s="503">
        <f t="shared" si="18"/>
        <v>657.53424657534231</v>
      </c>
      <c r="S15" s="503">
        <f t="shared" si="18"/>
        <v>158200.79999999999</v>
      </c>
      <c r="T15" s="503">
        <f t="shared" si="18"/>
        <v>183389.28858447491</v>
      </c>
      <c r="U15" s="503">
        <f t="shared" si="18"/>
        <v>1824.3499999999997</v>
      </c>
      <c r="V15" s="503">
        <f t="shared" si="18"/>
        <v>1665.3208000000002</v>
      </c>
      <c r="W15" s="503">
        <f t="shared" si="18"/>
        <v>30</v>
      </c>
      <c r="X15" s="503">
        <f t="shared" si="18"/>
        <v>0</v>
      </c>
      <c r="Y15" s="503">
        <f t="shared" si="18"/>
        <v>7345.52</v>
      </c>
      <c r="Z15" s="503">
        <f t="shared" si="18"/>
        <v>10865.190800000002</v>
      </c>
      <c r="AA15" s="503">
        <f t="shared" si="18"/>
        <v>29405.849200000001</v>
      </c>
      <c r="AB15" s="503">
        <f t="shared" si="18"/>
        <v>10000</v>
      </c>
      <c r="AC15" s="493"/>
      <c r="AE15"/>
      <c r="AF15"/>
      <c r="AG15"/>
    </row>
    <row r="23" spans="7:28">
      <c r="G23">
        <v>219.58</v>
      </c>
      <c r="H23">
        <v>4462.1400000000003</v>
      </c>
      <c r="I23">
        <v>17272.800000000003</v>
      </c>
      <c r="J23">
        <v>12</v>
      </c>
      <c r="K23">
        <v>75</v>
      </c>
      <c r="L23">
        <v>3520</v>
      </c>
      <c r="M23">
        <v>3020</v>
      </c>
      <c r="N23">
        <v>500</v>
      </c>
      <c r="O23">
        <v>8057.14</v>
      </c>
      <c r="P23">
        <v>3227.4666666666662</v>
      </c>
      <c r="Q23">
        <v>3183.2547945205479</v>
      </c>
      <c r="R23">
        <v>197.2602739726027</v>
      </c>
      <c r="S23">
        <v>40729.599999999999</v>
      </c>
      <c r="T23">
        <v>47337.581735159823</v>
      </c>
      <c r="U23">
        <v>365.01</v>
      </c>
      <c r="V23">
        <v>0</v>
      </c>
      <c r="W23">
        <v>10</v>
      </c>
      <c r="X23">
        <v>0</v>
      </c>
      <c r="Y23">
        <v>0</v>
      </c>
      <c r="Z23">
        <v>375.01</v>
      </c>
      <c r="AA23">
        <v>7682.13</v>
      </c>
      <c r="AB23">
        <v>3000</v>
      </c>
    </row>
  </sheetData>
  <conditionalFormatting sqref="D1">
    <cfRule type="duplicateValues" dxfId="195" priority="8"/>
  </conditionalFormatting>
  <conditionalFormatting sqref="D1">
    <cfRule type="duplicateValues" dxfId="194" priority="9" stopIfTrue="1"/>
  </conditionalFormatting>
  <conditionalFormatting sqref="D1">
    <cfRule type="duplicateValues" dxfId="193" priority="10"/>
  </conditionalFormatting>
  <conditionalFormatting sqref="D4">
    <cfRule type="duplicateValues" dxfId="192" priority="4"/>
  </conditionalFormatting>
  <conditionalFormatting sqref="D4">
    <cfRule type="duplicateValues" dxfId="191" priority="5"/>
  </conditionalFormatting>
  <conditionalFormatting sqref="D4">
    <cfRule type="duplicateValues" dxfId="190" priority="6" stopIfTrue="1"/>
  </conditionalFormatting>
  <conditionalFormatting sqref="D5:D14 D2">
    <cfRule type="duplicateValues" dxfId="189" priority="15" stopIfTrue="1"/>
  </conditionalFormatting>
  <conditionalFormatting sqref="D5:D14 D2">
    <cfRule type="duplicateValues" dxfId="188" priority="17"/>
  </conditionalFormatting>
  <conditionalFormatting sqref="D5:D14 D2">
    <cfRule type="duplicateValues" dxfId="187" priority="18"/>
  </conditionalFormatting>
  <conditionalFormatting sqref="D3">
    <cfRule type="duplicateValues" dxfId="186" priority="1" stopIfTrue="1"/>
  </conditionalFormatting>
  <conditionalFormatting sqref="D3">
    <cfRule type="duplicateValues" dxfId="185" priority="2"/>
  </conditionalFormatting>
  <conditionalFormatting sqref="D3">
    <cfRule type="duplicateValues" dxfId="184" priority="3"/>
  </conditionalFormatting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09"/>
  <sheetViews>
    <sheetView topLeftCell="A580" workbookViewId="0">
      <selection activeCell="AI492" sqref="AI492:AI502"/>
    </sheetView>
  </sheetViews>
  <sheetFormatPr baseColWidth="10" defaultRowHeight="15"/>
  <cols>
    <col min="8" max="8" width="12.28515625" bestFit="1" customWidth="1"/>
    <col min="32" max="32" width="24" customWidth="1"/>
    <col min="33" max="33" width="27.140625" customWidth="1"/>
    <col min="34" max="34" width="19" customWidth="1"/>
    <col min="35" max="36" width="17.85546875" customWidth="1"/>
  </cols>
  <sheetData>
    <row r="1" spans="1:36" s="486" customFormat="1" ht="36">
      <c r="A1" s="448" t="s">
        <v>149</v>
      </c>
      <c r="B1" s="449" t="s">
        <v>150</v>
      </c>
      <c r="C1" s="450" t="s">
        <v>151</v>
      </c>
      <c r="D1" s="451" t="s">
        <v>152</v>
      </c>
      <c r="E1" s="451" t="s">
        <v>153</v>
      </c>
      <c r="F1" s="482" t="s">
        <v>269</v>
      </c>
      <c r="G1" s="483" t="s">
        <v>155</v>
      </c>
      <c r="H1" s="454" t="s">
        <v>156</v>
      </c>
      <c r="I1" s="454" t="s">
        <v>157</v>
      </c>
      <c r="J1" s="454" t="s">
        <v>158</v>
      </c>
      <c r="K1" s="453" t="s">
        <v>159</v>
      </c>
      <c r="L1" s="453" t="s">
        <v>1177</v>
      </c>
      <c r="M1" s="455" t="s">
        <v>160</v>
      </c>
      <c r="N1" s="455" t="s">
        <v>161</v>
      </c>
      <c r="O1" s="455" t="s">
        <v>162</v>
      </c>
      <c r="P1" s="455" t="s">
        <v>232</v>
      </c>
      <c r="Q1" s="455" t="s">
        <v>233</v>
      </c>
      <c r="R1" s="455" t="s">
        <v>234</v>
      </c>
      <c r="S1" s="484" t="s">
        <v>235</v>
      </c>
      <c r="T1" s="484" t="s">
        <v>236</v>
      </c>
      <c r="U1" s="455" t="s">
        <v>237</v>
      </c>
      <c r="V1" s="485" t="s">
        <v>238</v>
      </c>
      <c r="W1" s="485" t="s">
        <v>239</v>
      </c>
      <c r="X1" s="485" t="s">
        <v>267</v>
      </c>
      <c r="Y1" s="485" t="s">
        <v>1176</v>
      </c>
      <c r="Z1" s="485" t="s">
        <v>240</v>
      </c>
      <c r="AA1" s="485" t="s">
        <v>241</v>
      </c>
      <c r="AB1" s="455" t="s">
        <v>242</v>
      </c>
    </row>
    <row r="2" spans="1:36" s="486" customFormat="1">
      <c r="A2" s="456">
        <v>1</v>
      </c>
      <c r="B2" s="457" t="s">
        <v>270</v>
      </c>
      <c r="C2" s="510">
        <v>9901442713</v>
      </c>
      <c r="D2" s="460" t="s">
        <v>271</v>
      </c>
      <c r="E2" s="460" t="s">
        <v>32</v>
      </c>
      <c r="F2" s="461">
        <v>31</v>
      </c>
      <c r="G2" s="462">
        <v>71.400000000000006</v>
      </c>
      <c r="H2" s="462">
        <f t="shared" ref="H2:H65" si="0">+F2*G2</f>
        <v>2213.4</v>
      </c>
      <c r="I2" s="462">
        <f t="shared" ref="I2:I65" si="1">G2*120</f>
        <v>8568</v>
      </c>
      <c r="J2" s="463">
        <v>4</v>
      </c>
      <c r="K2" s="464">
        <v>75</v>
      </c>
      <c r="L2" s="462">
        <f t="shared" ref="L2:L65" si="2">M2+N2</f>
        <v>1760</v>
      </c>
      <c r="M2" s="462">
        <v>1510</v>
      </c>
      <c r="N2" s="462">
        <v>250</v>
      </c>
      <c r="O2" s="462">
        <f t="shared" ref="O2:O65" si="3">+H2+M2+N2+K2</f>
        <v>4048.4</v>
      </c>
      <c r="P2" s="488">
        <f t="shared" ref="P2:P65" si="4">(((G2*120)+(K2+M2)*4)/12)</f>
        <v>1242.3333333333333</v>
      </c>
      <c r="Q2" s="489">
        <f t="shared" ref="Q2:Q65" si="5">(((G2*30)+M2+K2)/365*120)</f>
        <v>1225.3150684931506</v>
      </c>
      <c r="R2" s="489">
        <f t="shared" ref="R2:R65" si="6">+(200/365)*120</f>
        <v>65.753424657534239</v>
      </c>
      <c r="S2" s="490">
        <f t="shared" ref="S2:S65" si="7">(((G2*120)+((K2+M2+N2)*4)))</f>
        <v>15908</v>
      </c>
      <c r="T2" s="490">
        <f t="shared" ref="T2:T65" si="8">+S2+R2+Q2+P2</f>
        <v>18441.401826484016</v>
      </c>
      <c r="U2" s="491">
        <f t="shared" ref="U2:U65" si="9">ROUND((((H2+K2+M2)*4.83)/100),2)</f>
        <v>183.46</v>
      </c>
      <c r="V2" s="462"/>
      <c r="W2" s="462">
        <v>10</v>
      </c>
      <c r="X2" s="462"/>
      <c r="Y2" s="462"/>
      <c r="Z2" s="462">
        <f t="shared" ref="Z2:Z65" si="10">V2+W2+X2+Y2+U2</f>
        <v>193.46</v>
      </c>
      <c r="AA2" s="462">
        <f t="shared" ref="AA2:AA65" si="11">+O2-Z2</f>
        <v>3854.94</v>
      </c>
      <c r="AB2" s="489">
        <v>1000</v>
      </c>
      <c r="AI2" s="480" t="s">
        <v>46</v>
      </c>
    </row>
    <row r="3" spans="1:36" s="486" customFormat="1">
      <c r="A3" s="456">
        <v>2</v>
      </c>
      <c r="B3" s="457" t="s">
        <v>272</v>
      </c>
      <c r="C3" s="510">
        <v>9901442460</v>
      </c>
      <c r="D3" s="460" t="s">
        <v>273</v>
      </c>
      <c r="E3" s="460" t="s">
        <v>32</v>
      </c>
      <c r="F3" s="461">
        <v>31</v>
      </c>
      <c r="G3" s="462">
        <v>71.400000000000006</v>
      </c>
      <c r="H3" s="462">
        <f t="shared" si="0"/>
        <v>2213.4</v>
      </c>
      <c r="I3" s="462">
        <f t="shared" si="1"/>
        <v>8568</v>
      </c>
      <c r="J3" s="463">
        <v>4</v>
      </c>
      <c r="K3" s="465">
        <v>50</v>
      </c>
      <c r="L3" s="462">
        <f t="shared" si="2"/>
        <v>1760</v>
      </c>
      <c r="M3" s="462">
        <v>1510</v>
      </c>
      <c r="N3" s="462">
        <v>250</v>
      </c>
      <c r="O3" s="462">
        <f t="shared" si="3"/>
        <v>4023.4</v>
      </c>
      <c r="P3" s="488">
        <f t="shared" si="4"/>
        <v>1234</v>
      </c>
      <c r="Q3" s="489">
        <f t="shared" si="5"/>
        <v>1217.0958904109589</v>
      </c>
      <c r="R3" s="489">
        <f t="shared" si="6"/>
        <v>65.753424657534239</v>
      </c>
      <c r="S3" s="490">
        <f t="shared" si="7"/>
        <v>15808</v>
      </c>
      <c r="T3" s="490">
        <f t="shared" si="8"/>
        <v>18324.849315068492</v>
      </c>
      <c r="U3" s="491">
        <f t="shared" si="9"/>
        <v>182.26</v>
      </c>
      <c r="V3" s="462"/>
      <c r="W3" s="462"/>
      <c r="X3" s="462"/>
      <c r="Y3" s="462">
        <v>1313.63</v>
      </c>
      <c r="Z3" s="462">
        <f t="shared" si="10"/>
        <v>1495.89</v>
      </c>
      <c r="AA3" s="462">
        <f t="shared" si="11"/>
        <v>2527.5100000000002</v>
      </c>
      <c r="AB3" s="489">
        <v>1000</v>
      </c>
      <c r="AF3" s="479" t="s">
        <v>226</v>
      </c>
      <c r="AG3" t="s">
        <v>228</v>
      </c>
      <c r="AH3" t="s">
        <v>229</v>
      </c>
      <c r="AI3" t="s">
        <v>231</v>
      </c>
    </row>
    <row r="4" spans="1:36" s="486" customFormat="1">
      <c r="A4" s="456">
        <v>3</v>
      </c>
      <c r="B4" s="466" t="s">
        <v>274</v>
      </c>
      <c r="C4" s="510">
        <v>9901442521</v>
      </c>
      <c r="D4" s="460" t="s">
        <v>275</v>
      </c>
      <c r="E4" s="460" t="s">
        <v>32</v>
      </c>
      <c r="F4" s="461">
        <v>31</v>
      </c>
      <c r="G4" s="462">
        <v>71.400000000000006</v>
      </c>
      <c r="H4" s="462">
        <f t="shared" si="0"/>
        <v>2213.4</v>
      </c>
      <c r="I4" s="462">
        <f t="shared" si="1"/>
        <v>8568</v>
      </c>
      <c r="J4" s="463">
        <v>4</v>
      </c>
      <c r="K4" s="465">
        <v>50</v>
      </c>
      <c r="L4" s="462">
        <f t="shared" si="2"/>
        <v>1760</v>
      </c>
      <c r="M4" s="462">
        <v>1510</v>
      </c>
      <c r="N4" s="462">
        <v>250</v>
      </c>
      <c r="O4" s="462">
        <f t="shared" si="3"/>
        <v>4023.4</v>
      </c>
      <c r="P4" s="488">
        <f t="shared" si="4"/>
        <v>1234</v>
      </c>
      <c r="Q4" s="489">
        <f t="shared" si="5"/>
        <v>1217.0958904109589</v>
      </c>
      <c r="R4" s="489">
        <f t="shared" si="6"/>
        <v>65.753424657534239</v>
      </c>
      <c r="S4" s="490">
        <f t="shared" si="7"/>
        <v>15808</v>
      </c>
      <c r="T4" s="490">
        <f t="shared" si="8"/>
        <v>18324.849315068492</v>
      </c>
      <c r="U4" s="491">
        <f t="shared" si="9"/>
        <v>182.26</v>
      </c>
      <c r="V4" s="462"/>
      <c r="W4" s="462"/>
      <c r="X4" s="462"/>
      <c r="Y4" s="462">
        <v>1485.14</v>
      </c>
      <c r="Z4" s="462">
        <f t="shared" si="10"/>
        <v>1667.4</v>
      </c>
      <c r="AA4" s="462">
        <f t="shared" si="11"/>
        <v>2356</v>
      </c>
      <c r="AB4" s="489">
        <v>1000</v>
      </c>
      <c r="AF4" s="480" t="s">
        <v>44</v>
      </c>
      <c r="AG4" s="481">
        <v>26</v>
      </c>
      <c r="AH4" s="481">
        <v>72.540000000000006</v>
      </c>
      <c r="AI4" s="481">
        <v>1900</v>
      </c>
    </row>
    <row r="5" spans="1:36" s="486" customFormat="1">
      <c r="A5" s="456">
        <v>4</v>
      </c>
      <c r="B5" s="466" t="s">
        <v>276</v>
      </c>
      <c r="C5" s="510">
        <v>9901442283</v>
      </c>
      <c r="D5" s="460" t="s">
        <v>277</v>
      </c>
      <c r="E5" s="460" t="s">
        <v>32</v>
      </c>
      <c r="F5" s="461">
        <v>31</v>
      </c>
      <c r="G5" s="462">
        <v>71.400000000000006</v>
      </c>
      <c r="H5" s="462">
        <f t="shared" si="0"/>
        <v>2213.4</v>
      </c>
      <c r="I5" s="462">
        <f t="shared" si="1"/>
        <v>8568</v>
      </c>
      <c r="J5" s="463">
        <v>4</v>
      </c>
      <c r="K5" s="464">
        <v>75</v>
      </c>
      <c r="L5" s="462">
        <f t="shared" si="2"/>
        <v>1760</v>
      </c>
      <c r="M5" s="462">
        <v>1510</v>
      </c>
      <c r="N5" s="462">
        <v>250</v>
      </c>
      <c r="O5" s="462">
        <f t="shared" si="3"/>
        <v>4048.4</v>
      </c>
      <c r="P5" s="488">
        <f t="shared" si="4"/>
        <v>1242.3333333333333</v>
      </c>
      <c r="Q5" s="489">
        <f t="shared" si="5"/>
        <v>1225.3150684931506</v>
      </c>
      <c r="R5" s="489">
        <f t="shared" si="6"/>
        <v>65.753424657534239</v>
      </c>
      <c r="S5" s="490">
        <f t="shared" si="7"/>
        <v>15908</v>
      </c>
      <c r="T5" s="490">
        <f t="shared" si="8"/>
        <v>18441.401826484016</v>
      </c>
      <c r="U5" s="491">
        <f t="shared" si="9"/>
        <v>183.46</v>
      </c>
      <c r="V5" s="462"/>
      <c r="W5" s="462">
        <v>10</v>
      </c>
      <c r="X5" s="462"/>
      <c r="Y5" s="462">
        <v>1439.78</v>
      </c>
      <c r="Z5" s="462">
        <f t="shared" si="10"/>
        <v>1633.24</v>
      </c>
      <c r="AA5" s="462">
        <f t="shared" si="11"/>
        <v>2415.16</v>
      </c>
      <c r="AB5" s="489">
        <v>1000</v>
      </c>
      <c r="AF5" s="480" t="s">
        <v>46</v>
      </c>
      <c r="AG5" s="481">
        <v>19</v>
      </c>
      <c r="AH5" s="481">
        <v>73.59</v>
      </c>
      <c r="AI5" s="481">
        <v>1400</v>
      </c>
      <c r="AJ5"/>
    </row>
    <row r="6" spans="1:36" s="486" customFormat="1">
      <c r="A6" s="456">
        <v>5</v>
      </c>
      <c r="B6" s="457" t="s">
        <v>278</v>
      </c>
      <c r="C6" s="510">
        <v>9901442285</v>
      </c>
      <c r="D6" s="460" t="s">
        <v>279</v>
      </c>
      <c r="E6" s="460" t="s">
        <v>32</v>
      </c>
      <c r="F6" s="461">
        <v>31</v>
      </c>
      <c r="G6" s="462">
        <v>71.400000000000006</v>
      </c>
      <c r="H6" s="462">
        <f t="shared" si="0"/>
        <v>2213.4</v>
      </c>
      <c r="I6" s="462">
        <f t="shared" si="1"/>
        <v>8568</v>
      </c>
      <c r="J6" s="463">
        <v>4</v>
      </c>
      <c r="K6" s="464">
        <v>75</v>
      </c>
      <c r="L6" s="462">
        <f t="shared" si="2"/>
        <v>1760</v>
      </c>
      <c r="M6" s="462">
        <v>1510</v>
      </c>
      <c r="N6" s="462">
        <v>250</v>
      </c>
      <c r="O6" s="462">
        <f t="shared" si="3"/>
        <v>4048.4</v>
      </c>
      <c r="P6" s="488">
        <f t="shared" si="4"/>
        <v>1242.3333333333333</v>
      </c>
      <c r="Q6" s="489">
        <f t="shared" si="5"/>
        <v>1225.3150684931506</v>
      </c>
      <c r="R6" s="489">
        <f t="shared" si="6"/>
        <v>65.753424657534239</v>
      </c>
      <c r="S6" s="490">
        <f t="shared" si="7"/>
        <v>15908</v>
      </c>
      <c r="T6" s="490">
        <f t="shared" si="8"/>
        <v>18441.401826484016</v>
      </c>
      <c r="U6" s="491">
        <f t="shared" si="9"/>
        <v>183.46</v>
      </c>
      <c r="V6" s="462"/>
      <c r="W6" s="462">
        <v>10</v>
      </c>
      <c r="X6" s="462"/>
      <c r="Y6" s="462"/>
      <c r="Z6" s="462">
        <f t="shared" si="10"/>
        <v>193.46</v>
      </c>
      <c r="AA6" s="462">
        <f t="shared" si="11"/>
        <v>3854.94</v>
      </c>
      <c r="AB6" s="489">
        <v>1000</v>
      </c>
      <c r="AF6" s="480" t="s">
        <v>47</v>
      </c>
      <c r="AG6" s="481">
        <v>14</v>
      </c>
      <c r="AH6" s="481">
        <v>74.63</v>
      </c>
      <c r="AI6" s="481">
        <v>1050</v>
      </c>
      <c r="AJ6" s="481"/>
    </row>
    <row r="7" spans="1:36" s="486" customFormat="1">
      <c r="A7" s="456">
        <v>6</v>
      </c>
      <c r="B7" s="457" t="s">
        <v>280</v>
      </c>
      <c r="C7" s="510">
        <v>9901482005</v>
      </c>
      <c r="D7" s="460" t="s">
        <v>281</v>
      </c>
      <c r="E7" s="460" t="s">
        <v>32</v>
      </c>
      <c r="F7" s="461">
        <v>31</v>
      </c>
      <c r="G7" s="462">
        <v>71.400000000000006</v>
      </c>
      <c r="H7" s="462">
        <f t="shared" si="0"/>
        <v>2213.4</v>
      </c>
      <c r="I7" s="462">
        <f t="shared" si="1"/>
        <v>8568</v>
      </c>
      <c r="J7" s="463">
        <v>4</v>
      </c>
      <c r="K7" s="464">
        <v>0</v>
      </c>
      <c r="L7" s="462">
        <f t="shared" si="2"/>
        <v>1760</v>
      </c>
      <c r="M7" s="462">
        <v>1510</v>
      </c>
      <c r="N7" s="462">
        <v>250</v>
      </c>
      <c r="O7" s="462">
        <f t="shared" si="3"/>
        <v>3973.4</v>
      </c>
      <c r="P7" s="488">
        <f t="shared" si="4"/>
        <v>1217.3333333333333</v>
      </c>
      <c r="Q7" s="489">
        <f t="shared" si="5"/>
        <v>1200.6575342465753</v>
      </c>
      <c r="R7" s="489">
        <f t="shared" si="6"/>
        <v>65.753424657534239</v>
      </c>
      <c r="S7" s="490">
        <f t="shared" si="7"/>
        <v>15608</v>
      </c>
      <c r="T7" s="490">
        <f t="shared" si="8"/>
        <v>18091.744292237443</v>
      </c>
      <c r="U7" s="491">
        <f t="shared" si="9"/>
        <v>179.84</v>
      </c>
      <c r="V7" s="462"/>
      <c r="W7" s="462"/>
      <c r="X7" s="462"/>
      <c r="Y7" s="462"/>
      <c r="Z7" s="462">
        <f t="shared" si="10"/>
        <v>179.84</v>
      </c>
      <c r="AA7" s="462">
        <f t="shared" si="11"/>
        <v>3793.56</v>
      </c>
      <c r="AB7" s="489">
        <v>1000</v>
      </c>
      <c r="AF7" s="480" t="s">
        <v>89</v>
      </c>
      <c r="AG7" s="481">
        <v>15</v>
      </c>
      <c r="AH7" s="481">
        <v>75.64</v>
      </c>
      <c r="AI7" s="481"/>
      <c r="AJ7" s="481"/>
    </row>
    <row r="8" spans="1:36" s="486" customFormat="1">
      <c r="A8" s="456">
        <v>7</v>
      </c>
      <c r="B8" s="457" t="s">
        <v>282</v>
      </c>
      <c r="C8" s="510">
        <v>9901442729</v>
      </c>
      <c r="D8" s="460" t="s">
        <v>283</v>
      </c>
      <c r="E8" s="460" t="s">
        <v>32</v>
      </c>
      <c r="F8" s="461">
        <v>31</v>
      </c>
      <c r="G8" s="462">
        <v>71.400000000000006</v>
      </c>
      <c r="H8" s="462">
        <f t="shared" si="0"/>
        <v>2213.4</v>
      </c>
      <c r="I8" s="462">
        <f t="shared" si="1"/>
        <v>8568</v>
      </c>
      <c r="J8" s="463">
        <v>4</v>
      </c>
      <c r="K8" s="465">
        <v>35</v>
      </c>
      <c r="L8" s="462">
        <f t="shared" si="2"/>
        <v>1760</v>
      </c>
      <c r="M8" s="462">
        <v>1510</v>
      </c>
      <c r="N8" s="462">
        <v>250</v>
      </c>
      <c r="O8" s="462">
        <f t="shared" si="3"/>
        <v>4008.4</v>
      </c>
      <c r="P8" s="488">
        <f t="shared" si="4"/>
        <v>1229</v>
      </c>
      <c r="Q8" s="489">
        <f t="shared" si="5"/>
        <v>1212.1643835616437</v>
      </c>
      <c r="R8" s="489">
        <f t="shared" si="6"/>
        <v>65.753424657534239</v>
      </c>
      <c r="S8" s="490">
        <f t="shared" si="7"/>
        <v>15748</v>
      </c>
      <c r="T8" s="490">
        <f t="shared" si="8"/>
        <v>18254.917808219179</v>
      </c>
      <c r="U8" s="491">
        <f t="shared" si="9"/>
        <v>181.53</v>
      </c>
      <c r="V8" s="462"/>
      <c r="W8" s="462"/>
      <c r="X8" s="462"/>
      <c r="Y8" s="462"/>
      <c r="Z8" s="462">
        <f t="shared" si="10"/>
        <v>181.53</v>
      </c>
      <c r="AA8" s="462">
        <f t="shared" si="11"/>
        <v>3826.87</v>
      </c>
      <c r="AB8" s="489">
        <v>1000</v>
      </c>
      <c r="AF8" s="480" t="s">
        <v>59</v>
      </c>
      <c r="AG8" s="481">
        <v>21</v>
      </c>
      <c r="AH8" s="481">
        <v>77.59</v>
      </c>
      <c r="AI8" s="481"/>
      <c r="AJ8" s="481"/>
    </row>
    <row r="9" spans="1:36" s="486" customFormat="1">
      <c r="A9" s="456">
        <v>8</v>
      </c>
      <c r="B9" s="457" t="s">
        <v>284</v>
      </c>
      <c r="C9" s="510">
        <v>9901442700</v>
      </c>
      <c r="D9" s="460" t="s">
        <v>285</v>
      </c>
      <c r="E9" s="460" t="s">
        <v>44</v>
      </c>
      <c r="F9" s="461">
        <v>31</v>
      </c>
      <c r="G9" s="462">
        <v>72.540000000000006</v>
      </c>
      <c r="H9" s="462">
        <f t="shared" si="0"/>
        <v>2248.7400000000002</v>
      </c>
      <c r="I9" s="462">
        <f t="shared" si="1"/>
        <v>8704.8000000000011</v>
      </c>
      <c r="J9" s="463">
        <v>4</v>
      </c>
      <c r="K9" s="464">
        <v>75</v>
      </c>
      <c r="L9" s="462">
        <f t="shared" si="2"/>
        <v>1760</v>
      </c>
      <c r="M9" s="462">
        <v>1510</v>
      </c>
      <c r="N9" s="462">
        <v>250</v>
      </c>
      <c r="O9" s="462">
        <f t="shared" si="3"/>
        <v>4083.7400000000002</v>
      </c>
      <c r="P9" s="488">
        <f t="shared" si="4"/>
        <v>1253.7333333333333</v>
      </c>
      <c r="Q9" s="489">
        <f t="shared" si="5"/>
        <v>1236.5589041095891</v>
      </c>
      <c r="R9" s="489">
        <f t="shared" si="6"/>
        <v>65.753424657534239</v>
      </c>
      <c r="S9" s="490">
        <f t="shared" si="7"/>
        <v>16044.800000000001</v>
      </c>
      <c r="T9" s="490">
        <f t="shared" si="8"/>
        <v>18600.845662100459</v>
      </c>
      <c r="U9" s="491">
        <f t="shared" si="9"/>
        <v>185.17</v>
      </c>
      <c r="V9" s="462"/>
      <c r="W9" s="462">
        <v>10</v>
      </c>
      <c r="X9" s="462"/>
      <c r="Y9" s="462"/>
      <c r="Z9" s="462">
        <f t="shared" si="10"/>
        <v>195.17</v>
      </c>
      <c r="AA9" s="462">
        <f t="shared" si="11"/>
        <v>3888.57</v>
      </c>
      <c r="AB9" s="489">
        <v>1000</v>
      </c>
      <c r="AF9" s="480" t="s">
        <v>72</v>
      </c>
      <c r="AG9" s="481">
        <v>6</v>
      </c>
      <c r="AH9" s="481">
        <v>71.400000000000006</v>
      </c>
      <c r="AI9" s="481">
        <v>350</v>
      </c>
      <c r="AJ9" s="481"/>
    </row>
    <row r="10" spans="1:36" s="486" customFormat="1">
      <c r="A10" s="456">
        <v>9</v>
      </c>
      <c r="B10" s="466" t="s">
        <v>286</v>
      </c>
      <c r="C10" s="510">
        <v>9901442732</v>
      </c>
      <c r="D10" s="460" t="s">
        <v>287</v>
      </c>
      <c r="E10" s="460" t="s">
        <v>32</v>
      </c>
      <c r="F10" s="461">
        <v>31</v>
      </c>
      <c r="G10" s="462">
        <v>71.400000000000006</v>
      </c>
      <c r="H10" s="462">
        <f t="shared" si="0"/>
        <v>2213.4</v>
      </c>
      <c r="I10" s="462">
        <f t="shared" si="1"/>
        <v>8568</v>
      </c>
      <c r="J10" s="463">
        <v>4</v>
      </c>
      <c r="K10" s="465">
        <v>50</v>
      </c>
      <c r="L10" s="462">
        <f t="shared" si="2"/>
        <v>1760</v>
      </c>
      <c r="M10" s="462">
        <v>1510</v>
      </c>
      <c r="N10" s="462">
        <v>250</v>
      </c>
      <c r="O10" s="462">
        <f t="shared" si="3"/>
        <v>4023.4</v>
      </c>
      <c r="P10" s="488">
        <f t="shared" si="4"/>
        <v>1234</v>
      </c>
      <c r="Q10" s="489">
        <f t="shared" si="5"/>
        <v>1217.0958904109589</v>
      </c>
      <c r="R10" s="489">
        <f t="shared" si="6"/>
        <v>65.753424657534239</v>
      </c>
      <c r="S10" s="490">
        <f t="shared" si="7"/>
        <v>15808</v>
      </c>
      <c r="T10" s="490">
        <f t="shared" si="8"/>
        <v>18324.849315068492</v>
      </c>
      <c r="U10" s="491">
        <f t="shared" si="9"/>
        <v>182.26</v>
      </c>
      <c r="V10" s="462"/>
      <c r="W10" s="462"/>
      <c r="X10" s="462"/>
      <c r="Y10" s="462"/>
      <c r="Z10" s="462">
        <f t="shared" si="10"/>
        <v>182.26</v>
      </c>
      <c r="AA10" s="462">
        <f t="shared" si="11"/>
        <v>3841.1400000000003</v>
      </c>
      <c r="AB10" s="489">
        <v>1000</v>
      </c>
      <c r="AF10" s="480" t="s">
        <v>48</v>
      </c>
      <c r="AG10" s="481">
        <v>1</v>
      </c>
      <c r="AH10" s="481">
        <v>71.400000000000006</v>
      </c>
      <c r="AI10" s="481"/>
      <c r="AJ10" s="481"/>
    </row>
    <row r="11" spans="1:36" s="486" customFormat="1">
      <c r="A11" s="456">
        <v>10</v>
      </c>
      <c r="B11" s="466" t="s">
        <v>288</v>
      </c>
      <c r="C11" s="510">
        <v>9901442455</v>
      </c>
      <c r="D11" s="460" t="s">
        <v>289</v>
      </c>
      <c r="E11" s="460" t="s">
        <v>44</v>
      </c>
      <c r="F11" s="461">
        <v>31</v>
      </c>
      <c r="G11" s="462">
        <v>72.540000000000006</v>
      </c>
      <c r="H11" s="462">
        <f t="shared" si="0"/>
        <v>2248.7400000000002</v>
      </c>
      <c r="I11" s="462">
        <f t="shared" si="1"/>
        <v>8704.8000000000011</v>
      </c>
      <c r="J11" s="463">
        <v>4</v>
      </c>
      <c r="K11" s="464">
        <v>75</v>
      </c>
      <c r="L11" s="462">
        <f t="shared" si="2"/>
        <v>1760</v>
      </c>
      <c r="M11" s="462">
        <v>1510</v>
      </c>
      <c r="N11" s="462">
        <v>250</v>
      </c>
      <c r="O11" s="462">
        <f t="shared" si="3"/>
        <v>4083.7400000000002</v>
      </c>
      <c r="P11" s="488">
        <f t="shared" si="4"/>
        <v>1253.7333333333333</v>
      </c>
      <c r="Q11" s="489">
        <f t="shared" si="5"/>
        <v>1236.5589041095891</v>
      </c>
      <c r="R11" s="489">
        <f t="shared" si="6"/>
        <v>65.753424657534239</v>
      </c>
      <c r="S11" s="490">
        <f t="shared" si="7"/>
        <v>16044.800000000001</v>
      </c>
      <c r="T11" s="490">
        <f t="shared" si="8"/>
        <v>18600.845662100459</v>
      </c>
      <c r="U11" s="491">
        <f t="shared" si="9"/>
        <v>185.17</v>
      </c>
      <c r="V11" s="462"/>
      <c r="W11" s="462">
        <v>10</v>
      </c>
      <c r="X11" s="462"/>
      <c r="Y11" s="462">
        <v>1589.76</v>
      </c>
      <c r="Z11" s="462">
        <f t="shared" si="10"/>
        <v>1784.93</v>
      </c>
      <c r="AA11" s="462">
        <f t="shared" si="11"/>
        <v>2298.8100000000004</v>
      </c>
      <c r="AB11" s="489">
        <v>1000</v>
      </c>
      <c r="AF11" s="480" t="s">
        <v>73</v>
      </c>
      <c r="AG11" s="481">
        <v>1</v>
      </c>
      <c r="AH11" s="481">
        <v>71.400000000000006</v>
      </c>
      <c r="AI11" s="481">
        <v>50</v>
      </c>
      <c r="AJ11" s="481"/>
    </row>
    <row r="12" spans="1:36" s="486" customFormat="1">
      <c r="A12" s="456">
        <v>11</v>
      </c>
      <c r="B12" s="457" t="s">
        <v>290</v>
      </c>
      <c r="C12" s="510">
        <v>9901442710</v>
      </c>
      <c r="D12" s="460" t="s">
        <v>291</v>
      </c>
      <c r="E12" s="460" t="s">
        <v>32</v>
      </c>
      <c r="F12" s="461">
        <v>31</v>
      </c>
      <c r="G12" s="462">
        <v>71.400000000000006</v>
      </c>
      <c r="H12" s="462">
        <f t="shared" si="0"/>
        <v>2213.4</v>
      </c>
      <c r="I12" s="462">
        <f t="shared" si="1"/>
        <v>8568</v>
      </c>
      <c r="J12" s="463">
        <v>4</v>
      </c>
      <c r="K12" s="464">
        <v>75</v>
      </c>
      <c r="L12" s="462">
        <f t="shared" si="2"/>
        <v>1760</v>
      </c>
      <c r="M12" s="462">
        <v>1510</v>
      </c>
      <c r="N12" s="462">
        <v>250</v>
      </c>
      <c r="O12" s="462">
        <f t="shared" si="3"/>
        <v>4048.4</v>
      </c>
      <c r="P12" s="488">
        <f t="shared" si="4"/>
        <v>1242.3333333333333</v>
      </c>
      <c r="Q12" s="489">
        <f t="shared" si="5"/>
        <v>1225.3150684931506</v>
      </c>
      <c r="R12" s="489">
        <f t="shared" si="6"/>
        <v>65.753424657534239</v>
      </c>
      <c r="S12" s="490">
        <f t="shared" si="7"/>
        <v>15908</v>
      </c>
      <c r="T12" s="490">
        <f t="shared" si="8"/>
        <v>18441.401826484016</v>
      </c>
      <c r="U12" s="491">
        <f t="shared" si="9"/>
        <v>183.46</v>
      </c>
      <c r="V12" s="462"/>
      <c r="W12" s="462">
        <v>10</v>
      </c>
      <c r="X12" s="462"/>
      <c r="Y12" s="462"/>
      <c r="Z12" s="462">
        <f t="shared" si="10"/>
        <v>193.46</v>
      </c>
      <c r="AA12" s="462">
        <f t="shared" si="11"/>
        <v>3854.94</v>
      </c>
      <c r="AB12" s="489">
        <v>1000</v>
      </c>
      <c r="AF12" s="480" t="s">
        <v>49</v>
      </c>
      <c r="AG12" s="481">
        <v>1</v>
      </c>
      <c r="AH12" s="481">
        <v>74.63</v>
      </c>
      <c r="AI12" s="481">
        <v>75</v>
      </c>
      <c r="AJ12" s="481"/>
    </row>
    <row r="13" spans="1:36" s="486" customFormat="1">
      <c r="A13" s="456">
        <v>12</v>
      </c>
      <c r="B13" s="457" t="s">
        <v>292</v>
      </c>
      <c r="C13" s="510">
        <v>9901442722</v>
      </c>
      <c r="D13" s="460" t="s">
        <v>293</v>
      </c>
      <c r="E13" s="460" t="s">
        <v>32</v>
      </c>
      <c r="F13" s="461">
        <v>31</v>
      </c>
      <c r="G13" s="462">
        <v>71.400000000000006</v>
      </c>
      <c r="H13" s="462">
        <f t="shared" si="0"/>
        <v>2213.4</v>
      </c>
      <c r="I13" s="462">
        <f t="shared" si="1"/>
        <v>8568</v>
      </c>
      <c r="J13" s="463">
        <v>4</v>
      </c>
      <c r="K13" s="511">
        <v>50</v>
      </c>
      <c r="L13" s="462">
        <f t="shared" si="2"/>
        <v>1760</v>
      </c>
      <c r="M13" s="462">
        <v>1510</v>
      </c>
      <c r="N13" s="462">
        <v>250</v>
      </c>
      <c r="O13" s="462">
        <f t="shared" si="3"/>
        <v>4023.4</v>
      </c>
      <c r="P13" s="488">
        <f t="shared" si="4"/>
        <v>1234</v>
      </c>
      <c r="Q13" s="489">
        <f t="shared" si="5"/>
        <v>1217.0958904109589</v>
      </c>
      <c r="R13" s="489">
        <f t="shared" si="6"/>
        <v>65.753424657534239</v>
      </c>
      <c r="S13" s="490">
        <f t="shared" si="7"/>
        <v>15808</v>
      </c>
      <c r="T13" s="490">
        <f t="shared" si="8"/>
        <v>18324.849315068492</v>
      </c>
      <c r="U13" s="491">
        <f t="shared" si="9"/>
        <v>182.26</v>
      </c>
      <c r="V13" s="462"/>
      <c r="W13" s="462">
        <v>10</v>
      </c>
      <c r="X13" s="462"/>
      <c r="Y13" s="462">
        <v>272.44</v>
      </c>
      <c r="Z13" s="462">
        <f t="shared" si="10"/>
        <v>464.7</v>
      </c>
      <c r="AA13" s="462">
        <f t="shared" si="11"/>
        <v>3558.7000000000003</v>
      </c>
      <c r="AB13" s="489">
        <v>1000</v>
      </c>
      <c r="AD13" s="486" t="s">
        <v>294</v>
      </c>
      <c r="AF13" s="480" t="s">
        <v>35</v>
      </c>
      <c r="AG13" s="481">
        <v>29</v>
      </c>
      <c r="AH13" s="481">
        <v>71.400000000000006</v>
      </c>
      <c r="AI13" s="481">
        <v>350</v>
      </c>
      <c r="AJ13" s="481"/>
    </row>
    <row r="14" spans="1:36" s="486" customFormat="1">
      <c r="A14" s="456">
        <v>13</v>
      </c>
      <c r="B14" s="466" t="s">
        <v>295</v>
      </c>
      <c r="C14" s="510">
        <v>9901442715</v>
      </c>
      <c r="D14" s="460" t="s">
        <v>296</v>
      </c>
      <c r="E14" s="460" t="s">
        <v>35</v>
      </c>
      <c r="F14" s="461">
        <v>31</v>
      </c>
      <c r="G14" s="462">
        <v>71.400000000000006</v>
      </c>
      <c r="H14" s="462">
        <f t="shared" si="0"/>
        <v>2213.4</v>
      </c>
      <c r="I14" s="462">
        <f t="shared" si="1"/>
        <v>8568</v>
      </c>
      <c r="J14" s="463">
        <v>4</v>
      </c>
      <c r="K14" s="464">
        <v>75</v>
      </c>
      <c r="L14" s="462">
        <f t="shared" si="2"/>
        <v>1760</v>
      </c>
      <c r="M14" s="462">
        <v>1510</v>
      </c>
      <c r="N14" s="462">
        <v>250</v>
      </c>
      <c r="O14" s="462">
        <f t="shared" si="3"/>
        <v>4048.4</v>
      </c>
      <c r="P14" s="488">
        <f t="shared" si="4"/>
        <v>1242.3333333333333</v>
      </c>
      <c r="Q14" s="489">
        <f t="shared" si="5"/>
        <v>1225.3150684931506</v>
      </c>
      <c r="R14" s="489">
        <f t="shared" si="6"/>
        <v>65.753424657534239</v>
      </c>
      <c r="S14" s="490">
        <f t="shared" si="7"/>
        <v>15908</v>
      </c>
      <c r="T14" s="490">
        <f t="shared" si="8"/>
        <v>18441.401826484016</v>
      </c>
      <c r="U14" s="491">
        <f t="shared" si="9"/>
        <v>183.46</v>
      </c>
      <c r="V14" s="462"/>
      <c r="W14" s="462"/>
      <c r="X14" s="462"/>
      <c r="Y14" s="462"/>
      <c r="Z14" s="462">
        <f t="shared" si="10"/>
        <v>183.46</v>
      </c>
      <c r="AA14" s="462">
        <f t="shared" si="11"/>
        <v>3864.94</v>
      </c>
      <c r="AB14" s="489">
        <v>1000</v>
      </c>
      <c r="AF14" s="480" t="s">
        <v>67</v>
      </c>
      <c r="AG14" s="481">
        <v>4</v>
      </c>
      <c r="AH14" s="481">
        <v>73.59</v>
      </c>
      <c r="AI14" s="481">
        <v>300</v>
      </c>
      <c r="AJ14" s="481"/>
    </row>
    <row r="15" spans="1:36" s="486" customFormat="1">
      <c r="A15" s="456">
        <v>14</v>
      </c>
      <c r="B15" s="457" t="s">
        <v>297</v>
      </c>
      <c r="C15" s="510">
        <v>9901443229</v>
      </c>
      <c r="D15" s="460" t="s">
        <v>298</v>
      </c>
      <c r="E15" s="460" t="s">
        <v>32</v>
      </c>
      <c r="F15" s="461">
        <v>31</v>
      </c>
      <c r="G15" s="462">
        <v>71.400000000000006</v>
      </c>
      <c r="H15" s="462">
        <f t="shared" si="0"/>
        <v>2213.4</v>
      </c>
      <c r="I15" s="462">
        <f t="shared" si="1"/>
        <v>8568</v>
      </c>
      <c r="J15" s="463">
        <v>4</v>
      </c>
      <c r="K15" s="464">
        <v>0</v>
      </c>
      <c r="L15" s="462">
        <f t="shared" si="2"/>
        <v>1760</v>
      </c>
      <c r="M15" s="462">
        <v>1510</v>
      </c>
      <c r="N15" s="462">
        <v>250</v>
      </c>
      <c r="O15" s="462">
        <f t="shared" si="3"/>
        <v>3973.4</v>
      </c>
      <c r="P15" s="488">
        <f t="shared" si="4"/>
        <v>1217.3333333333333</v>
      </c>
      <c r="Q15" s="489">
        <f t="shared" si="5"/>
        <v>1200.6575342465753</v>
      </c>
      <c r="R15" s="489">
        <f t="shared" si="6"/>
        <v>65.753424657534239</v>
      </c>
      <c r="S15" s="490">
        <f t="shared" si="7"/>
        <v>15608</v>
      </c>
      <c r="T15" s="490">
        <f t="shared" si="8"/>
        <v>18091.744292237443</v>
      </c>
      <c r="U15" s="491">
        <f t="shared" si="9"/>
        <v>179.84</v>
      </c>
      <c r="V15" s="462"/>
      <c r="W15" s="462"/>
      <c r="X15" s="462"/>
      <c r="Y15" s="462">
        <v>1677.19</v>
      </c>
      <c r="Z15" s="462">
        <f t="shared" si="10"/>
        <v>1857.03</v>
      </c>
      <c r="AA15" s="462">
        <f t="shared" si="11"/>
        <v>2116.37</v>
      </c>
      <c r="AB15" s="489">
        <v>1000</v>
      </c>
      <c r="AF15" s="480" t="s">
        <v>50</v>
      </c>
      <c r="AG15" s="481">
        <v>2</v>
      </c>
      <c r="AH15" s="481">
        <v>74.63</v>
      </c>
      <c r="AI15" s="481">
        <v>125</v>
      </c>
      <c r="AJ15" s="481"/>
    </row>
    <row r="16" spans="1:36" s="486" customFormat="1">
      <c r="A16" s="456">
        <v>15</v>
      </c>
      <c r="B16" s="457" t="s">
        <v>299</v>
      </c>
      <c r="C16" s="510">
        <v>9901442281</v>
      </c>
      <c r="D16" s="460" t="s">
        <v>300</v>
      </c>
      <c r="E16" s="460" t="s">
        <v>44</v>
      </c>
      <c r="F16" s="461">
        <v>31</v>
      </c>
      <c r="G16" s="462">
        <v>72.540000000000006</v>
      </c>
      <c r="H16" s="462">
        <f t="shared" si="0"/>
        <v>2248.7400000000002</v>
      </c>
      <c r="I16" s="462">
        <f t="shared" si="1"/>
        <v>8704.8000000000011</v>
      </c>
      <c r="J16" s="463">
        <v>4</v>
      </c>
      <c r="K16" s="464">
        <v>75</v>
      </c>
      <c r="L16" s="462">
        <f t="shared" si="2"/>
        <v>1760</v>
      </c>
      <c r="M16" s="462">
        <v>1510</v>
      </c>
      <c r="N16" s="462">
        <v>250</v>
      </c>
      <c r="O16" s="462">
        <f t="shared" si="3"/>
        <v>4083.7400000000002</v>
      </c>
      <c r="P16" s="488">
        <f t="shared" si="4"/>
        <v>1253.7333333333333</v>
      </c>
      <c r="Q16" s="489">
        <f t="shared" si="5"/>
        <v>1236.5589041095891</v>
      </c>
      <c r="R16" s="489">
        <f t="shared" si="6"/>
        <v>65.753424657534239</v>
      </c>
      <c r="S16" s="490">
        <f t="shared" si="7"/>
        <v>16044.800000000001</v>
      </c>
      <c r="T16" s="490">
        <f t="shared" si="8"/>
        <v>18600.845662100459</v>
      </c>
      <c r="U16" s="491">
        <f t="shared" si="9"/>
        <v>185.17</v>
      </c>
      <c r="V16" s="462"/>
      <c r="W16" s="462">
        <v>10</v>
      </c>
      <c r="X16" s="462"/>
      <c r="Y16" s="462">
        <v>1589.76</v>
      </c>
      <c r="Z16" s="462">
        <f t="shared" si="10"/>
        <v>1784.93</v>
      </c>
      <c r="AA16" s="462">
        <f t="shared" si="11"/>
        <v>2298.8100000000004</v>
      </c>
      <c r="AB16" s="489">
        <v>1000</v>
      </c>
      <c r="AF16" s="480" t="s">
        <v>51</v>
      </c>
      <c r="AG16" s="481">
        <v>1</v>
      </c>
      <c r="AH16" s="481">
        <v>74.63</v>
      </c>
      <c r="AI16" s="481">
        <v>75</v>
      </c>
      <c r="AJ16" s="481"/>
    </row>
    <row r="17" spans="1:36" s="486" customFormat="1">
      <c r="A17" s="456">
        <v>16</v>
      </c>
      <c r="B17" s="457" t="s">
        <v>301</v>
      </c>
      <c r="C17" s="510">
        <v>9901442286</v>
      </c>
      <c r="D17" s="460" t="s">
        <v>302</v>
      </c>
      <c r="E17" s="460" t="s">
        <v>32</v>
      </c>
      <c r="F17" s="461">
        <v>31</v>
      </c>
      <c r="G17" s="462">
        <v>71.400000000000006</v>
      </c>
      <c r="H17" s="462">
        <f t="shared" si="0"/>
        <v>2213.4</v>
      </c>
      <c r="I17" s="462">
        <f t="shared" si="1"/>
        <v>8568</v>
      </c>
      <c r="J17" s="463">
        <v>4</v>
      </c>
      <c r="K17" s="464">
        <v>50</v>
      </c>
      <c r="L17" s="462">
        <f t="shared" si="2"/>
        <v>1760</v>
      </c>
      <c r="M17" s="462">
        <v>1510</v>
      </c>
      <c r="N17" s="462">
        <v>250</v>
      </c>
      <c r="O17" s="462">
        <f t="shared" si="3"/>
        <v>4023.4</v>
      </c>
      <c r="P17" s="488">
        <f t="shared" si="4"/>
        <v>1234</v>
      </c>
      <c r="Q17" s="489">
        <f t="shared" si="5"/>
        <v>1217.0958904109589</v>
      </c>
      <c r="R17" s="489">
        <f t="shared" si="6"/>
        <v>65.753424657534239</v>
      </c>
      <c r="S17" s="490">
        <f t="shared" si="7"/>
        <v>15808</v>
      </c>
      <c r="T17" s="490">
        <f t="shared" si="8"/>
        <v>18324.849315068492</v>
      </c>
      <c r="U17" s="491">
        <f t="shared" si="9"/>
        <v>182.26</v>
      </c>
      <c r="V17" s="462"/>
      <c r="W17" s="462"/>
      <c r="X17" s="462"/>
      <c r="Y17" s="462"/>
      <c r="Z17" s="462">
        <f t="shared" si="10"/>
        <v>182.26</v>
      </c>
      <c r="AA17" s="462">
        <f t="shared" si="11"/>
        <v>3841.1400000000003</v>
      </c>
      <c r="AB17" s="489">
        <v>1000</v>
      </c>
      <c r="AF17" s="480" t="s">
        <v>61</v>
      </c>
      <c r="AG17" s="481">
        <v>4</v>
      </c>
      <c r="AH17" s="481">
        <v>77.59</v>
      </c>
      <c r="AI17" s="481"/>
      <c r="AJ17" s="481"/>
    </row>
    <row r="18" spans="1:36" s="486" customFormat="1">
      <c r="A18" s="456">
        <v>17</v>
      </c>
      <c r="B18" s="457" t="s">
        <v>303</v>
      </c>
      <c r="C18" s="510">
        <v>9901442456</v>
      </c>
      <c r="D18" s="460" t="s">
        <v>304</v>
      </c>
      <c r="E18" s="460" t="s">
        <v>32</v>
      </c>
      <c r="F18" s="461">
        <v>31</v>
      </c>
      <c r="G18" s="462">
        <v>71.400000000000006</v>
      </c>
      <c r="H18" s="462">
        <f t="shared" si="0"/>
        <v>2213.4</v>
      </c>
      <c r="I18" s="462">
        <f t="shared" si="1"/>
        <v>8568</v>
      </c>
      <c r="J18" s="463">
        <v>4</v>
      </c>
      <c r="K18" s="511">
        <v>50</v>
      </c>
      <c r="L18" s="462">
        <f t="shared" si="2"/>
        <v>1760</v>
      </c>
      <c r="M18" s="462">
        <v>1510</v>
      </c>
      <c r="N18" s="462">
        <v>250</v>
      </c>
      <c r="O18" s="462">
        <f t="shared" si="3"/>
        <v>4023.4</v>
      </c>
      <c r="P18" s="488">
        <f t="shared" si="4"/>
        <v>1234</v>
      </c>
      <c r="Q18" s="489">
        <f t="shared" si="5"/>
        <v>1217.0958904109589</v>
      </c>
      <c r="R18" s="489">
        <f t="shared" si="6"/>
        <v>65.753424657534239</v>
      </c>
      <c r="S18" s="490">
        <f t="shared" si="7"/>
        <v>15808</v>
      </c>
      <c r="T18" s="490">
        <f t="shared" si="8"/>
        <v>18324.849315068492</v>
      </c>
      <c r="U18" s="491">
        <f t="shared" si="9"/>
        <v>182.26</v>
      </c>
      <c r="V18" s="462"/>
      <c r="W18" s="462"/>
      <c r="X18" s="512">
        <v>925.5</v>
      </c>
      <c r="Y18" s="462">
        <v>1330.14</v>
      </c>
      <c r="Z18" s="462">
        <f t="shared" si="10"/>
        <v>2437.9000000000005</v>
      </c>
      <c r="AA18" s="462">
        <f t="shared" si="11"/>
        <v>1585.4999999999995</v>
      </c>
      <c r="AB18" s="489">
        <v>1000</v>
      </c>
      <c r="AD18" s="486" t="s">
        <v>305</v>
      </c>
      <c r="AF18" s="480" t="s">
        <v>77</v>
      </c>
      <c r="AG18" s="481">
        <v>1</v>
      </c>
      <c r="AH18" s="481">
        <v>72.540000000000006</v>
      </c>
      <c r="AI18" s="481">
        <v>75</v>
      </c>
      <c r="AJ18" s="481"/>
    </row>
    <row r="19" spans="1:36" s="486" customFormat="1">
      <c r="A19" s="456">
        <v>18</v>
      </c>
      <c r="B19" s="457" t="s">
        <v>306</v>
      </c>
      <c r="C19" s="510">
        <v>9901443376</v>
      </c>
      <c r="D19" s="460" t="s">
        <v>307</v>
      </c>
      <c r="E19" s="460" t="s">
        <v>32</v>
      </c>
      <c r="F19" s="461">
        <v>31</v>
      </c>
      <c r="G19" s="462">
        <v>71.400000000000006</v>
      </c>
      <c r="H19" s="462">
        <f t="shared" si="0"/>
        <v>2213.4</v>
      </c>
      <c r="I19" s="462">
        <f t="shared" si="1"/>
        <v>8568</v>
      </c>
      <c r="J19" s="463">
        <v>4</v>
      </c>
      <c r="K19" s="464">
        <v>75</v>
      </c>
      <c r="L19" s="462">
        <f t="shared" si="2"/>
        <v>1760</v>
      </c>
      <c r="M19" s="462">
        <v>1510</v>
      </c>
      <c r="N19" s="462">
        <v>250</v>
      </c>
      <c r="O19" s="462">
        <f t="shared" si="3"/>
        <v>4048.4</v>
      </c>
      <c r="P19" s="488">
        <f t="shared" si="4"/>
        <v>1242.3333333333333</v>
      </c>
      <c r="Q19" s="489">
        <f t="shared" si="5"/>
        <v>1225.3150684931506</v>
      </c>
      <c r="R19" s="489">
        <f t="shared" si="6"/>
        <v>65.753424657534239</v>
      </c>
      <c r="S19" s="490">
        <f t="shared" si="7"/>
        <v>15908</v>
      </c>
      <c r="T19" s="490">
        <f t="shared" si="8"/>
        <v>18441.401826484016</v>
      </c>
      <c r="U19" s="491">
        <f t="shared" si="9"/>
        <v>183.46</v>
      </c>
      <c r="V19" s="462"/>
      <c r="W19" s="462">
        <v>10</v>
      </c>
      <c r="X19" s="462"/>
      <c r="Y19" s="462"/>
      <c r="Z19" s="462">
        <f t="shared" si="10"/>
        <v>193.46</v>
      </c>
      <c r="AA19" s="462">
        <f t="shared" si="11"/>
        <v>3854.94</v>
      </c>
      <c r="AB19" s="489">
        <v>1000</v>
      </c>
      <c r="AF19" s="480" t="s">
        <v>53</v>
      </c>
      <c r="AG19" s="481">
        <v>1</v>
      </c>
      <c r="AH19" s="481">
        <v>72.540000000000006</v>
      </c>
      <c r="AI19" s="481">
        <v>75</v>
      </c>
      <c r="AJ19" s="481"/>
    </row>
    <row r="20" spans="1:36" s="486" customFormat="1">
      <c r="A20" s="456">
        <v>19</v>
      </c>
      <c r="B20" s="457" t="s">
        <v>308</v>
      </c>
      <c r="C20" s="510">
        <v>9901442714</v>
      </c>
      <c r="D20" s="460" t="s">
        <v>309</v>
      </c>
      <c r="E20" s="460" t="s">
        <v>32</v>
      </c>
      <c r="F20" s="461">
        <v>31</v>
      </c>
      <c r="G20" s="462">
        <v>71.400000000000006</v>
      </c>
      <c r="H20" s="462">
        <f t="shared" si="0"/>
        <v>2213.4</v>
      </c>
      <c r="I20" s="462">
        <f t="shared" si="1"/>
        <v>8568</v>
      </c>
      <c r="J20" s="463">
        <v>4</v>
      </c>
      <c r="K20" s="464">
        <v>75</v>
      </c>
      <c r="L20" s="462">
        <f t="shared" si="2"/>
        <v>1760</v>
      </c>
      <c r="M20" s="462">
        <v>1510</v>
      </c>
      <c r="N20" s="462">
        <v>250</v>
      </c>
      <c r="O20" s="462">
        <f t="shared" si="3"/>
        <v>4048.4</v>
      </c>
      <c r="P20" s="488">
        <f t="shared" si="4"/>
        <v>1242.3333333333333</v>
      </c>
      <c r="Q20" s="489">
        <f t="shared" si="5"/>
        <v>1225.3150684931506</v>
      </c>
      <c r="R20" s="489">
        <f t="shared" si="6"/>
        <v>65.753424657534239</v>
      </c>
      <c r="S20" s="490">
        <f t="shared" si="7"/>
        <v>15908</v>
      </c>
      <c r="T20" s="490">
        <f t="shared" si="8"/>
        <v>18441.401826484016</v>
      </c>
      <c r="U20" s="491">
        <f t="shared" si="9"/>
        <v>183.46</v>
      </c>
      <c r="V20" s="462"/>
      <c r="W20" s="462">
        <v>10</v>
      </c>
      <c r="X20" s="462"/>
      <c r="Y20" s="462"/>
      <c r="Z20" s="462">
        <f t="shared" si="10"/>
        <v>193.46</v>
      </c>
      <c r="AA20" s="462">
        <f t="shared" si="11"/>
        <v>3854.94</v>
      </c>
      <c r="AB20" s="489">
        <v>1000</v>
      </c>
      <c r="AF20" s="480" t="s">
        <v>38</v>
      </c>
      <c r="AG20" s="481">
        <v>4</v>
      </c>
      <c r="AH20" s="481">
        <v>71.400000000000006</v>
      </c>
      <c r="AI20" s="481">
        <v>200</v>
      </c>
      <c r="AJ20" s="481"/>
    </row>
    <row r="21" spans="1:36" s="486" customFormat="1">
      <c r="A21" s="456">
        <v>20</v>
      </c>
      <c r="B21" s="457" t="s">
        <v>310</v>
      </c>
      <c r="C21" s="510">
        <v>9901442697</v>
      </c>
      <c r="D21" s="460" t="s">
        <v>311</v>
      </c>
      <c r="E21" s="460" t="s">
        <v>44</v>
      </c>
      <c r="F21" s="461">
        <v>31</v>
      </c>
      <c r="G21" s="462">
        <v>72.540000000000006</v>
      </c>
      <c r="H21" s="462">
        <f t="shared" si="0"/>
        <v>2248.7400000000002</v>
      </c>
      <c r="I21" s="462">
        <f t="shared" si="1"/>
        <v>8704.8000000000011</v>
      </c>
      <c r="J21" s="463">
        <v>4</v>
      </c>
      <c r="K21" s="464">
        <v>75</v>
      </c>
      <c r="L21" s="462">
        <f t="shared" si="2"/>
        <v>1760</v>
      </c>
      <c r="M21" s="462">
        <v>1510</v>
      </c>
      <c r="N21" s="462">
        <v>250</v>
      </c>
      <c r="O21" s="462">
        <f t="shared" si="3"/>
        <v>4083.7400000000002</v>
      </c>
      <c r="P21" s="488">
        <f t="shared" si="4"/>
        <v>1253.7333333333333</v>
      </c>
      <c r="Q21" s="489">
        <f t="shared" si="5"/>
        <v>1236.5589041095891</v>
      </c>
      <c r="R21" s="489">
        <f t="shared" si="6"/>
        <v>65.753424657534239</v>
      </c>
      <c r="S21" s="490">
        <f t="shared" si="7"/>
        <v>16044.800000000001</v>
      </c>
      <c r="T21" s="490">
        <f t="shared" si="8"/>
        <v>18600.845662100459</v>
      </c>
      <c r="U21" s="491">
        <f t="shared" si="9"/>
        <v>185.17</v>
      </c>
      <c r="V21" s="462"/>
      <c r="W21" s="462">
        <v>10</v>
      </c>
      <c r="X21" s="462"/>
      <c r="Y21" s="462">
        <v>1720.04</v>
      </c>
      <c r="Z21" s="462">
        <f t="shared" si="10"/>
        <v>1915.21</v>
      </c>
      <c r="AA21" s="462">
        <f t="shared" si="11"/>
        <v>2168.5300000000002</v>
      </c>
      <c r="AB21" s="489">
        <v>1000</v>
      </c>
      <c r="AF21" s="480" t="s">
        <v>62</v>
      </c>
      <c r="AG21" s="481">
        <v>2</v>
      </c>
      <c r="AH21" s="481">
        <v>75.64</v>
      </c>
      <c r="AI21" s="481"/>
      <c r="AJ21" s="481"/>
    </row>
    <row r="22" spans="1:36" s="486" customFormat="1">
      <c r="A22" s="456">
        <v>21</v>
      </c>
      <c r="B22" s="466" t="s">
        <v>312</v>
      </c>
      <c r="C22" s="510">
        <v>9901442730</v>
      </c>
      <c r="D22" s="460" t="s">
        <v>313</v>
      </c>
      <c r="E22" s="460" t="s">
        <v>32</v>
      </c>
      <c r="F22" s="461">
        <v>31</v>
      </c>
      <c r="G22" s="462">
        <v>71.400000000000006</v>
      </c>
      <c r="H22" s="462">
        <f t="shared" si="0"/>
        <v>2213.4</v>
      </c>
      <c r="I22" s="462">
        <f t="shared" si="1"/>
        <v>8568</v>
      </c>
      <c r="J22" s="463">
        <v>4</v>
      </c>
      <c r="K22" s="465">
        <v>50</v>
      </c>
      <c r="L22" s="462">
        <f t="shared" si="2"/>
        <v>1760</v>
      </c>
      <c r="M22" s="462">
        <v>1510</v>
      </c>
      <c r="N22" s="462">
        <v>250</v>
      </c>
      <c r="O22" s="462">
        <f t="shared" si="3"/>
        <v>4023.4</v>
      </c>
      <c r="P22" s="488">
        <f t="shared" si="4"/>
        <v>1234</v>
      </c>
      <c r="Q22" s="489">
        <f t="shared" si="5"/>
        <v>1217.0958904109589</v>
      </c>
      <c r="R22" s="489">
        <f t="shared" si="6"/>
        <v>65.753424657534239</v>
      </c>
      <c r="S22" s="490">
        <f t="shared" si="7"/>
        <v>15808</v>
      </c>
      <c r="T22" s="490">
        <f t="shared" si="8"/>
        <v>18324.849315068492</v>
      </c>
      <c r="U22" s="491">
        <f t="shared" si="9"/>
        <v>182.26</v>
      </c>
      <c r="V22" s="462"/>
      <c r="W22" s="462">
        <v>10</v>
      </c>
      <c r="X22" s="462"/>
      <c r="Y22" s="462">
        <v>3632.16</v>
      </c>
      <c r="Z22" s="462">
        <f t="shared" si="10"/>
        <v>3824.42</v>
      </c>
      <c r="AA22" s="462">
        <f t="shared" si="11"/>
        <v>198.98000000000002</v>
      </c>
      <c r="AB22" s="489">
        <v>1000</v>
      </c>
      <c r="AF22" s="480" t="s">
        <v>63</v>
      </c>
      <c r="AG22" s="481">
        <v>1</v>
      </c>
      <c r="AH22" s="481">
        <v>80.86</v>
      </c>
      <c r="AI22" s="481"/>
      <c r="AJ22" s="481"/>
    </row>
    <row r="23" spans="1:36" s="486" customFormat="1">
      <c r="A23" s="456">
        <v>22</v>
      </c>
      <c r="B23" s="466" t="s">
        <v>314</v>
      </c>
      <c r="C23" s="510">
        <v>9901442695</v>
      </c>
      <c r="D23" s="460" t="s">
        <v>315</v>
      </c>
      <c r="E23" s="460" t="s">
        <v>44</v>
      </c>
      <c r="F23" s="461">
        <v>31</v>
      </c>
      <c r="G23" s="462">
        <v>72.540000000000006</v>
      </c>
      <c r="H23" s="462">
        <f t="shared" si="0"/>
        <v>2248.7400000000002</v>
      </c>
      <c r="I23" s="462">
        <f t="shared" si="1"/>
        <v>8704.8000000000011</v>
      </c>
      <c r="J23" s="463">
        <v>4</v>
      </c>
      <c r="K23" s="464">
        <v>75</v>
      </c>
      <c r="L23" s="462">
        <f t="shared" si="2"/>
        <v>1760</v>
      </c>
      <c r="M23" s="462">
        <v>1510</v>
      </c>
      <c r="N23" s="462">
        <v>250</v>
      </c>
      <c r="O23" s="462">
        <f t="shared" si="3"/>
        <v>4083.7400000000002</v>
      </c>
      <c r="P23" s="488">
        <f t="shared" si="4"/>
        <v>1253.7333333333333</v>
      </c>
      <c r="Q23" s="489">
        <f t="shared" si="5"/>
        <v>1236.5589041095891</v>
      </c>
      <c r="R23" s="489">
        <f t="shared" si="6"/>
        <v>65.753424657534239</v>
      </c>
      <c r="S23" s="490">
        <f t="shared" si="7"/>
        <v>16044.800000000001</v>
      </c>
      <c r="T23" s="490">
        <f t="shared" si="8"/>
        <v>18600.845662100459</v>
      </c>
      <c r="U23" s="491">
        <f t="shared" si="9"/>
        <v>185.17</v>
      </c>
      <c r="V23" s="462"/>
      <c r="W23" s="462">
        <v>10</v>
      </c>
      <c r="X23" s="462"/>
      <c r="Y23" s="462">
        <v>853.21</v>
      </c>
      <c r="Z23" s="462">
        <f t="shared" si="10"/>
        <v>1048.3800000000001</v>
      </c>
      <c r="AA23" s="462">
        <f t="shared" si="11"/>
        <v>3035.36</v>
      </c>
      <c r="AB23" s="489">
        <v>1000</v>
      </c>
      <c r="AF23" s="480" t="s">
        <v>39</v>
      </c>
      <c r="AG23" s="481">
        <v>39</v>
      </c>
      <c r="AH23" s="481">
        <v>78.25</v>
      </c>
      <c r="AI23" s="481">
        <v>2385</v>
      </c>
      <c r="AJ23" s="481"/>
    </row>
    <row r="24" spans="1:36" s="486" customFormat="1">
      <c r="A24" s="456">
        <v>23</v>
      </c>
      <c r="B24" s="457" t="s">
        <v>316</v>
      </c>
      <c r="C24" s="510">
        <v>9901442705</v>
      </c>
      <c r="D24" s="460" t="s">
        <v>317</v>
      </c>
      <c r="E24" s="460" t="s">
        <v>49</v>
      </c>
      <c r="F24" s="461">
        <v>31</v>
      </c>
      <c r="G24" s="462">
        <v>74.63</v>
      </c>
      <c r="H24" s="462">
        <f t="shared" si="0"/>
        <v>2313.5299999999997</v>
      </c>
      <c r="I24" s="462">
        <f t="shared" si="1"/>
        <v>8955.5999999999985</v>
      </c>
      <c r="J24" s="463">
        <v>4</v>
      </c>
      <c r="K24" s="464">
        <v>75</v>
      </c>
      <c r="L24" s="462">
        <f t="shared" si="2"/>
        <v>1760</v>
      </c>
      <c r="M24" s="462">
        <v>1510</v>
      </c>
      <c r="N24" s="462">
        <v>250</v>
      </c>
      <c r="O24" s="462">
        <f t="shared" si="3"/>
        <v>4148.53</v>
      </c>
      <c r="P24" s="488">
        <f t="shared" si="4"/>
        <v>1274.6333333333332</v>
      </c>
      <c r="Q24" s="489">
        <f t="shared" si="5"/>
        <v>1257.172602739726</v>
      </c>
      <c r="R24" s="489">
        <f t="shared" si="6"/>
        <v>65.753424657534239</v>
      </c>
      <c r="S24" s="490">
        <f t="shared" si="7"/>
        <v>16295.599999999999</v>
      </c>
      <c r="T24" s="490">
        <f t="shared" si="8"/>
        <v>18893.159360730591</v>
      </c>
      <c r="U24" s="491">
        <f t="shared" si="9"/>
        <v>188.3</v>
      </c>
      <c r="V24" s="462"/>
      <c r="W24" s="462">
        <v>10</v>
      </c>
      <c r="X24" s="462"/>
      <c r="Y24" s="462">
        <v>1636.86</v>
      </c>
      <c r="Z24" s="462">
        <f t="shared" si="10"/>
        <v>1835.1599999999999</v>
      </c>
      <c r="AA24" s="462">
        <f t="shared" si="11"/>
        <v>2313.37</v>
      </c>
      <c r="AB24" s="489">
        <v>1000</v>
      </c>
      <c r="AF24" s="480" t="s">
        <v>78</v>
      </c>
      <c r="AG24" s="481">
        <v>2</v>
      </c>
      <c r="AH24" s="481">
        <v>72.540000000000006</v>
      </c>
      <c r="AI24" s="481">
        <v>150</v>
      </c>
      <c r="AJ24" s="481"/>
    </row>
    <row r="25" spans="1:36" s="486" customFormat="1">
      <c r="A25" s="456">
        <v>24</v>
      </c>
      <c r="B25" s="457" t="s">
        <v>318</v>
      </c>
      <c r="C25" s="510">
        <v>9901443768</v>
      </c>
      <c r="D25" s="460" t="s">
        <v>319</v>
      </c>
      <c r="E25" s="460" t="s">
        <v>32</v>
      </c>
      <c r="F25" s="461">
        <v>31</v>
      </c>
      <c r="G25" s="462">
        <v>71.400000000000006</v>
      </c>
      <c r="H25" s="462">
        <f t="shared" si="0"/>
        <v>2213.4</v>
      </c>
      <c r="I25" s="462">
        <f t="shared" si="1"/>
        <v>8568</v>
      </c>
      <c r="J25" s="463">
        <v>4</v>
      </c>
      <c r="K25" s="464">
        <v>75</v>
      </c>
      <c r="L25" s="462">
        <f t="shared" si="2"/>
        <v>1760</v>
      </c>
      <c r="M25" s="462">
        <v>1510</v>
      </c>
      <c r="N25" s="462">
        <v>250</v>
      </c>
      <c r="O25" s="462">
        <f t="shared" si="3"/>
        <v>4048.4</v>
      </c>
      <c r="P25" s="488">
        <f t="shared" si="4"/>
        <v>1242.3333333333333</v>
      </c>
      <c r="Q25" s="489">
        <f t="shared" si="5"/>
        <v>1225.3150684931506</v>
      </c>
      <c r="R25" s="489">
        <f t="shared" si="6"/>
        <v>65.753424657534239</v>
      </c>
      <c r="S25" s="490">
        <f t="shared" si="7"/>
        <v>15908</v>
      </c>
      <c r="T25" s="490">
        <f t="shared" si="8"/>
        <v>18441.401826484016</v>
      </c>
      <c r="U25" s="491">
        <f t="shared" si="9"/>
        <v>183.46</v>
      </c>
      <c r="V25" s="498">
        <f>(O25-N25)*11%</f>
        <v>417.82400000000001</v>
      </c>
      <c r="W25" s="462">
        <v>10</v>
      </c>
      <c r="X25" s="462"/>
      <c r="Y25" s="462"/>
      <c r="Z25" s="462">
        <f t="shared" si="10"/>
        <v>611.28399999999999</v>
      </c>
      <c r="AA25" s="462">
        <f t="shared" si="11"/>
        <v>3437.116</v>
      </c>
      <c r="AB25" s="489">
        <v>1000</v>
      </c>
      <c r="AF25" s="480" t="s">
        <v>32</v>
      </c>
      <c r="AG25" s="481">
        <v>93</v>
      </c>
      <c r="AH25" s="481">
        <v>71.400000000000006</v>
      </c>
      <c r="AI25" s="481">
        <v>5145</v>
      </c>
      <c r="AJ25" s="481"/>
    </row>
    <row r="26" spans="1:36" s="486" customFormat="1">
      <c r="A26" s="456">
        <v>25</v>
      </c>
      <c r="B26" s="457" t="s">
        <v>320</v>
      </c>
      <c r="C26" s="510">
        <v>9901442711</v>
      </c>
      <c r="D26" s="460" t="s">
        <v>321</v>
      </c>
      <c r="E26" s="460" t="s">
        <v>32</v>
      </c>
      <c r="F26" s="461">
        <v>31</v>
      </c>
      <c r="G26" s="462">
        <v>71.400000000000006</v>
      </c>
      <c r="H26" s="462">
        <f t="shared" si="0"/>
        <v>2213.4</v>
      </c>
      <c r="I26" s="462">
        <f t="shared" si="1"/>
        <v>8568</v>
      </c>
      <c r="J26" s="463">
        <v>4</v>
      </c>
      <c r="K26" s="464">
        <v>75</v>
      </c>
      <c r="L26" s="462">
        <f t="shared" si="2"/>
        <v>1760</v>
      </c>
      <c r="M26" s="462">
        <v>1510</v>
      </c>
      <c r="N26" s="462">
        <v>250</v>
      </c>
      <c r="O26" s="462">
        <f t="shared" si="3"/>
        <v>4048.4</v>
      </c>
      <c r="P26" s="488">
        <f t="shared" si="4"/>
        <v>1242.3333333333333</v>
      </c>
      <c r="Q26" s="489">
        <f t="shared" si="5"/>
        <v>1225.3150684931506</v>
      </c>
      <c r="R26" s="489">
        <f t="shared" si="6"/>
        <v>65.753424657534239</v>
      </c>
      <c r="S26" s="490">
        <f t="shared" si="7"/>
        <v>15908</v>
      </c>
      <c r="T26" s="490">
        <f t="shared" si="8"/>
        <v>18441.401826484016</v>
      </c>
      <c r="U26" s="491">
        <f t="shared" si="9"/>
        <v>183.46</v>
      </c>
      <c r="V26" s="462"/>
      <c r="W26" s="462">
        <v>10</v>
      </c>
      <c r="X26" s="462"/>
      <c r="Y26" s="462"/>
      <c r="Z26" s="462">
        <f t="shared" si="10"/>
        <v>193.46</v>
      </c>
      <c r="AA26" s="462">
        <f t="shared" si="11"/>
        <v>3854.94</v>
      </c>
      <c r="AB26" s="489">
        <v>1000</v>
      </c>
      <c r="AF26" s="480" t="s">
        <v>1175</v>
      </c>
      <c r="AG26" s="481">
        <v>179</v>
      </c>
      <c r="AH26" s="481">
        <v>71.400000000000006</v>
      </c>
      <c r="AI26" s="481">
        <v>9240</v>
      </c>
      <c r="AJ26" s="481"/>
    </row>
    <row r="27" spans="1:36" s="486" customFormat="1">
      <c r="A27" s="456">
        <v>26</v>
      </c>
      <c r="B27" s="466" t="s">
        <v>322</v>
      </c>
      <c r="C27" s="510">
        <v>9901442282</v>
      </c>
      <c r="D27" s="460" t="s">
        <v>323</v>
      </c>
      <c r="E27" s="460" t="s">
        <v>1173</v>
      </c>
      <c r="F27" s="461">
        <v>31</v>
      </c>
      <c r="G27" s="462">
        <v>72.540000000000006</v>
      </c>
      <c r="H27" s="462">
        <f t="shared" si="0"/>
        <v>2248.7400000000002</v>
      </c>
      <c r="I27" s="462">
        <f t="shared" si="1"/>
        <v>8704.8000000000011</v>
      </c>
      <c r="J27" s="463">
        <v>4</v>
      </c>
      <c r="K27" s="464">
        <v>75</v>
      </c>
      <c r="L27" s="462">
        <f t="shared" si="2"/>
        <v>1760</v>
      </c>
      <c r="M27" s="462">
        <v>1510</v>
      </c>
      <c r="N27" s="462">
        <v>250</v>
      </c>
      <c r="O27" s="462">
        <f t="shared" si="3"/>
        <v>4083.7400000000002</v>
      </c>
      <c r="P27" s="488">
        <f t="shared" si="4"/>
        <v>1253.7333333333333</v>
      </c>
      <c r="Q27" s="489">
        <f t="shared" si="5"/>
        <v>1236.5589041095891</v>
      </c>
      <c r="R27" s="489">
        <f t="shared" si="6"/>
        <v>65.753424657534239</v>
      </c>
      <c r="S27" s="490">
        <f t="shared" si="7"/>
        <v>16044.800000000001</v>
      </c>
      <c r="T27" s="490">
        <f t="shared" si="8"/>
        <v>18600.845662100459</v>
      </c>
      <c r="U27" s="491">
        <f t="shared" si="9"/>
        <v>185.17</v>
      </c>
      <c r="V27" s="462"/>
      <c r="W27" s="462">
        <v>10</v>
      </c>
      <c r="X27" s="462"/>
      <c r="Y27" s="462"/>
      <c r="Z27" s="462">
        <f t="shared" si="10"/>
        <v>195.17</v>
      </c>
      <c r="AA27" s="462">
        <f t="shared" si="11"/>
        <v>3888.57</v>
      </c>
      <c r="AB27" s="489">
        <v>1000</v>
      </c>
      <c r="AF27" s="480" t="s">
        <v>1173</v>
      </c>
      <c r="AG27" s="481">
        <v>9</v>
      </c>
      <c r="AH27" s="481">
        <v>72.540000000000006</v>
      </c>
      <c r="AI27" s="481">
        <v>575</v>
      </c>
      <c r="AJ27" s="481"/>
    </row>
    <row r="28" spans="1:36" s="486" customFormat="1">
      <c r="A28" s="456">
        <v>27</v>
      </c>
      <c r="B28" s="466" t="s">
        <v>324</v>
      </c>
      <c r="C28" s="510">
        <v>9901442689</v>
      </c>
      <c r="D28" s="460" t="s">
        <v>325</v>
      </c>
      <c r="E28" s="460" t="s">
        <v>39</v>
      </c>
      <c r="F28" s="461">
        <v>31</v>
      </c>
      <c r="G28" s="462">
        <v>78.25</v>
      </c>
      <c r="H28" s="462">
        <f t="shared" si="0"/>
        <v>2425.75</v>
      </c>
      <c r="I28" s="462">
        <f t="shared" si="1"/>
        <v>9390</v>
      </c>
      <c r="J28" s="463">
        <v>4</v>
      </c>
      <c r="K28" s="464">
        <v>75</v>
      </c>
      <c r="L28" s="462">
        <f t="shared" si="2"/>
        <v>1760</v>
      </c>
      <c r="M28" s="462">
        <v>1510</v>
      </c>
      <c r="N28" s="462">
        <v>250</v>
      </c>
      <c r="O28" s="462">
        <f t="shared" si="3"/>
        <v>4260.75</v>
      </c>
      <c r="P28" s="488">
        <f t="shared" si="4"/>
        <v>1310.8333333333333</v>
      </c>
      <c r="Q28" s="489">
        <f t="shared" si="5"/>
        <v>1292.8767123287671</v>
      </c>
      <c r="R28" s="489">
        <f t="shared" si="6"/>
        <v>65.753424657534239</v>
      </c>
      <c r="S28" s="490">
        <f t="shared" si="7"/>
        <v>16730</v>
      </c>
      <c r="T28" s="490">
        <f t="shared" si="8"/>
        <v>19399.463470319632</v>
      </c>
      <c r="U28" s="491">
        <f t="shared" si="9"/>
        <v>193.72</v>
      </c>
      <c r="V28" s="462"/>
      <c r="W28" s="462"/>
      <c r="X28" s="462"/>
      <c r="Y28" s="462"/>
      <c r="Z28" s="462">
        <f t="shared" si="10"/>
        <v>193.72</v>
      </c>
      <c r="AA28" s="462">
        <f t="shared" si="11"/>
        <v>4067.03</v>
      </c>
      <c r="AB28" s="489">
        <v>1000</v>
      </c>
      <c r="AF28" s="480" t="s">
        <v>1174</v>
      </c>
      <c r="AG28" s="481">
        <v>1</v>
      </c>
      <c r="AH28" s="481">
        <v>71.400000000000006</v>
      </c>
      <c r="AI28" s="481">
        <v>50</v>
      </c>
      <c r="AJ28" s="481"/>
    </row>
    <row r="29" spans="1:36" s="486" customFormat="1">
      <c r="A29" s="456">
        <v>28</v>
      </c>
      <c r="B29" s="466" t="s">
        <v>326</v>
      </c>
      <c r="C29" s="510">
        <v>9901442522</v>
      </c>
      <c r="D29" s="460" t="s">
        <v>327</v>
      </c>
      <c r="E29" s="460" t="s">
        <v>32</v>
      </c>
      <c r="F29" s="461">
        <v>31</v>
      </c>
      <c r="G29" s="462">
        <v>71.400000000000006</v>
      </c>
      <c r="H29" s="462">
        <f t="shared" si="0"/>
        <v>2213.4</v>
      </c>
      <c r="I29" s="462">
        <f t="shared" si="1"/>
        <v>8568</v>
      </c>
      <c r="J29" s="463">
        <v>4</v>
      </c>
      <c r="K29" s="465">
        <v>35</v>
      </c>
      <c r="L29" s="462">
        <f t="shared" si="2"/>
        <v>1760</v>
      </c>
      <c r="M29" s="462">
        <v>1510</v>
      </c>
      <c r="N29" s="462">
        <v>250</v>
      </c>
      <c r="O29" s="462">
        <f t="shared" si="3"/>
        <v>4008.4</v>
      </c>
      <c r="P29" s="488">
        <f t="shared" si="4"/>
        <v>1229</v>
      </c>
      <c r="Q29" s="489">
        <f t="shared" si="5"/>
        <v>1212.1643835616437</v>
      </c>
      <c r="R29" s="489">
        <f t="shared" si="6"/>
        <v>65.753424657534239</v>
      </c>
      <c r="S29" s="490">
        <f t="shared" si="7"/>
        <v>15748</v>
      </c>
      <c r="T29" s="490">
        <f t="shared" si="8"/>
        <v>18254.917808219179</v>
      </c>
      <c r="U29" s="491">
        <f t="shared" si="9"/>
        <v>181.53</v>
      </c>
      <c r="V29" s="462"/>
      <c r="W29" s="462">
        <v>10</v>
      </c>
      <c r="X29" s="462"/>
      <c r="Y29" s="462"/>
      <c r="Z29" s="462">
        <f t="shared" si="10"/>
        <v>191.53</v>
      </c>
      <c r="AA29" s="462">
        <f t="shared" si="11"/>
        <v>3816.87</v>
      </c>
      <c r="AB29" s="489">
        <v>1000</v>
      </c>
      <c r="AD29" s="486" t="s">
        <v>328</v>
      </c>
      <c r="AF29" s="480" t="s">
        <v>57</v>
      </c>
      <c r="AG29" s="481">
        <v>2</v>
      </c>
      <c r="AH29" s="481">
        <v>74.63</v>
      </c>
      <c r="AI29" s="481">
        <v>150</v>
      </c>
      <c r="AJ29" s="481"/>
    </row>
    <row r="30" spans="1:36" s="486" customFormat="1">
      <c r="A30" s="456">
        <v>29</v>
      </c>
      <c r="B30" s="457" t="s">
        <v>329</v>
      </c>
      <c r="C30" s="510">
        <v>9901442458</v>
      </c>
      <c r="D30" s="460" t="s">
        <v>330</v>
      </c>
      <c r="E30" s="460" t="s">
        <v>1173</v>
      </c>
      <c r="F30" s="461">
        <v>31</v>
      </c>
      <c r="G30" s="462">
        <v>72.540000000000006</v>
      </c>
      <c r="H30" s="462">
        <f t="shared" si="0"/>
        <v>2248.7400000000002</v>
      </c>
      <c r="I30" s="462">
        <f t="shared" si="1"/>
        <v>8704.8000000000011</v>
      </c>
      <c r="J30" s="463">
        <v>4</v>
      </c>
      <c r="K30" s="464">
        <v>75</v>
      </c>
      <c r="L30" s="462">
        <f t="shared" si="2"/>
        <v>1760</v>
      </c>
      <c r="M30" s="462">
        <v>1510</v>
      </c>
      <c r="N30" s="462">
        <v>250</v>
      </c>
      <c r="O30" s="462">
        <f t="shared" si="3"/>
        <v>4083.7400000000002</v>
      </c>
      <c r="P30" s="488">
        <f t="shared" si="4"/>
        <v>1253.7333333333333</v>
      </c>
      <c r="Q30" s="489">
        <f t="shared" si="5"/>
        <v>1236.5589041095891</v>
      </c>
      <c r="R30" s="489">
        <f t="shared" si="6"/>
        <v>65.753424657534239</v>
      </c>
      <c r="S30" s="490">
        <f t="shared" si="7"/>
        <v>16044.800000000001</v>
      </c>
      <c r="T30" s="490">
        <f t="shared" si="8"/>
        <v>18600.845662100459</v>
      </c>
      <c r="U30" s="491">
        <f t="shared" si="9"/>
        <v>185.17</v>
      </c>
      <c r="V30" s="462"/>
      <c r="W30" s="462"/>
      <c r="X30" s="462"/>
      <c r="Y30" s="462">
        <v>1962.94</v>
      </c>
      <c r="Z30" s="462">
        <f t="shared" si="10"/>
        <v>2148.11</v>
      </c>
      <c r="AA30" s="462">
        <f t="shared" si="11"/>
        <v>1935.63</v>
      </c>
      <c r="AB30" s="489">
        <v>1000</v>
      </c>
      <c r="AF30" s="480" t="s">
        <v>132</v>
      </c>
      <c r="AG30" s="481">
        <v>3</v>
      </c>
      <c r="AH30" s="481">
        <v>75.64</v>
      </c>
      <c r="AI30" s="481">
        <v>75</v>
      </c>
    </row>
    <row r="31" spans="1:36" s="486" customFormat="1">
      <c r="A31" s="456">
        <v>30</v>
      </c>
      <c r="B31" s="457" t="s">
        <v>331</v>
      </c>
      <c r="C31" s="510">
        <v>9901442702</v>
      </c>
      <c r="D31" s="460" t="s">
        <v>332</v>
      </c>
      <c r="E31" s="460" t="s">
        <v>1173</v>
      </c>
      <c r="F31" s="461">
        <v>31</v>
      </c>
      <c r="G31" s="462">
        <v>72.540000000000006</v>
      </c>
      <c r="H31" s="462">
        <f t="shared" si="0"/>
        <v>2248.7400000000002</v>
      </c>
      <c r="I31" s="462">
        <f t="shared" si="1"/>
        <v>8704.8000000000011</v>
      </c>
      <c r="J31" s="463">
        <v>4</v>
      </c>
      <c r="K31" s="464">
        <v>75</v>
      </c>
      <c r="L31" s="462">
        <f t="shared" si="2"/>
        <v>1760</v>
      </c>
      <c r="M31" s="462">
        <v>1510</v>
      </c>
      <c r="N31" s="462">
        <v>250</v>
      </c>
      <c r="O31" s="462">
        <f t="shared" si="3"/>
        <v>4083.7400000000002</v>
      </c>
      <c r="P31" s="488">
        <f t="shared" si="4"/>
        <v>1253.7333333333333</v>
      </c>
      <c r="Q31" s="489">
        <f t="shared" si="5"/>
        <v>1236.5589041095891</v>
      </c>
      <c r="R31" s="489">
        <f t="shared" si="6"/>
        <v>65.753424657534239</v>
      </c>
      <c r="S31" s="490">
        <f t="shared" si="7"/>
        <v>16044.800000000001</v>
      </c>
      <c r="T31" s="490">
        <f t="shared" si="8"/>
        <v>18600.845662100459</v>
      </c>
      <c r="U31" s="491">
        <f t="shared" si="9"/>
        <v>185.17</v>
      </c>
      <c r="V31" s="462"/>
      <c r="W31" s="462">
        <v>10</v>
      </c>
      <c r="X31" s="462"/>
      <c r="Y31" s="462">
        <v>1634.62</v>
      </c>
      <c r="Z31" s="462">
        <f t="shared" si="10"/>
        <v>1829.79</v>
      </c>
      <c r="AA31" s="462">
        <f t="shared" si="11"/>
        <v>2253.9500000000003</v>
      </c>
      <c r="AB31" s="489">
        <v>1000</v>
      </c>
      <c r="AF31" s="480" t="s">
        <v>37</v>
      </c>
      <c r="AG31" s="481">
        <v>2</v>
      </c>
      <c r="AH31" s="481">
        <v>80.86</v>
      </c>
      <c r="AI31" s="481"/>
    </row>
    <row r="32" spans="1:36" s="486" customFormat="1">
      <c r="A32" s="456">
        <v>31</v>
      </c>
      <c r="B32" s="457" t="s">
        <v>333</v>
      </c>
      <c r="C32" s="510">
        <v>9901443950</v>
      </c>
      <c r="D32" s="460" t="s">
        <v>334</v>
      </c>
      <c r="E32" s="460" t="s">
        <v>32</v>
      </c>
      <c r="F32" s="461">
        <v>31</v>
      </c>
      <c r="G32" s="462">
        <v>71.400000000000006</v>
      </c>
      <c r="H32" s="462">
        <f t="shared" si="0"/>
        <v>2213.4</v>
      </c>
      <c r="I32" s="462">
        <f t="shared" si="1"/>
        <v>8568</v>
      </c>
      <c r="J32" s="463">
        <v>4</v>
      </c>
      <c r="K32" s="464">
        <v>50</v>
      </c>
      <c r="L32" s="462">
        <f t="shared" si="2"/>
        <v>1760</v>
      </c>
      <c r="M32" s="462">
        <v>1510</v>
      </c>
      <c r="N32" s="462">
        <v>250</v>
      </c>
      <c r="O32" s="462">
        <f t="shared" si="3"/>
        <v>4023.4</v>
      </c>
      <c r="P32" s="488">
        <f t="shared" si="4"/>
        <v>1234</v>
      </c>
      <c r="Q32" s="489">
        <f t="shared" si="5"/>
        <v>1217.0958904109589</v>
      </c>
      <c r="R32" s="489">
        <f t="shared" si="6"/>
        <v>65.753424657534239</v>
      </c>
      <c r="S32" s="490">
        <f t="shared" si="7"/>
        <v>15808</v>
      </c>
      <c r="T32" s="490">
        <f t="shared" si="8"/>
        <v>18324.849315068492</v>
      </c>
      <c r="U32" s="491">
        <f t="shared" si="9"/>
        <v>182.26</v>
      </c>
      <c r="V32" s="462"/>
      <c r="W32" s="462"/>
      <c r="X32" s="462"/>
      <c r="Y32" s="462">
        <v>1751.52</v>
      </c>
      <c r="Z32" s="462">
        <f t="shared" si="10"/>
        <v>1933.78</v>
      </c>
      <c r="AA32" s="462">
        <f t="shared" si="11"/>
        <v>2089.62</v>
      </c>
      <c r="AB32" s="489">
        <v>1000</v>
      </c>
      <c r="AF32" s="480" t="s">
        <v>227</v>
      </c>
      <c r="AG32" s="481">
        <v>483</v>
      </c>
      <c r="AH32" s="481">
        <v>80.86</v>
      </c>
      <c r="AI32" s="481">
        <v>23795</v>
      </c>
    </row>
    <row r="33" spans="1:35" s="486" customFormat="1">
      <c r="A33" s="456">
        <v>32</v>
      </c>
      <c r="B33" s="457" t="s">
        <v>335</v>
      </c>
      <c r="C33" s="510">
        <v>9901443377</v>
      </c>
      <c r="D33" s="513" t="s">
        <v>336</v>
      </c>
      <c r="E33" s="460" t="s">
        <v>32</v>
      </c>
      <c r="F33" s="461"/>
      <c r="G33" s="462">
        <v>71.400000000000006</v>
      </c>
      <c r="H33" s="462">
        <f t="shared" si="0"/>
        <v>0</v>
      </c>
      <c r="I33" s="462">
        <f t="shared" si="1"/>
        <v>8568</v>
      </c>
      <c r="J33" s="463">
        <v>4</v>
      </c>
      <c r="K33" s="464"/>
      <c r="L33" s="462">
        <f t="shared" si="2"/>
        <v>0</v>
      </c>
      <c r="M33" s="462"/>
      <c r="N33" s="462"/>
      <c r="O33" s="462">
        <f t="shared" si="3"/>
        <v>0</v>
      </c>
      <c r="P33" s="488">
        <f t="shared" si="4"/>
        <v>714</v>
      </c>
      <c r="Q33" s="489">
        <f t="shared" si="5"/>
        <v>704.21917808219177</v>
      </c>
      <c r="R33" s="489">
        <f t="shared" si="6"/>
        <v>65.753424657534239</v>
      </c>
      <c r="S33" s="490">
        <f t="shared" si="7"/>
        <v>8568</v>
      </c>
      <c r="T33" s="490">
        <f t="shared" si="8"/>
        <v>10051.972602739726</v>
      </c>
      <c r="U33" s="491">
        <f t="shared" si="9"/>
        <v>0</v>
      </c>
      <c r="V33" s="462"/>
      <c r="W33" s="462">
        <v>10</v>
      </c>
      <c r="X33" s="462"/>
      <c r="Y33" s="462"/>
      <c r="Z33" s="462">
        <f t="shared" si="10"/>
        <v>10</v>
      </c>
      <c r="AA33" s="462">
        <f t="shared" si="11"/>
        <v>-10</v>
      </c>
      <c r="AB33" s="489">
        <v>1000</v>
      </c>
      <c r="AF33"/>
      <c r="AG33"/>
      <c r="AH33"/>
      <c r="AI33"/>
    </row>
    <row r="34" spans="1:35" s="486" customFormat="1">
      <c r="A34" s="456">
        <v>33</v>
      </c>
      <c r="B34" s="466" t="s">
        <v>337</v>
      </c>
      <c r="C34" s="510">
        <v>9901443228</v>
      </c>
      <c r="D34" s="460" t="s">
        <v>338</v>
      </c>
      <c r="E34" s="460" t="s">
        <v>35</v>
      </c>
      <c r="F34" s="461">
        <v>31</v>
      </c>
      <c r="G34" s="462">
        <v>71.400000000000006</v>
      </c>
      <c r="H34" s="462">
        <f t="shared" si="0"/>
        <v>2213.4</v>
      </c>
      <c r="I34" s="462">
        <f t="shared" si="1"/>
        <v>8568</v>
      </c>
      <c r="J34" s="463">
        <v>4</v>
      </c>
      <c r="K34" s="465">
        <v>35</v>
      </c>
      <c r="L34" s="462">
        <f t="shared" si="2"/>
        <v>1760</v>
      </c>
      <c r="M34" s="462">
        <v>1510</v>
      </c>
      <c r="N34" s="462">
        <v>250</v>
      </c>
      <c r="O34" s="462">
        <f t="shared" si="3"/>
        <v>4008.4</v>
      </c>
      <c r="P34" s="488">
        <f t="shared" si="4"/>
        <v>1229</v>
      </c>
      <c r="Q34" s="489">
        <f t="shared" si="5"/>
        <v>1212.1643835616437</v>
      </c>
      <c r="R34" s="489">
        <f t="shared" si="6"/>
        <v>65.753424657534239</v>
      </c>
      <c r="S34" s="490">
        <f t="shared" si="7"/>
        <v>15748</v>
      </c>
      <c r="T34" s="490">
        <f t="shared" si="8"/>
        <v>18254.917808219179</v>
      </c>
      <c r="U34" s="491">
        <f t="shared" si="9"/>
        <v>181.53</v>
      </c>
      <c r="V34" s="462"/>
      <c r="W34" s="462"/>
      <c r="X34" s="462"/>
      <c r="Y34" s="462"/>
      <c r="Z34" s="462">
        <f t="shared" si="10"/>
        <v>181.53</v>
      </c>
      <c r="AA34" s="462">
        <f t="shared" si="11"/>
        <v>3826.87</v>
      </c>
      <c r="AB34" s="489">
        <v>1000</v>
      </c>
      <c r="AF34"/>
      <c r="AG34"/>
      <c r="AH34"/>
      <c r="AI34"/>
    </row>
    <row r="35" spans="1:35" s="486" customFormat="1">
      <c r="A35" s="456">
        <v>34</v>
      </c>
      <c r="B35" s="466" t="s">
        <v>339</v>
      </c>
      <c r="C35" s="510">
        <v>9901442459</v>
      </c>
      <c r="D35" s="460" t="s">
        <v>340</v>
      </c>
      <c r="E35" s="460" t="s">
        <v>44</v>
      </c>
      <c r="F35" s="461">
        <v>31</v>
      </c>
      <c r="G35" s="462">
        <v>72.540000000000006</v>
      </c>
      <c r="H35" s="462">
        <f t="shared" si="0"/>
        <v>2248.7400000000002</v>
      </c>
      <c r="I35" s="462">
        <f t="shared" si="1"/>
        <v>8704.8000000000011</v>
      </c>
      <c r="J35" s="463">
        <v>4</v>
      </c>
      <c r="K35" s="464">
        <v>50</v>
      </c>
      <c r="L35" s="462">
        <f t="shared" si="2"/>
        <v>1760</v>
      </c>
      <c r="M35" s="462">
        <v>1510</v>
      </c>
      <c r="N35" s="462">
        <v>250</v>
      </c>
      <c r="O35" s="462">
        <f t="shared" si="3"/>
        <v>4058.7400000000002</v>
      </c>
      <c r="P35" s="488">
        <f t="shared" si="4"/>
        <v>1245.4000000000001</v>
      </c>
      <c r="Q35" s="489">
        <f t="shared" si="5"/>
        <v>1228.3397260273973</v>
      </c>
      <c r="R35" s="489">
        <f t="shared" si="6"/>
        <v>65.753424657534239</v>
      </c>
      <c r="S35" s="490">
        <f t="shared" si="7"/>
        <v>15944.800000000001</v>
      </c>
      <c r="T35" s="490">
        <f t="shared" si="8"/>
        <v>18484.293150684935</v>
      </c>
      <c r="U35" s="491">
        <f t="shared" si="9"/>
        <v>183.96</v>
      </c>
      <c r="V35" s="462"/>
      <c r="W35" s="462"/>
      <c r="X35" s="462"/>
      <c r="Y35" s="462"/>
      <c r="Z35" s="462">
        <f t="shared" si="10"/>
        <v>183.96</v>
      </c>
      <c r="AA35" s="462">
        <f t="shared" si="11"/>
        <v>3874.78</v>
      </c>
      <c r="AB35" s="489">
        <v>1000</v>
      </c>
      <c r="AF35"/>
      <c r="AG35"/>
      <c r="AH35"/>
      <c r="AI35"/>
    </row>
    <row r="36" spans="1:35" s="486" customFormat="1">
      <c r="A36" s="456">
        <v>35</v>
      </c>
      <c r="B36" s="466" t="s">
        <v>341</v>
      </c>
      <c r="C36" s="510">
        <v>9901442703</v>
      </c>
      <c r="D36" s="460" t="s">
        <v>342</v>
      </c>
      <c r="E36" s="460" t="s">
        <v>1173</v>
      </c>
      <c r="F36" s="461">
        <v>31</v>
      </c>
      <c r="G36" s="462">
        <v>72.540000000000006</v>
      </c>
      <c r="H36" s="462">
        <f t="shared" si="0"/>
        <v>2248.7400000000002</v>
      </c>
      <c r="I36" s="462">
        <f t="shared" si="1"/>
        <v>8704.8000000000011</v>
      </c>
      <c r="J36" s="463">
        <v>4</v>
      </c>
      <c r="K36" s="464">
        <v>75</v>
      </c>
      <c r="L36" s="462">
        <f t="shared" si="2"/>
        <v>1760</v>
      </c>
      <c r="M36" s="462">
        <v>1510</v>
      </c>
      <c r="N36" s="462">
        <v>250</v>
      </c>
      <c r="O36" s="462">
        <f t="shared" si="3"/>
        <v>4083.7400000000002</v>
      </c>
      <c r="P36" s="488">
        <f t="shared" si="4"/>
        <v>1253.7333333333333</v>
      </c>
      <c r="Q36" s="489">
        <f t="shared" si="5"/>
        <v>1236.5589041095891</v>
      </c>
      <c r="R36" s="489">
        <f t="shared" si="6"/>
        <v>65.753424657534239</v>
      </c>
      <c r="S36" s="490">
        <f t="shared" si="7"/>
        <v>16044.800000000001</v>
      </c>
      <c r="T36" s="490">
        <f t="shared" si="8"/>
        <v>18600.845662100459</v>
      </c>
      <c r="U36" s="491">
        <f t="shared" si="9"/>
        <v>185.17</v>
      </c>
      <c r="V36" s="462"/>
      <c r="W36" s="462">
        <v>10</v>
      </c>
      <c r="X36" s="462"/>
      <c r="Y36" s="462"/>
      <c r="Z36" s="462">
        <f t="shared" si="10"/>
        <v>195.17</v>
      </c>
      <c r="AA36" s="462">
        <f t="shared" si="11"/>
        <v>3888.57</v>
      </c>
      <c r="AB36" s="489">
        <v>1000</v>
      </c>
      <c r="AF36"/>
      <c r="AG36"/>
      <c r="AH36"/>
      <c r="AI36"/>
    </row>
    <row r="37" spans="1:35" s="486" customFormat="1">
      <c r="A37" s="456">
        <v>36</v>
      </c>
      <c r="B37" s="457" t="s">
        <v>343</v>
      </c>
      <c r="C37" s="510">
        <v>9901442733</v>
      </c>
      <c r="D37" s="460" t="s">
        <v>344</v>
      </c>
      <c r="E37" s="460" t="s">
        <v>32</v>
      </c>
      <c r="F37" s="461">
        <v>31</v>
      </c>
      <c r="G37" s="462">
        <v>71.400000000000006</v>
      </c>
      <c r="H37" s="462">
        <f t="shared" si="0"/>
        <v>2213.4</v>
      </c>
      <c r="I37" s="462">
        <f t="shared" si="1"/>
        <v>8568</v>
      </c>
      <c r="J37" s="463">
        <v>4</v>
      </c>
      <c r="K37" s="465">
        <v>50</v>
      </c>
      <c r="L37" s="462">
        <f t="shared" si="2"/>
        <v>1760</v>
      </c>
      <c r="M37" s="462">
        <v>1510</v>
      </c>
      <c r="N37" s="462">
        <v>250</v>
      </c>
      <c r="O37" s="462">
        <f t="shared" si="3"/>
        <v>4023.4</v>
      </c>
      <c r="P37" s="488">
        <f t="shared" si="4"/>
        <v>1234</v>
      </c>
      <c r="Q37" s="489">
        <f t="shared" si="5"/>
        <v>1217.0958904109589</v>
      </c>
      <c r="R37" s="489">
        <f t="shared" si="6"/>
        <v>65.753424657534239</v>
      </c>
      <c r="S37" s="490">
        <f t="shared" si="7"/>
        <v>15808</v>
      </c>
      <c r="T37" s="490">
        <f t="shared" si="8"/>
        <v>18324.849315068492</v>
      </c>
      <c r="U37" s="491">
        <f t="shared" si="9"/>
        <v>182.26</v>
      </c>
      <c r="V37" s="462"/>
      <c r="W37" s="462"/>
      <c r="X37" s="462"/>
      <c r="Y37" s="462"/>
      <c r="Z37" s="462">
        <f t="shared" si="10"/>
        <v>182.26</v>
      </c>
      <c r="AA37" s="462">
        <f t="shared" si="11"/>
        <v>3841.1400000000003</v>
      </c>
      <c r="AB37" s="489">
        <v>1000</v>
      </c>
      <c r="AF37"/>
      <c r="AG37"/>
      <c r="AH37"/>
      <c r="AI37"/>
    </row>
    <row r="38" spans="1:35" s="486" customFormat="1">
      <c r="A38" s="456">
        <v>37</v>
      </c>
      <c r="B38" s="457" t="s">
        <v>345</v>
      </c>
      <c r="C38" s="510">
        <v>9901443147</v>
      </c>
      <c r="D38" s="460" t="s">
        <v>346</v>
      </c>
      <c r="E38" s="460" t="s">
        <v>35</v>
      </c>
      <c r="F38" s="461">
        <v>31</v>
      </c>
      <c r="G38" s="462">
        <v>71.400000000000006</v>
      </c>
      <c r="H38" s="462">
        <f t="shared" si="0"/>
        <v>2213.4</v>
      </c>
      <c r="I38" s="462">
        <f t="shared" si="1"/>
        <v>8568</v>
      </c>
      <c r="J38" s="463">
        <v>4</v>
      </c>
      <c r="K38" s="465">
        <v>50</v>
      </c>
      <c r="L38" s="462">
        <f t="shared" si="2"/>
        <v>1760</v>
      </c>
      <c r="M38" s="462">
        <v>1510</v>
      </c>
      <c r="N38" s="462">
        <v>250</v>
      </c>
      <c r="O38" s="462">
        <f t="shared" si="3"/>
        <v>4023.4</v>
      </c>
      <c r="P38" s="488">
        <f t="shared" si="4"/>
        <v>1234</v>
      </c>
      <c r="Q38" s="489">
        <f t="shared" si="5"/>
        <v>1217.0958904109589</v>
      </c>
      <c r="R38" s="489">
        <f t="shared" si="6"/>
        <v>65.753424657534239</v>
      </c>
      <c r="S38" s="490">
        <f t="shared" si="7"/>
        <v>15808</v>
      </c>
      <c r="T38" s="490">
        <f t="shared" si="8"/>
        <v>18324.849315068492</v>
      </c>
      <c r="U38" s="491">
        <f t="shared" si="9"/>
        <v>182.26</v>
      </c>
      <c r="V38" s="462"/>
      <c r="W38" s="462"/>
      <c r="X38" s="462"/>
      <c r="Y38" s="462"/>
      <c r="Z38" s="462">
        <f t="shared" si="10"/>
        <v>182.26</v>
      </c>
      <c r="AA38" s="462">
        <f t="shared" si="11"/>
        <v>3841.1400000000003</v>
      </c>
      <c r="AB38" s="489">
        <v>1000</v>
      </c>
      <c r="AF38"/>
      <c r="AG38"/>
      <c r="AH38"/>
      <c r="AI38"/>
    </row>
    <row r="39" spans="1:35" s="486" customFormat="1">
      <c r="A39" s="456">
        <v>38</v>
      </c>
      <c r="B39" s="466" t="s">
        <v>347</v>
      </c>
      <c r="C39" s="510">
        <v>9901442698</v>
      </c>
      <c r="D39" s="460" t="s">
        <v>348</v>
      </c>
      <c r="E39" s="460" t="s">
        <v>39</v>
      </c>
      <c r="F39" s="461">
        <v>31</v>
      </c>
      <c r="G39" s="462">
        <v>78.25</v>
      </c>
      <c r="H39" s="462">
        <f t="shared" si="0"/>
        <v>2425.75</v>
      </c>
      <c r="I39" s="462">
        <f t="shared" si="1"/>
        <v>9390</v>
      </c>
      <c r="J39" s="463">
        <v>4</v>
      </c>
      <c r="K39" s="464">
        <v>75</v>
      </c>
      <c r="L39" s="462">
        <f t="shared" si="2"/>
        <v>1760</v>
      </c>
      <c r="M39" s="462">
        <v>1510</v>
      </c>
      <c r="N39" s="462">
        <v>250</v>
      </c>
      <c r="O39" s="462">
        <f t="shared" si="3"/>
        <v>4260.75</v>
      </c>
      <c r="P39" s="488">
        <f t="shared" si="4"/>
        <v>1310.8333333333333</v>
      </c>
      <c r="Q39" s="489">
        <f t="shared" si="5"/>
        <v>1292.8767123287671</v>
      </c>
      <c r="R39" s="489">
        <f t="shared" si="6"/>
        <v>65.753424657534239</v>
      </c>
      <c r="S39" s="490">
        <f t="shared" si="7"/>
        <v>16730</v>
      </c>
      <c r="T39" s="490">
        <f t="shared" si="8"/>
        <v>19399.463470319632</v>
      </c>
      <c r="U39" s="491">
        <f t="shared" si="9"/>
        <v>193.72</v>
      </c>
      <c r="V39" s="462"/>
      <c r="W39" s="462">
        <v>10</v>
      </c>
      <c r="X39" s="462"/>
      <c r="Y39" s="462"/>
      <c r="Z39" s="462">
        <f t="shared" si="10"/>
        <v>203.72</v>
      </c>
      <c r="AA39" s="462">
        <f t="shared" si="11"/>
        <v>4057.03</v>
      </c>
      <c r="AB39" s="489">
        <v>1000</v>
      </c>
      <c r="AF39"/>
      <c r="AG39"/>
      <c r="AH39"/>
      <c r="AI39"/>
    </row>
    <row r="40" spans="1:35" s="486" customFormat="1">
      <c r="A40" s="456">
        <v>39</v>
      </c>
      <c r="B40" s="457" t="s">
        <v>349</v>
      </c>
      <c r="C40" s="510">
        <v>9901442721</v>
      </c>
      <c r="D40" s="460" t="s">
        <v>350</v>
      </c>
      <c r="E40" s="460" t="s">
        <v>32</v>
      </c>
      <c r="F40" s="461">
        <v>31</v>
      </c>
      <c r="G40" s="462">
        <v>71.400000000000006</v>
      </c>
      <c r="H40" s="462">
        <f t="shared" si="0"/>
        <v>2213.4</v>
      </c>
      <c r="I40" s="462">
        <f t="shared" si="1"/>
        <v>8568</v>
      </c>
      <c r="J40" s="463">
        <v>4</v>
      </c>
      <c r="K40" s="511">
        <v>50</v>
      </c>
      <c r="L40" s="462">
        <f t="shared" si="2"/>
        <v>1760</v>
      </c>
      <c r="M40" s="462">
        <v>1510</v>
      </c>
      <c r="N40" s="462">
        <v>250</v>
      </c>
      <c r="O40" s="462">
        <f t="shared" si="3"/>
        <v>4023.4</v>
      </c>
      <c r="P40" s="488">
        <f t="shared" si="4"/>
        <v>1234</v>
      </c>
      <c r="Q40" s="489">
        <f t="shared" si="5"/>
        <v>1217.0958904109589</v>
      </c>
      <c r="R40" s="489">
        <f t="shared" si="6"/>
        <v>65.753424657534239</v>
      </c>
      <c r="S40" s="490">
        <f t="shared" si="7"/>
        <v>15808</v>
      </c>
      <c r="T40" s="490">
        <f t="shared" si="8"/>
        <v>18324.849315068492</v>
      </c>
      <c r="U40" s="491">
        <f t="shared" si="9"/>
        <v>182.26</v>
      </c>
      <c r="V40" s="462"/>
      <c r="W40" s="462">
        <v>10</v>
      </c>
      <c r="X40" s="462"/>
      <c r="Y40" s="462">
        <v>1421.06</v>
      </c>
      <c r="Z40" s="462">
        <f t="shared" si="10"/>
        <v>1613.32</v>
      </c>
      <c r="AA40" s="462">
        <f t="shared" si="11"/>
        <v>2410.08</v>
      </c>
      <c r="AB40" s="489">
        <v>1000</v>
      </c>
      <c r="AD40" s="486" t="s">
        <v>351</v>
      </c>
      <c r="AF40"/>
      <c r="AG40"/>
      <c r="AH40"/>
      <c r="AI40"/>
    </row>
    <row r="41" spans="1:35" s="486" customFormat="1">
      <c r="A41" s="456">
        <v>40</v>
      </c>
      <c r="B41" s="457" t="s">
        <v>352</v>
      </c>
      <c r="C41" s="510">
        <v>9901442688</v>
      </c>
      <c r="D41" s="460" t="s">
        <v>353</v>
      </c>
      <c r="E41" s="460" t="s">
        <v>1173</v>
      </c>
      <c r="F41" s="461">
        <v>31</v>
      </c>
      <c r="G41" s="462">
        <v>72.540000000000006</v>
      </c>
      <c r="H41" s="462">
        <f t="shared" si="0"/>
        <v>2248.7400000000002</v>
      </c>
      <c r="I41" s="462">
        <f t="shared" si="1"/>
        <v>8704.8000000000011</v>
      </c>
      <c r="J41" s="463">
        <v>4</v>
      </c>
      <c r="K41" s="511">
        <v>50</v>
      </c>
      <c r="L41" s="462">
        <f t="shared" si="2"/>
        <v>1760</v>
      </c>
      <c r="M41" s="462">
        <v>1510</v>
      </c>
      <c r="N41" s="462">
        <v>250</v>
      </c>
      <c r="O41" s="462">
        <f t="shared" si="3"/>
        <v>4058.7400000000002</v>
      </c>
      <c r="P41" s="488">
        <f t="shared" si="4"/>
        <v>1245.4000000000001</v>
      </c>
      <c r="Q41" s="489">
        <f t="shared" si="5"/>
        <v>1228.3397260273973</v>
      </c>
      <c r="R41" s="489">
        <f t="shared" si="6"/>
        <v>65.753424657534239</v>
      </c>
      <c r="S41" s="490">
        <f t="shared" si="7"/>
        <v>15944.800000000001</v>
      </c>
      <c r="T41" s="490">
        <f t="shared" si="8"/>
        <v>18484.293150684935</v>
      </c>
      <c r="U41" s="491">
        <f t="shared" si="9"/>
        <v>183.96</v>
      </c>
      <c r="V41" s="462"/>
      <c r="W41" s="462">
        <v>10</v>
      </c>
      <c r="X41" s="512">
        <v>934.05</v>
      </c>
      <c r="Y41" s="462">
        <v>1568.42</v>
      </c>
      <c r="Z41" s="462">
        <f t="shared" si="10"/>
        <v>2696.4300000000003</v>
      </c>
      <c r="AA41" s="462">
        <f t="shared" si="11"/>
        <v>1362.31</v>
      </c>
      <c r="AB41" s="489">
        <v>1000</v>
      </c>
      <c r="AD41" s="486" t="s">
        <v>354</v>
      </c>
      <c r="AF41"/>
      <c r="AG41"/>
      <c r="AH41"/>
      <c r="AI41"/>
    </row>
    <row r="42" spans="1:35" s="486" customFormat="1">
      <c r="A42" s="456">
        <v>41</v>
      </c>
      <c r="B42" s="457" t="s">
        <v>355</v>
      </c>
      <c r="C42" s="510">
        <v>9901442704</v>
      </c>
      <c r="D42" s="460" t="s">
        <v>356</v>
      </c>
      <c r="E42" s="460" t="s">
        <v>1173</v>
      </c>
      <c r="F42" s="461">
        <v>31</v>
      </c>
      <c r="G42" s="462">
        <v>72.540000000000006</v>
      </c>
      <c r="H42" s="462">
        <f t="shared" si="0"/>
        <v>2248.7400000000002</v>
      </c>
      <c r="I42" s="462">
        <f t="shared" si="1"/>
        <v>8704.8000000000011</v>
      </c>
      <c r="J42" s="463">
        <v>4</v>
      </c>
      <c r="K42" s="464">
        <v>75</v>
      </c>
      <c r="L42" s="462">
        <f t="shared" si="2"/>
        <v>1760</v>
      </c>
      <c r="M42" s="462">
        <v>1510</v>
      </c>
      <c r="N42" s="462">
        <v>250</v>
      </c>
      <c r="O42" s="462">
        <f t="shared" si="3"/>
        <v>4083.7400000000002</v>
      </c>
      <c r="P42" s="488">
        <f t="shared" si="4"/>
        <v>1253.7333333333333</v>
      </c>
      <c r="Q42" s="489">
        <f t="shared" si="5"/>
        <v>1236.5589041095891</v>
      </c>
      <c r="R42" s="489">
        <f t="shared" si="6"/>
        <v>65.753424657534239</v>
      </c>
      <c r="S42" s="490">
        <f t="shared" si="7"/>
        <v>16044.800000000001</v>
      </c>
      <c r="T42" s="490">
        <f t="shared" si="8"/>
        <v>18600.845662100459</v>
      </c>
      <c r="U42" s="491">
        <f t="shared" si="9"/>
        <v>185.17</v>
      </c>
      <c r="V42" s="462"/>
      <c r="W42" s="462">
        <v>10</v>
      </c>
      <c r="X42" s="462"/>
      <c r="Y42" s="462">
        <v>1662.47</v>
      </c>
      <c r="Z42" s="462">
        <f t="shared" si="10"/>
        <v>1857.64</v>
      </c>
      <c r="AA42" s="462">
        <f t="shared" si="11"/>
        <v>2226.1000000000004</v>
      </c>
      <c r="AB42" s="489">
        <v>1000</v>
      </c>
      <c r="AF42"/>
      <c r="AG42"/>
      <c r="AH42"/>
      <c r="AI42"/>
    </row>
    <row r="43" spans="1:35" s="486" customFormat="1">
      <c r="A43" s="456">
        <v>42</v>
      </c>
      <c r="B43" s="457" t="s">
        <v>357</v>
      </c>
      <c r="C43" s="510">
        <v>9901443431</v>
      </c>
      <c r="D43" s="460" t="s">
        <v>358</v>
      </c>
      <c r="E43" s="460" t="s">
        <v>32</v>
      </c>
      <c r="F43" s="461">
        <v>31</v>
      </c>
      <c r="G43" s="462">
        <v>71.400000000000006</v>
      </c>
      <c r="H43" s="462">
        <f t="shared" si="0"/>
        <v>2213.4</v>
      </c>
      <c r="I43" s="462">
        <f t="shared" si="1"/>
        <v>8568</v>
      </c>
      <c r="J43" s="463">
        <v>4</v>
      </c>
      <c r="K43" s="465">
        <v>50</v>
      </c>
      <c r="L43" s="462">
        <f t="shared" si="2"/>
        <v>1760</v>
      </c>
      <c r="M43" s="462">
        <v>1510</v>
      </c>
      <c r="N43" s="462">
        <v>250</v>
      </c>
      <c r="O43" s="462">
        <f t="shared" si="3"/>
        <v>4023.4</v>
      </c>
      <c r="P43" s="488">
        <f t="shared" si="4"/>
        <v>1234</v>
      </c>
      <c r="Q43" s="489">
        <f t="shared" si="5"/>
        <v>1217.0958904109589</v>
      </c>
      <c r="R43" s="489">
        <f t="shared" si="6"/>
        <v>65.753424657534239</v>
      </c>
      <c r="S43" s="490">
        <f t="shared" si="7"/>
        <v>15808</v>
      </c>
      <c r="T43" s="490">
        <f t="shared" si="8"/>
        <v>18324.849315068492</v>
      </c>
      <c r="U43" s="491">
        <f t="shared" si="9"/>
        <v>182.26</v>
      </c>
      <c r="V43" s="462"/>
      <c r="W43" s="462">
        <v>10</v>
      </c>
      <c r="X43" s="462"/>
      <c r="Y43" s="462">
        <v>731.24</v>
      </c>
      <c r="Z43" s="462">
        <f t="shared" si="10"/>
        <v>923.5</v>
      </c>
      <c r="AA43" s="462">
        <f t="shared" si="11"/>
        <v>3099.9</v>
      </c>
      <c r="AB43" s="489">
        <v>1000</v>
      </c>
      <c r="AF43"/>
      <c r="AG43"/>
      <c r="AH43"/>
      <c r="AI43"/>
    </row>
    <row r="44" spans="1:35" s="486" customFormat="1">
      <c r="A44" s="456">
        <v>43</v>
      </c>
      <c r="B44" s="457" t="s">
        <v>359</v>
      </c>
      <c r="C44" s="510">
        <v>9901442692</v>
      </c>
      <c r="D44" s="460" t="s">
        <v>360</v>
      </c>
      <c r="E44" s="460" t="s">
        <v>39</v>
      </c>
      <c r="F44" s="461">
        <v>31</v>
      </c>
      <c r="G44" s="462">
        <v>78.25</v>
      </c>
      <c r="H44" s="462">
        <f t="shared" si="0"/>
        <v>2425.75</v>
      </c>
      <c r="I44" s="462">
        <f t="shared" si="1"/>
        <v>9390</v>
      </c>
      <c r="J44" s="463">
        <v>4</v>
      </c>
      <c r="K44" s="464">
        <v>75</v>
      </c>
      <c r="L44" s="462">
        <f t="shared" si="2"/>
        <v>1760</v>
      </c>
      <c r="M44" s="462">
        <v>1510</v>
      </c>
      <c r="N44" s="462">
        <v>250</v>
      </c>
      <c r="O44" s="462">
        <f t="shared" si="3"/>
        <v>4260.75</v>
      </c>
      <c r="P44" s="488">
        <f t="shared" si="4"/>
        <v>1310.8333333333333</v>
      </c>
      <c r="Q44" s="489">
        <f t="shared" si="5"/>
        <v>1292.8767123287671</v>
      </c>
      <c r="R44" s="489">
        <f t="shared" si="6"/>
        <v>65.753424657534239</v>
      </c>
      <c r="S44" s="490">
        <f t="shared" si="7"/>
        <v>16730</v>
      </c>
      <c r="T44" s="490">
        <f t="shared" si="8"/>
        <v>19399.463470319632</v>
      </c>
      <c r="U44" s="491">
        <f t="shared" si="9"/>
        <v>193.72</v>
      </c>
      <c r="V44" s="462"/>
      <c r="W44" s="462">
        <v>10</v>
      </c>
      <c r="X44" s="462"/>
      <c r="Y44" s="462"/>
      <c r="Z44" s="462">
        <f t="shared" si="10"/>
        <v>203.72</v>
      </c>
      <c r="AA44" s="462">
        <f t="shared" si="11"/>
        <v>4057.03</v>
      </c>
      <c r="AB44" s="489">
        <v>1000</v>
      </c>
      <c r="AF44"/>
      <c r="AG44"/>
      <c r="AH44"/>
      <c r="AI44"/>
    </row>
    <row r="45" spans="1:35" s="486" customFormat="1">
      <c r="A45" s="456">
        <v>44</v>
      </c>
      <c r="B45" s="466" t="s">
        <v>361</v>
      </c>
      <c r="C45" s="510">
        <v>9901442723</v>
      </c>
      <c r="D45" s="460" t="s">
        <v>362</v>
      </c>
      <c r="E45" s="460" t="s">
        <v>32</v>
      </c>
      <c r="F45" s="461">
        <v>31</v>
      </c>
      <c r="G45" s="462">
        <v>71.400000000000006</v>
      </c>
      <c r="H45" s="462">
        <f t="shared" si="0"/>
        <v>2213.4</v>
      </c>
      <c r="I45" s="462">
        <f t="shared" si="1"/>
        <v>8568</v>
      </c>
      <c r="J45" s="463">
        <v>4</v>
      </c>
      <c r="K45" s="464">
        <v>50</v>
      </c>
      <c r="L45" s="462">
        <f t="shared" si="2"/>
        <v>1760</v>
      </c>
      <c r="M45" s="462">
        <v>1510</v>
      </c>
      <c r="N45" s="462">
        <v>250</v>
      </c>
      <c r="O45" s="462">
        <f t="shared" si="3"/>
        <v>4023.4</v>
      </c>
      <c r="P45" s="488">
        <f t="shared" si="4"/>
        <v>1234</v>
      </c>
      <c r="Q45" s="489">
        <f t="shared" si="5"/>
        <v>1217.0958904109589</v>
      </c>
      <c r="R45" s="489">
        <f t="shared" si="6"/>
        <v>65.753424657534239</v>
      </c>
      <c r="S45" s="490">
        <f t="shared" si="7"/>
        <v>15808</v>
      </c>
      <c r="T45" s="490">
        <f t="shared" si="8"/>
        <v>18324.849315068492</v>
      </c>
      <c r="U45" s="491">
        <f t="shared" si="9"/>
        <v>182.26</v>
      </c>
      <c r="V45" s="462"/>
      <c r="W45" s="462">
        <v>10</v>
      </c>
      <c r="X45" s="512">
        <v>1886.7</v>
      </c>
      <c r="Y45" s="462"/>
      <c r="Z45" s="462">
        <f t="shared" si="10"/>
        <v>2078.96</v>
      </c>
      <c r="AA45" s="462">
        <f t="shared" si="11"/>
        <v>1944.44</v>
      </c>
      <c r="AB45" s="489">
        <v>1000</v>
      </c>
      <c r="AF45"/>
      <c r="AG45"/>
      <c r="AH45"/>
      <c r="AI45"/>
    </row>
    <row r="46" spans="1:35" s="486" customFormat="1">
      <c r="A46" s="456">
        <v>45</v>
      </c>
      <c r="B46" s="466" t="s">
        <v>363</v>
      </c>
      <c r="C46" s="510">
        <v>9901442691</v>
      </c>
      <c r="D46" s="460" t="s">
        <v>364</v>
      </c>
      <c r="E46" s="460" t="s">
        <v>51</v>
      </c>
      <c r="F46" s="461">
        <v>31</v>
      </c>
      <c r="G46" s="462">
        <v>74.63</v>
      </c>
      <c r="H46" s="462">
        <f t="shared" si="0"/>
        <v>2313.5299999999997</v>
      </c>
      <c r="I46" s="462">
        <f t="shared" si="1"/>
        <v>8955.5999999999985</v>
      </c>
      <c r="J46" s="463">
        <v>4</v>
      </c>
      <c r="K46" s="464">
        <v>75</v>
      </c>
      <c r="L46" s="462">
        <f t="shared" si="2"/>
        <v>1760</v>
      </c>
      <c r="M46" s="462">
        <v>1510</v>
      </c>
      <c r="N46" s="462">
        <v>250</v>
      </c>
      <c r="O46" s="462">
        <f t="shared" si="3"/>
        <v>4148.53</v>
      </c>
      <c r="P46" s="488">
        <f t="shared" si="4"/>
        <v>1274.6333333333332</v>
      </c>
      <c r="Q46" s="489">
        <f t="shared" si="5"/>
        <v>1257.172602739726</v>
      </c>
      <c r="R46" s="489">
        <f t="shared" si="6"/>
        <v>65.753424657534239</v>
      </c>
      <c r="S46" s="490">
        <f t="shared" si="7"/>
        <v>16295.599999999999</v>
      </c>
      <c r="T46" s="490">
        <f t="shared" si="8"/>
        <v>18893.159360730591</v>
      </c>
      <c r="U46" s="491">
        <f t="shared" si="9"/>
        <v>188.3</v>
      </c>
      <c r="V46" s="462"/>
      <c r="W46" s="462">
        <v>10</v>
      </c>
      <c r="X46" s="462"/>
      <c r="Y46" s="462"/>
      <c r="Z46" s="462">
        <f t="shared" si="10"/>
        <v>198.3</v>
      </c>
      <c r="AA46" s="462">
        <f t="shared" si="11"/>
        <v>3950.2299999999996</v>
      </c>
      <c r="AB46" s="489">
        <v>1000</v>
      </c>
      <c r="AF46"/>
      <c r="AG46"/>
      <c r="AH46"/>
      <c r="AI46"/>
    </row>
    <row r="47" spans="1:35" s="486" customFormat="1">
      <c r="A47" s="456">
        <v>46</v>
      </c>
      <c r="B47" s="457" t="s">
        <v>365</v>
      </c>
      <c r="C47" s="510">
        <v>9901443766</v>
      </c>
      <c r="D47" s="460" t="s">
        <v>366</v>
      </c>
      <c r="E47" s="460" t="s">
        <v>57</v>
      </c>
      <c r="F47" s="461">
        <v>31</v>
      </c>
      <c r="G47" s="462">
        <v>74.63</v>
      </c>
      <c r="H47" s="462">
        <f t="shared" si="0"/>
        <v>2313.5299999999997</v>
      </c>
      <c r="I47" s="462">
        <f t="shared" si="1"/>
        <v>8955.5999999999985</v>
      </c>
      <c r="J47" s="463">
        <v>4</v>
      </c>
      <c r="K47" s="464">
        <v>75</v>
      </c>
      <c r="L47" s="462">
        <f t="shared" si="2"/>
        <v>1760</v>
      </c>
      <c r="M47" s="462">
        <v>1510</v>
      </c>
      <c r="N47" s="462">
        <v>250</v>
      </c>
      <c r="O47" s="462">
        <f t="shared" si="3"/>
        <v>4148.53</v>
      </c>
      <c r="P47" s="488">
        <f t="shared" si="4"/>
        <v>1274.6333333333332</v>
      </c>
      <c r="Q47" s="489">
        <f t="shared" si="5"/>
        <v>1257.172602739726</v>
      </c>
      <c r="R47" s="489">
        <f t="shared" si="6"/>
        <v>65.753424657534239</v>
      </c>
      <c r="S47" s="490">
        <f t="shared" si="7"/>
        <v>16295.599999999999</v>
      </c>
      <c r="T47" s="490">
        <f t="shared" si="8"/>
        <v>18893.159360730591</v>
      </c>
      <c r="U47" s="491">
        <f t="shared" si="9"/>
        <v>188.3</v>
      </c>
      <c r="V47" s="462"/>
      <c r="W47" s="462">
        <v>10</v>
      </c>
      <c r="X47" s="462"/>
      <c r="Y47" s="462"/>
      <c r="Z47" s="462">
        <f t="shared" si="10"/>
        <v>198.3</v>
      </c>
      <c r="AA47" s="462">
        <f t="shared" si="11"/>
        <v>3950.2299999999996</v>
      </c>
      <c r="AB47" s="489">
        <v>1000</v>
      </c>
      <c r="AF47"/>
      <c r="AG47"/>
      <c r="AH47"/>
      <c r="AI47"/>
    </row>
    <row r="48" spans="1:35" s="486" customFormat="1">
      <c r="A48" s="456">
        <v>47</v>
      </c>
      <c r="B48" s="466" t="s">
        <v>367</v>
      </c>
      <c r="C48" s="510">
        <v>9901442727</v>
      </c>
      <c r="D48" s="460" t="s">
        <v>368</v>
      </c>
      <c r="E48" s="460" t="s">
        <v>32</v>
      </c>
      <c r="F48" s="461">
        <v>31</v>
      </c>
      <c r="G48" s="462">
        <v>71.400000000000006</v>
      </c>
      <c r="H48" s="462">
        <f t="shared" si="0"/>
        <v>2213.4</v>
      </c>
      <c r="I48" s="462">
        <f t="shared" si="1"/>
        <v>8568</v>
      </c>
      <c r="J48" s="463">
        <v>4</v>
      </c>
      <c r="K48" s="464">
        <v>50</v>
      </c>
      <c r="L48" s="462">
        <f t="shared" si="2"/>
        <v>1760</v>
      </c>
      <c r="M48" s="462">
        <v>1510</v>
      </c>
      <c r="N48" s="462">
        <v>250</v>
      </c>
      <c r="O48" s="462">
        <f t="shared" si="3"/>
        <v>4023.4</v>
      </c>
      <c r="P48" s="488">
        <f t="shared" si="4"/>
        <v>1234</v>
      </c>
      <c r="Q48" s="489">
        <f t="shared" si="5"/>
        <v>1217.0958904109589</v>
      </c>
      <c r="R48" s="489">
        <f t="shared" si="6"/>
        <v>65.753424657534239</v>
      </c>
      <c r="S48" s="490">
        <f t="shared" si="7"/>
        <v>15808</v>
      </c>
      <c r="T48" s="490">
        <f t="shared" si="8"/>
        <v>18324.849315068492</v>
      </c>
      <c r="U48" s="491">
        <f t="shared" si="9"/>
        <v>182.26</v>
      </c>
      <c r="V48" s="462"/>
      <c r="W48" s="462">
        <v>10</v>
      </c>
      <c r="X48" s="462"/>
      <c r="Y48" s="462">
        <v>1769.99</v>
      </c>
      <c r="Z48" s="462">
        <f t="shared" si="10"/>
        <v>1962.25</v>
      </c>
      <c r="AA48" s="462">
        <f t="shared" si="11"/>
        <v>2061.15</v>
      </c>
      <c r="AB48" s="489">
        <v>1000</v>
      </c>
      <c r="AF48"/>
      <c r="AG48"/>
      <c r="AH48"/>
      <c r="AI48"/>
    </row>
    <row r="49" spans="1:35" s="486" customFormat="1">
      <c r="A49" s="456">
        <v>48</v>
      </c>
      <c r="B49" s="457" t="s">
        <v>369</v>
      </c>
      <c r="C49" s="510">
        <v>9901442699</v>
      </c>
      <c r="D49" s="460" t="s">
        <v>370</v>
      </c>
      <c r="E49" s="460" t="s">
        <v>53</v>
      </c>
      <c r="F49" s="461">
        <v>31</v>
      </c>
      <c r="G49" s="462">
        <v>72.540000000000006</v>
      </c>
      <c r="H49" s="462">
        <f t="shared" si="0"/>
        <v>2248.7400000000002</v>
      </c>
      <c r="I49" s="462">
        <f t="shared" si="1"/>
        <v>8704.8000000000011</v>
      </c>
      <c r="J49" s="463">
        <v>4</v>
      </c>
      <c r="K49" s="464">
        <v>75</v>
      </c>
      <c r="L49" s="462">
        <f t="shared" si="2"/>
        <v>1760</v>
      </c>
      <c r="M49" s="462">
        <v>1510</v>
      </c>
      <c r="N49" s="462">
        <v>250</v>
      </c>
      <c r="O49" s="462">
        <f t="shared" si="3"/>
        <v>4083.7400000000002</v>
      </c>
      <c r="P49" s="488">
        <f t="shared" si="4"/>
        <v>1253.7333333333333</v>
      </c>
      <c r="Q49" s="489">
        <f t="shared" si="5"/>
        <v>1236.5589041095891</v>
      </c>
      <c r="R49" s="489">
        <f t="shared" si="6"/>
        <v>65.753424657534239</v>
      </c>
      <c r="S49" s="490">
        <f t="shared" si="7"/>
        <v>16044.800000000001</v>
      </c>
      <c r="T49" s="490">
        <f t="shared" si="8"/>
        <v>18600.845662100459</v>
      </c>
      <c r="U49" s="491">
        <f t="shared" si="9"/>
        <v>185.17</v>
      </c>
      <c r="V49" s="462"/>
      <c r="W49" s="462">
        <v>10</v>
      </c>
      <c r="X49" s="462"/>
      <c r="Y49" s="462">
        <v>1782.81</v>
      </c>
      <c r="Z49" s="462">
        <f t="shared" si="10"/>
        <v>1977.98</v>
      </c>
      <c r="AA49" s="462">
        <f t="shared" si="11"/>
        <v>2105.7600000000002</v>
      </c>
      <c r="AB49" s="489">
        <v>1000</v>
      </c>
      <c r="AF49"/>
      <c r="AG49"/>
      <c r="AH49"/>
      <c r="AI49"/>
    </row>
    <row r="50" spans="1:35" s="486" customFormat="1">
      <c r="A50" s="456">
        <v>49</v>
      </c>
      <c r="B50" s="466" t="s">
        <v>371</v>
      </c>
      <c r="C50" s="510">
        <v>9901442728</v>
      </c>
      <c r="D50" s="460" t="s">
        <v>372</v>
      </c>
      <c r="E50" s="460" t="s">
        <v>32</v>
      </c>
      <c r="F50" s="461">
        <v>31</v>
      </c>
      <c r="G50" s="462">
        <v>71.400000000000006</v>
      </c>
      <c r="H50" s="462">
        <f t="shared" si="0"/>
        <v>2213.4</v>
      </c>
      <c r="I50" s="462">
        <f t="shared" si="1"/>
        <v>8568</v>
      </c>
      <c r="J50" s="463">
        <v>4</v>
      </c>
      <c r="K50" s="464">
        <v>50</v>
      </c>
      <c r="L50" s="462">
        <f t="shared" si="2"/>
        <v>1760</v>
      </c>
      <c r="M50" s="462">
        <v>1510</v>
      </c>
      <c r="N50" s="462">
        <v>250</v>
      </c>
      <c r="O50" s="462">
        <f t="shared" si="3"/>
        <v>4023.4</v>
      </c>
      <c r="P50" s="488">
        <f t="shared" si="4"/>
        <v>1234</v>
      </c>
      <c r="Q50" s="489">
        <f t="shared" si="5"/>
        <v>1217.0958904109589</v>
      </c>
      <c r="R50" s="489">
        <f t="shared" si="6"/>
        <v>65.753424657534239</v>
      </c>
      <c r="S50" s="490">
        <f t="shared" si="7"/>
        <v>15808</v>
      </c>
      <c r="T50" s="490">
        <f t="shared" si="8"/>
        <v>18324.849315068492</v>
      </c>
      <c r="U50" s="491">
        <f t="shared" si="9"/>
        <v>182.26</v>
      </c>
      <c r="V50" s="462"/>
      <c r="W50" s="462"/>
      <c r="X50" s="462"/>
      <c r="Y50" s="462"/>
      <c r="Z50" s="462">
        <f t="shared" si="10"/>
        <v>182.26</v>
      </c>
      <c r="AA50" s="462">
        <f t="shared" si="11"/>
        <v>3841.1400000000003</v>
      </c>
      <c r="AB50" s="489">
        <v>1000</v>
      </c>
      <c r="AF50"/>
      <c r="AG50"/>
      <c r="AH50"/>
      <c r="AI50"/>
    </row>
    <row r="51" spans="1:35" s="486" customFormat="1">
      <c r="A51" s="456">
        <v>50</v>
      </c>
      <c r="B51" s="466" t="s">
        <v>373</v>
      </c>
      <c r="C51" s="510">
        <v>9901443949</v>
      </c>
      <c r="D51" s="460" t="s">
        <v>374</v>
      </c>
      <c r="E51" s="460" t="s">
        <v>32</v>
      </c>
      <c r="F51" s="461">
        <v>31</v>
      </c>
      <c r="G51" s="462">
        <v>71.400000000000006</v>
      </c>
      <c r="H51" s="462">
        <f t="shared" si="0"/>
        <v>2213.4</v>
      </c>
      <c r="I51" s="462">
        <f t="shared" si="1"/>
        <v>8568</v>
      </c>
      <c r="J51" s="463">
        <v>4</v>
      </c>
      <c r="K51" s="464">
        <v>75</v>
      </c>
      <c r="L51" s="462">
        <f t="shared" si="2"/>
        <v>1760</v>
      </c>
      <c r="M51" s="462">
        <v>1510</v>
      </c>
      <c r="N51" s="462">
        <v>250</v>
      </c>
      <c r="O51" s="462">
        <f t="shared" si="3"/>
        <v>4048.4</v>
      </c>
      <c r="P51" s="488">
        <f t="shared" si="4"/>
        <v>1242.3333333333333</v>
      </c>
      <c r="Q51" s="489">
        <f t="shared" si="5"/>
        <v>1225.3150684931506</v>
      </c>
      <c r="R51" s="489">
        <f t="shared" si="6"/>
        <v>65.753424657534239</v>
      </c>
      <c r="S51" s="490">
        <f t="shared" si="7"/>
        <v>15908</v>
      </c>
      <c r="T51" s="490">
        <f t="shared" si="8"/>
        <v>18441.401826484016</v>
      </c>
      <c r="U51" s="491">
        <f t="shared" si="9"/>
        <v>183.46</v>
      </c>
      <c r="V51" s="462"/>
      <c r="W51" s="462">
        <v>10</v>
      </c>
      <c r="X51" s="462"/>
      <c r="Y51" s="462"/>
      <c r="Z51" s="462">
        <f t="shared" si="10"/>
        <v>193.46</v>
      </c>
      <c r="AA51" s="462">
        <f t="shared" si="11"/>
        <v>3854.94</v>
      </c>
      <c r="AB51" s="489">
        <v>1000</v>
      </c>
      <c r="AF51"/>
      <c r="AG51"/>
      <c r="AH51"/>
      <c r="AI51"/>
    </row>
    <row r="52" spans="1:35" s="486" customFormat="1">
      <c r="A52" s="456">
        <v>51</v>
      </c>
      <c r="B52" s="457" t="s">
        <v>375</v>
      </c>
      <c r="C52" s="510">
        <v>9901443429</v>
      </c>
      <c r="D52" s="460" t="s">
        <v>376</v>
      </c>
      <c r="E52" s="460" t="s">
        <v>50</v>
      </c>
      <c r="F52" s="461">
        <v>31</v>
      </c>
      <c r="G52" s="462">
        <v>74.63</v>
      </c>
      <c r="H52" s="462">
        <f t="shared" si="0"/>
        <v>2313.5299999999997</v>
      </c>
      <c r="I52" s="462">
        <f t="shared" si="1"/>
        <v>8955.5999999999985</v>
      </c>
      <c r="J52" s="463">
        <v>4</v>
      </c>
      <c r="K52" s="464">
        <v>75</v>
      </c>
      <c r="L52" s="462">
        <f t="shared" si="2"/>
        <v>1760</v>
      </c>
      <c r="M52" s="462">
        <v>1510</v>
      </c>
      <c r="N52" s="462">
        <v>250</v>
      </c>
      <c r="O52" s="462">
        <f t="shared" si="3"/>
        <v>4148.53</v>
      </c>
      <c r="P52" s="488">
        <f t="shared" si="4"/>
        <v>1274.6333333333332</v>
      </c>
      <c r="Q52" s="489">
        <f t="shared" si="5"/>
        <v>1257.172602739726</v>
      </c>
      <c r="R52" s="489">
        <f t="shared" si="6"/>
        <v>65.753424657534239</v>
      </c>
      <c r="S52" s="490">
        <f t="shared" si="7"/>
        <v>16295.599999999999</v>
      </c>
      <c r="T52" s="490">
        <f t="shared" si="8"/>
        <v>18893.159360730591</v>
      </c>
      <c r="U52" s="491">
        <f t="shared" si="9"/>
        <v>188.3</v>
      </c>
      <c r="V52" s="462"/>
      <c r="W52" s="462"/>
      <c r="X52" s="462"/>
      <c r="Y52" s="462"/>
      <c r="Z52" s="462">
        <f t="shared" si="10"/>
        <v>188.3</v>
      </c>
      <c r="AA52" s="462">
        <f t="shared" si="11"/>
        <v>3960.2299999999996</v>
      </c>
      <c r="AB52" s="489">
        <v>1000</v>
      </c>
      <c r="AF52"/>
      <c r="AG52"/>
      <c r="AH52"/>
      <c r="AI52"/>
    </row>
    <row r="53" spans="1:35" s="486" customFormat="1">
      <c r="A53" s="456">
        <v>52</v>
      </c>
      <c r="B53" s="457" t="s">
        <v>377</v>
      </c>
      <c r="C53" s="510">
        <v>9901442718</v>
      </c>
      <c r="D53" s="460" t="s">
        <v>378</v>
      </c>
      <c r="E53" s="460" t="s">
        <v>32</v>
      </c>
      <c r="F53" s="461">
        <v>31</v>
      </c>
      <c r="G53" s="462">
        <v>71.400000000000006</v>
      </c>
      <c r="H53" s="462">
        <f t="shared" si="0"/>
        <v>2213.4</v>
      </c>
      <c r="I53" s="462">
        <f t="shared" si="1"/>
        <v>8568</v>
      </c>
      <c r="J53" s="463">
        <v>4</v>
      </c>
      <c r="K53" s="464">
        <v>75</v>
      </c>
      <c r="L53" s="462">
        <f t="shared" si="2"/>
        <v>1760</v>
      </c>
      <c r="M53" s="462">
        <v>1510</v>
      </c>
      <c r="N53" s="462">
        <v>250</v>
      </c>
      <c r="O53" s="462">
        <f t="shared" si="3"/>
        <v>4048.4</v>
      </c>
      <c r="P53" s="488">
        <f t="shared" si="4"/>
        <v>1242.3333333333333</v>
      </c>
      <c r="Q53" s="489">
        <f t="shared" si="5"/>
        <v>1225.3150684931506</v>
      </c>
      <c r="R53" s="489">
        <f t="shared" si="6"/>
        <v>65.753424657534239</v>
      </c>
      <c r="S53" s="490">
        <f t="shared" si="7"/>
        <v>15908</v>
      </c>
      <c r="T53" s="490">
        <f t="shared" si="8"/>
        <v>18441.401826484016</v>
      </c>
      <c r="U53" s="491">
        <f t="shared" si="9"/>
        <v>183.46</v>
      </c>
      <c r="V53" s="462"/>
      <c r="W53" s="462">
        <v>10</v>
      </c>
      <c r="X53" s="462"/>
      <c r="Y53" s="462"/>
      <c r="Z53" s="462">
        <f t="shared" si="10"/>
        <v>193.46</v>
      </c>
      <c r="AA53" s="462">
        <f t="shared" si="11"/>
        <v>3854.94</v>
      </c>
      <c r="AB53" s="489">
        <v>1000</v>
      </c>
      <c r="AF53"/>
      <c r="AG53"/>
      <c r="AH53"/>
      <c r="AI53"/>
    </row>
    <row r="54" spans="1:35" s="486" customFormat="1">
      <c r="A54" s="456">
        <v>53</v>
      </c>
      <c r="B54" s="457" t="s">
        <v>379</v>
      </c>
      <c r="C54" s="510">
        <v>9901442724</v>
      </c>
      <c r="D54" s="460" t="s">
        <v>380</v>
      </c>
      <c r="E54" s="460" t="s">
        <v>32</v>
      </c>
      <c r="F54" s="461">
        <v>31</v>
      </c>
      <c r="G54" s="462">
        <v>71.400000000000006</v>
      </c>
      <c r="H54" s="462">
        <f t="shared" si="0"/>
        <v>2213.4</v>
      </c>
      <c r="I54" s="462">
        <f t="shared" si="1"/>
        <v>8568</v>
      </c>
      <c r="J54" s="463">
        <v>4</v>
      </c>
      <c r="K54" s="464">
        <v>50</v>
      </c>
      <c r="L54" s="462">
        <f t="shared" si="2"/>
        <v>1760</v>
      </c>
      <c r="M54" s="462">
        <v>1510</v>
      </c>
      <c r="N54" s="462">
        <v>250</v>
      </c>
      <c r="O54" s="462">
        <f t="shared" si="3"/>
        <v>4023.4</v>
      </c>
      <c r="P54" s="488">
        <f t="shared" si="4"/>
        <v>1234</v>
      </c>
      <c r="Q54" s="489">
        <f t="shared" si="5"/>
        <v>1217.0958904109589</v>
      </c>
      <c r="R54" s="489">
        <f t="shared" si="6"/>
        <v>65.753424657534239</v>
      </c>
      <c r="S54" s="490">
        <f t="shared" si="7"/>
        <v>15808</v>
      </c>
      <c r="T54" s="490">
        <f t="shared" si="8"/>
        <v>18324.849315068492</v>
      </c>
      <c r="U54" s="491">
        <f t="shared" si="9"/>
        <v>182.26</v>
      </c>
      <c r="V54" s="462"/>
      <c r="W54" s="462">
        <v>10</v>
      </c>
      <c r="X54" s="462"/>
      <c r="Y54" s="462">
        <v>1453.1</v>
      </c>
      <c r="Z54" s="462">
        <f t="shared" si="10"/>
        <v>1645.36</v>
      </c>
      <c r="AA54" s="462">
        <f t="shared" si="11"/>
        <v>2378.04</v>
      </c>
      <c r="AB54" s="489">
        <v>1000</v>
      </c>
      <c r="AC54" s="514"/>
      <c r="AF54"/>
      <c r="AG54"/>
      <c r="AH54"/>
      <c r="AI54"/>
    </row>
    <row r="55" spans="1:35" s="486" customFormat="1">
      <c r="A55" s="456">
        <v>54</v>
      </c>
      <c r="B55" s="466" t="s">
        <v>381</v>
      </c>
      <c r="C55" s="510">
        <v>9901442731</v>
      </c>
      <c r="D55" s="460" t="s">
        <v>382</v>
      </c>
      <c r="E55" s="460" t="s">
        <v>32</v>
      </c>
      <c r="F55" s="461">
        <v>31</v>
      </c>
      <c r="G55" s="462">
        <v>71.400000000000006</v>
      </c>
      <c r="H55" s="462">
        <f t="shared" si="0"/>
        <v>2213.4</v>
      </c>
      <c r="I55" s="462">
        <f t="shared" si="1"/>
        <v>8568</v>
      </c>
      <c r="J55" s="463">
        <v>4</v>
      </c>
      <c r="K55" s="465">
        <v>50</v>
      </c>
      <c r="L55" s="462">
        <f t="shared" si="2"/>
        <v>1760</v>
      </c>
      <c r="M55" s="462">
        <v>1510</v>
      </c>
      <c r="N55" s="462">
        <v>250</v>
      </c>
      <c r="O55" s="462">
        <f t="shared" si="3"/>
        <v>4023.4</v>
      </c>
      <c r="P55" s="488">
        <f t="shared" si="4"/>
        <v>1234</v>
      </c>
      <c r="Q55" s="489">
        <f t="shared" si="5"/>
        <v>1217.0958904109589</v>
      </c>
      <c r="R55" s="489">
        <f t="shared" si="6"/>
        <v>65.753424657534239</v>
      </c>
      <c r="S55" s="490">
        <f t="shared" si="7"/>
        <v>15808</v>
      </c>
      <c r="T55" s="490">
        <f t="shared" si="8"/>
        <v>18324.849315068492</v>
      </c>
      <c r="U55" s="491">
        <f t="shared" si="9"/>
        <v>182.26</v>
      </c>
      <c r="V55" s="462"/>
      <c r="W55" s="462">
        <v>10</v>
      </c>
      <c r="X55" s="462"/>
      <c r="Y55" s="462"/>
      <c r="Z55" s="462">
        <f t="shared" si="10"/>
        <v>192.26</v>
      </c>
      <c r="AA55" s="462">
        <f t="shared" si="11"/>
        <v>3831.1400000000003</v>
      </c>
      <c r="AB55" s="489">
        <v>1000</v>
      </c>
      <c r="AF55"/>
      <c r="AG55"/>
      <c r="AH55"/>
      <c r="AI55"/>
    </row>
    <row r="56" spans="1:35" s="486" customFormat="1">
      <c r="A56" s="456">
        <v>55</v>
      </c>
      <c r="B56" s="457" t="s">
        <v>383</v>
      </c>
      <c r="C56" s="510">
        <v>9901442734</v>
      </c>
      <c r="D56" s="460" t="s">
        <v>384</v>
      </c>
      <c r="E56" s="460" t="s">
        <v>39</v>
      </c>
      <c r="F56" s="461">
        <v>31</v>
      </c>
      <c r="G56" s="462">
        <v>78.25</v>
      </c>
      <c r="H56" s="462">
        <f t="shared" si="0"/>
        <v>2425.75</v>
      </c>
      <c r="I56" s="462">
        <f t="shared" si="1"/>
        <v>9390</v>
      </c>
      <c r="J56" s="463">
        <v>4</v>
      </c>
      <c r="K56" s="465">
        <v>35</v>
      </c>
      <c r="L56" s="462">
        <f t="shared" si="2"/>
        <v>1760</v>
      </c>
      <c r="M56" s="462">
        <v>1510</v>
      </c>
      <c r="N56" s="462">
        <v>250</v>
      </c>
      <c r="O56" s="462">
        <f t="shared" si="3"/>
        <v>4220.75</v>
      </c>
      <c r="P56" s="488">
        <f t="shared" si="4"/>
        <v>1297.5</v>
      </c>
      <c r="Q56" s="489">
        <f t="shared" si="5"/>
        <v>1279.7260273972604</v>
      </c>
      <c r="R56" s="489">
        <f t="shared" si="6"/>
        <v>65.753424657534239</v>
      </c>
      <c r="S56" s="490">
        <f t="shared" si="7"/>
        <v>16570</v>
      </c>
      <c r="T56" s="490">
        <f t="shared" si="8"/>
        <v>19212.979452054795</v>
      </c>
      <c r="U56" s="491">
        <f t="shared" si="9"/>
        <v>191.79</v>
      </c>
      <c r="V56" s="462"/>
      <c r="W56" s="462"/>
      <c r="X56" s="462"/>
      <c r="Y56" s="462"/>
      <c r="Z56" s="462">
        <f t="shared" si="10"/>
        <v>191.79</v>
      </c>
      <c r="AA56" s="462">
        <f t="shared" si="11"/>
        <v>4028.96</v>
      </c>
      <c r="AB56" s="489">
        <v>1000</v>
      </c>
      <c r="AF56"/>
      <c r="AG56"/>
      <c r="AH56"/>
      <c r="AI56"/>
    </row>
    <row r="57" spans="1:35" s="486" customFormat="1">
      <c r="A57" s="456">
        <v>56</v>
      </c>
      <c r="B57" s="466" t="s">
        <v>385</v>
      </c>
      <c r="C57" s="510">
        <v>9901442712</v>
      </c>
      <c r="D57" s="460" t="s">
        <v>386</v>
      </c>
      <c r="E57" s="460" t="s">
        <v>32</v>
      </c>
      <c r="F57" s="461">
        <v>31</v>
      </c>
      <c r="G57" s="462">
        <v>71.400000000000006</v>
      </c>
      <c r="H57" s="462">
        <f t="shared" si="0"/>
        <v>2213.4</v>
      </c>
      <c r="I57" s="462">
        <f t="shared" si="1"/>
        <v>8568</v>
      </c>
      <c r="J57" s="463">
        <v>4</v>
      </c>
      <c r="K57" s="464">
        <v>75</v>
      </c>
      <c r="L57" s="462">
        <f t="shared" si="2"/>
        <v>1760</v>
      </c>
      <c r="M57" s="462">
        <v>1510</v>
      </c>
      <c r="N57" s="462">
        <v>250</v>
      </c>
      <c r="O57" s="462">
        <f t="shared" si="3"/>
        <v>4048.4</v>
      </c>
      <c r="P57" s="488">
        <f t="shared" si="4"/>
        <v>1242.3333333333333</v>
      </c>
      <c r="Q57" s="489">
        <f t="shared" si="5"/>
        <v>1225.3150684931506</v>
      </c>
      <c r="R57" s="489">
        <f t="shared" si="6"/>
        <v>65.753424657534239</v>
      </c>
      <c r="S57" s="490">
        <f t="shared" si="7"/>
        <v>15908</v>
      </c>
      <c r="T57" s="490">
        <f t="shared" si="8"/>
        <v>18441.401826484016</v>
      </c>
      <c r="U57" s="491">
        <f t="shared" si="9"/>
        <v>183.46</v>
      </c>
      <c r="V57" s="462"/>
      <c r="W57" s="462">
        <v>10</v>
      </c>
      <c r="X57" s="462"/>
      <c r="Y57" s="462"/>
      <c r="Z57" s="462">
        <f t="shared" si="10"/>
        <v>193.46</v>
      </c>
      <c r="AA57" s="462">
        <f t="shared" si="11"/>
        <v>3854.94</v>
      </c>
      <c r="AB57" s="489">
        <v>1000</v>
      </c>
      <c r="AF57"/>
      <c r="AG57"/>
      <c r="AH57"/>
      <c r="AI57"/>
    </row>
    <row r="58" spans="1:35" s="486" customFormat="1">
      <c r="A58" s="456">
        <v>57</v>
      </c>
      <c r="B58" s="457" t="s">
        <v>387</v>
      </c>
      <c r="C58" s="510">
        <v>9901442453</v>
      </c>
      <c r="D58" s="460" t="s">
        <v>388</v>
      </c>
      <c r="E58" s="460" t="s">
        <v>39</v>
      </c>
      <c r="F58" s="461">
        <v>31</v>
      </c>
      <c r="G58" s="462">
        <v>78.25</v>
      </c>
      <c r="H58" s="462">
        <f t="shared" si="0"/>
        <v>2425.75</v>
      </c>
      <c r="I58" s="462">
        <f t="shared" si="1"/>
        <v>9390</v>
      </c>
      <c r="J58" s="463">
        <v>4</v>
      </c>
      <c r="K58" s="464">
        <v>75</v>
      </c>
      <c r="L58" s="462">
        <f t="shared" si="2"/>
        <v>1760</v>
      </c>
      <c r="M58" s="462">
        <v>1510</v>
      </c>
      <c r="N58" s="462">
        <v>250</v>
      </c>
      <c r="O58" s="462">
        <f t="shared" si="3"/>
        <v>4260.75</v>
      </c>
      <c r="P58" s="488">
        <f t="shared" si="4"/>
        <v>1310.8333333333333</v>
      </c>
      <c r="Q58" s="489">
        <f t="shared" si="5"/>
        <v>1292.8767123287671</v>
      </c>
      <c r="R58" s="489">
        <f t="shared" si="6"/>
        <v>65.753424657534239</v>
      </c>
      <c r="S58" s="490">
        <f t="shared" si="7"/>
        <v>16730</v>
      </c>
      <c r="T58" s="490">
        <f t="shared" si="8"/>
        <v>19399.463470319632</v>
      </c>
      <c r="U58" s="491">
        <f t="shared" si="9"/>
        <v>193.72</v>
      </c>
      <c r="V58" s="462"/>
      <c r="W58" s="462"/>
      <c r="X58" s="462"/>
      <c r="Y58" s="462"/>
      <c r="Z58" s="462">
        <f t="shared" si="10"/>
        <v>193.72</v>
      </c>
      <c r="AA58" s="462">
        <f t="shared" si="11"/>
        <v>4067.03</v>
      </c>
      <c r="AB58" s="489">
        <v>1000</v>
      </c>
      <c r="AF58"/>
      <c r="AG58"/>
      <c r="AH58"/>
      <c r="AI58"/>
    </row>
    <row r="59" spans="1:35" s="486" customFormat="1">
      <c r="A59" s="456">
        <v>58</v>
      </c>
      <c r="B59" s="466" t="s">
        <v>389</v>
      </c>
      <c r="C59" s="510">
        <v>9901442720</v>
      </c>
      <c r="D59" s="460" t="s">
        <v>390</v>
      </c>
      <c r="E59" s="460" t="s">
        <v>32</v>
      </c>
      <c r="F59" s="461">
        <v>31</v>
      </c>
      <c r="G59" s="462">
        <v>71.400000000000006</v>
      </c>
      <c r="H59" s="462">
        <f t="shared" si="0"/>
        <v>2213.4</v>
      </c>
      <c r="I59" s="462">
        <f t="shared" si="1"/>
        <v>8568</v>
      </c>
      <c r="J59" s="463">
        <v>4</v>
      </c>
      <c r="K59" s="511">
        <v>50</v>
      </c>
      <c r="L59" s="462">
        <f t="shared" si="2"/>
        <v>1760</v>
      </c>
      <c r="M59" s="462">
        <v>1510</v>
      </c>
      <c r="N59" s="462">
        <v>250</v>
      </c>
      <c r="O59" s="462">
        <f t="shared" si="3"/>
        <v>4023.4</v>
      </c>
      <c r="P59" s="488">
        <f t="shared" si="4"/>
        <v>1234</v>
      </c>
      <c r="Q59" s="489">
        <f t="shared" si="5"/>
        <v>1217.0958904109589</v>
      </c>
      <c r="R59" s="489">
        <f t="shared" si="6"/>
        <v>65.753424657534239</v>
      </c>
      <c r="S59" s="490">
        <f t="shared" si="7"/>
        <v>15808</v>
      </c>
      <c r="T59" s="490">
        <f t="shared" si="8"/>
        <v>18324.849315068492</v>
      </c>
      <c r="U59" s="491">
        <f t="shared" si="9"/>
        <v>182.26</v>
      </c>
      <c r="V59" s="462"/>
      <c r="W59" s="462"/>
      <c r="X59" s="462"/>
      <c r="Y59" s="462">
        <v>1856.16</v>
      </c>
      <c r="Z59" s="462">
        <f t="shared" si="10"/>
        <v>2038.42</v>
      </c>
      <c r="AA59" s="462">
        <f t="shared" si="11"/>
        <v>1984.98</v>
      </c>
      <c r="AB59" s="489">
        <v>1000</v>
      </c>
      <c r="AD59" s="486" t="s">
        <v>354</v>
      </c>
      <c r="AF59"/>
      <c r="AG59"/>
      <c r="AH59"/>
      <c r="AI59"/>
    </row>
    <row r="60" spans="1:35" s="486" customFormat="1">
      <c r="A60" s="456">
        <v>59</v>
      </c>
      <c r="B60" s="457" t="s">
        <v>391</v>
      </c>
      <c r="C60" s="510">
        <v>9901442454</v>
      </c>
      <c r="D60" s="460" t="s">
        <v>392</v>
      </c>
      <c r="E60" s="460" t="s">
        <v>39</v>
      </c>
      <c r="F60" s="461">
        <v>31</v>
      </c>
      <c r="G60" s="462">
        <v>78.25</v>
      </c>
      <c r="H60" s="462">
        <f t="shared" si="0"/>
        <v>2425.75</v>
      </c>
      <c r="I60" s="462">
        <f t="shared" si="1"/>
        <v>9390</v>
      </c>
      <c r="J60" s="463">
        <v>4</v>
      </c>
      <c r="K60" s="464">
        <v>75</v>
      </c>
      <c r="L60" s="462">
        <f t="shared" si="2"/>
        <v>1760</v>
      </c>
      <c r="M60" s="462">
        <v>1510</v>
      </c>
      <c r="N60" s="462">
        <v>250</v>
      </c>
      <c r="O60" s="462">
        <f t="shared" si="3"/>
        <v>4260.75</v>
      </c>
      <c r="P60" s="488">
        <f t="shared" si="4"/>
        <v>1310.8333333333333</v>
      </c>
      <c r="Q60" s="489">
        <f t="shared" si="5"/>
        <v>1292.8767123287671</v>
      </c>
      <c r="R60" s="489">
        <f t="shared" si="6"/>
        <v>65.753424657534239</v>
      </c>
      <c r="S60" s="490">
        <f t="shared" si="7"/>
        <v>16730</v>
      </c>
      <c r="T60" s="490">
        <f t="shared" si="8"/>
        <v>19399.463470319632</v>
      </c>
      <c r="U60" s="491">
        <f t="shared" si="9"/>
        <v>193.72</v>
      </c>
      <c r="V60" s="462"/>
      <c r="W60" s="462">
        <v>10</v>
      </c>
      <c r="X60" s="462"/>
      <c r="Y60" s="462"/>
      <c r="Z60" s="462">
        <f t="shared" si="10"/>
        <v>203.72</v>
      </c>
      <c r="AA60" s="462">
        <f t="shared" si="11"/>
        <v>4057.03</v>
      </c>
      <c r="AB60" s="489">
        <v>1000</v>
      </c>
      <c r="AF60"/>
      <c r="AG60"/>
      <c r="AH60"/>
      <c r="AI60"/>
    </row>
    <row r="61" spans="1:35" s="486" customFormat="1">
      <c r="A61" s="456">
        <v>60</v>
      </c>
      <c r="B61" s="457" t="s">
        <v>393</v>
      </c>
      <c r="C61" s="510">
        <v>9901442284</v>
      </c>
      <c r="D61" s="460" t="s">
        <v>394</v>
      </c>
      <c r="E61" s="460" t="s">
        <v>32</v>
      </c>
      <c r="F61" s="461">
        <v>31</v>
      </c>
      <c r="G61" s="462">
        <v>71.400000000000006</v>
      </c>
      <c r="H61" s="462">
        <f t="shared" si="0"/>
        <v>2213.4</v>
      </c>
      <c r="I61" s="462">
        <f t="shared" si="1"/>
        <v>8568</v>
      </c>
      <c r="J61" s="463">
        <v>4</v>
      </c>
      <c r="K61" s="464">
        <v>75</v>
      </c>
      <c r="L61" s="462">
        <f t="shared" si="2"/>
        <v>1760</v>
      </c>
      <c r="M61" s="462">
        <v>1510</v>
      </c>
      <c r="N61" s="462">
        <v>250</v>
      </c>
      <c r="O61" s="462">
        <f t="shared" si="3"/>
        <v>4048.4</v>
      </c>
      <c r="P61" s="488">
        <f t="shared" si="4"/>
        <v>1242.3333333333333</v>
      </c>
      <c r="Q61" s="489">
        <f t="shared" si="5"/>
        <v>1225.3150684931506</v>
      </c>
      <c r="R61" s="489">
        <f t="shared" si="6"/>
        <v>65.753424657534239</v>
      </c>
      <c r="S61" s="490">
        <f t="shared" si="7"/>
        <v>15908</v>
      </c>
      <c r="T61" s="490">
        <f t="shared" si="8"/>
        <v>18441.401826484016</v>
      </c>
      <c r="U61" s="491">
        <f t="shared" si="9"/>
        <v>183.46</v>
      </c>
      <c r="V61" s="462"/>
      <c r="W61" s="462">
        <v>10</v>
      </c>
      <c r="X61" s="462"/>
      <c r="Y61" s="462">
        <v>1457.36</v>
      </c>
      <c r="Z61" s="462">
        <f t="shared" si="10"/>
        <v>1650.82</v>
      </c>
      <c r="AA61" s="462">
        <f t="shared" si="11"/>
        <v>2397.58</v>
      </c>
      <c r="AB61" s="489">
        <v>1000</v>
      </c>
      <c r="AF61"/>
      <c r="AG61"/>
      <c r="AH61"/>
      <c r="AI61"/>
    </row>
    <row r="62" spans="1:35" s="486" customFormat="1">
      <c r="A62" s="456">
        <v>61</v>
      </c>
      <c r="B62" s="466" t="s">
        <v>395</v>
      </c>
      <c r="C62" s="510">
        <v>9901442562</v>
      </c>
      <c r="D62" s="460" t="s">
        <v>396</v>
      </c>
      <c r="E62" s="460" t="s">
        <v>39</v>
      </c>
      <c r="F62" s="461">
        <v>31</v>
      </c>
      <c r="G62" s="462">
        <v>78.25</v>
      </c>
      <c r="H62" s="462">
        <f t="shared" si="0"/>
        <v>2425.75</v>
      </c>
      <c r="I62" s="462">
        <f t="shared" si="1"/>
        <v>9390</v>
      </c>
      <c r="J62" s="463">
        <v>4</v>
      </c>
      <c r="K62" s="464">
        <v>75</v>
      </c>
      <c r="L62" s="462">
        <f t="shared" si="2"/>
        <v>1760</v>
      </c>
      <c r="M62" s="462">
        <v>1510</v>
      </c>
      <c r="N62" s="462">
        <v>250</v>
      </c>
      <c r="O62" s="462">
        <f t="shared" si="3"/>
        <v>4260.75</v>
      </c>
      <c r="P62" s="488">
        <f t="shared" si="4"/>
        <v>1310.8333333333333</v>
      </c>
      <c r="Q62" s="489">
        <f t="shared" si="5"/>
        <v>1292.8767123287671</v>
      </c>
      <c r="R62" s="489">
        <f t="shared" si="6"/>
        <v>65.753424657534239</v>
      </c>
      <c r="S62" s="490">
        <f t="shared" si="7"/>
        <v>16730</v>
      </c>
      <c r="T62" s="490">
        <f t="shared" si="8"/>
        <v>19399.463470319632</v>
      </c>
      <c r="U62" s="491">
        <f t="shared" si="9"/>
        <v>193.72</v>
      </c>
      <c r="V62" s="462"/>
      <c r="W62" s="462">
        <v>10</v>
      </c>
      <c r="X62" s="462"/>
      <c r="Y62" s="462">
        <v>1898.88</v>
      </c>
      <c r="Z62" s="462">
        <f t="shared" si="10"/>
        <v>2102.6</v>
      </c>
      <c r="AA62" s="462">
        <f t="shared" si="11"/>
        <v>2158.15</v>
      </c>
      <c r="AB62" s="489">
        <v>1000</v>
      </c>
      <c r="AF62"/>
      <c r="AG62"/>
      <c r="AH62"/>
      <c r="AI62"/>
    </row>
    <row r="63" spans="1:35" s="486" customFormat="1">
      <c r="A63" s="456">
        <v>62</v>
      </c>
      <c r="B63" s="466" t="s">
        <v>397</v>
      </c>
      <c r="C63" s="510">
        <v>9901442717</v>
      </c>
      <c r="D63" s="460" t="s">
        <v>398</v>
      </c>
      <c r="E63" s="460" t="s">
        <v>32</v>
      </c>
      <c r="F63" s="461">
        <v>31</v>
      </c>
      <c r="G63" s="462">
        <v>71.400000000000006</v>
      </c>
      <c r="H63" s="462">
        <f t="shared" si="0"/>
        <v>2213.4</v>
      </c>
      <c r="I63" s="462">
        <f t="shared" si="1"/>
        <v>8568</v>
      </c>
      <c r="J63" s="463">
        <v>4</v>
      </c>
      <c r="K63" s="464">
        <v>75</v>
      </c>
      <c r="L63" s="462">
        <f t="shared" si="2"/>
        <v>1760</v>
      </c>
      <c r="M63" s="462">
        <v>1510</v>
      </c>
      <c r="N63" s="462">
        <v>250</v>
      </c>
      <c r="O63" s="462">
        <f t="shared" si="3"/>
        <v>4048.4</v>
      </c>
      <c r="P63" s="488">
        <f t="shared" si="4"/>
        <v>1242.3333333333333</v>
      </c>
      <c r="Q63" s="489">
        <f t="shared" si="5"/>
        <v>1225.3150684931506</v>
      </c>
      <c r="R63" s="489">
        <f t="shared" si="6"/>
        <v>65.753424657534239</v>
      </c>
      <c r="S63" s="490">
        <f t="shared" si="7"/>
        <v>15908</v>
      </c>
      <c r="T63" s="490">
        <f t="shared" si="8"/>
        <v>18441.401826484016</v>
      </c>
      <c r="U63" s="491">
        <f t="shared" si="9"/>
        <v>183.46</v>
      </c>
      <c r="V63" s="462"/>
      <c r="W63" s="462">
        <v>10</v>
      </c>
      <c r="X63" s="462"/>
      <c r="Y63" s="462"/>
      <c r="Z63" s="462">
        <f t="shared" si="10"/>
        <v>193.46</v>
      </c>
      <c r="AA63" s="462">
        <f t="shared" si="11"/>
        <v>3854.94</v>
      </c>
      <c r="AB63" s="489">
        <v>1000</v>
      </c>
      <c r="AF63"/>
      <c r="AG63"/>
      <c r="AH63"/>
      <c r="AI63"/>
    </row>
    <row r="64" spans="1:35" s="486" customFormat="1">
      <c r="A64" s="456">
        <v>63</v>
      </c>
      <c r="B64" s="457" t="s">
        <v>399</v>
      </c>
      <c r="C64" s="510">
        <v>9901443687</v>
      </c>
      <c r="D64" s="460" t="s">
        <v>400</v>
      </c>
      <c r="E64" s="460" t="s">
        <v>1173</v>
      </c>
      <c r="F64" s="461">
        <v>31</v>
      </c>
      <c r="G64" s="462">
        <v>72.540000000000006</v>
      </c>
      <c r="H64" s="462">
        <f t="shared" si="0"/>
        <v>2248.7400000000002</v>
      </c>
      <c r="I64" s="462">
        <f t="shared" si="1"/>
        <v>8704.8000000000011</v>
      </c>
      <c r="J64" s="463">
        <v>4</v>
      </c>
      <c r="K64" s="464">
        <v>75</v>
      </c>
      <c r="L64" s="462">
        <f t="shared" si="2"/>
        <v>1760</v>
      </c>
      <c r="M64" s="462">
        <v>1510</v>
      </c>
      <c r="N64" s="462">
        <v>250</v>
      </c>
      <c r="O64" s="462">
        <f t="shared" si="3"/>
        <v>4083.7400000000002</v>
      </c>
      <c r="P64" s="488">
        <f t="shared" si="4"/>
        <v>1253.7333333333333</v>
      </c>
      <c r="Q64" s="489">
        <f t="shared" si="5"/>
        <v>1236.5589041095891</v>
      </c>
      <c r="R64" s="489">
        <f t="shared" si="6"/>
        <v>65.753424657534239</v>
      </c>
      <c r="S64" s="490">
        <f t="shared" si="7"/>
        <v>16044.800000000001</v>
      </c>
      <c r="T64" s="490">
        <f t="shared" si="8"/>
        <v>18600.845662100459</v>
      </c>
      <c r="U64" s="491">
        <f t="shared" si="9"/>
        <v>185.17</v>
      </c>
      <c r="V64" s="462"/>
      <c r="W64" s="462">
        <v>10</v>
      </c>
      <c r="X64" s="462"/>
      <c r="Y64" s="462">
        <v>1763.59</v>
      </c>
      <c r="Z64" s="462">
        <f t="shared" si="10"/>
        <v>1958.76</v>
      </c>
      <c r="AA64" s="462">
        <f t="shared" si="11"/>
        <v>2124.9800000000005</v>
      </c>
      <c r="AB64" s="489">
        <v>1000</v>
      </c>
      <c r="AF64"/>
      <c r="AG64"/>
      <c r="AH64"/>
      <c r="AI64"/>
    </row>
    <row r="65" spans="1:35" s="486" customFormat="1">
      <c r="A65" s="456">
        <v>64</v>
      </c>
      <c r="B65" s="457" t="s">
        <v>401</v>
      </c>
      <c r="C65" s="510">
        <v>9901443227</v>
      </c>
      <c r="D65" s="460" t="s">
        <v>402</v>
      </c>
      <c r="E65" s="460" t="s">
        <v>32</v>
      </c>
      <c r="F65" s="461">
        <v>31</v>
      </c>
      <c r="G65" s="462">
        <v>71.400000000000006</v>
      </c>
      <c r="H65" s="462">
        <f t="shared" si="0"/>
        <v>2213.4</v>
      </c>
      <c r="I65" s="462">
        <f t="shared" si="1"/>
        <v>8568</v>
      </c>
      <c r="J65" s="463">
        <v>4</v>
      </c>
      <c r="K65" s="465">
        <v>50</v>
      </c>
      <c r="L65" s="462">
        <f t="shared" si="2"/>
        <v>1760</v>
      </c>
      <c r="M65" s="462">
        <v>1510</v>
      </c>
      <c r="N65" s="462">
        <v>250</v>
      </c>
      <c r="O65" s="462">
        <f t="shared" si="3"/>
        <v>4023.4</v>
      </c>
      <c r="P65" s="488">
        <f t="shared" si="4"/>
        <v>1234</v>
      </c>
      <c r="Q65" s="489">
        <f t="shared" si="5"/>
        <v>1217.0958904109589</v>
      </c>
      <c r="R65" s="489">
        <f t="shared" si="6"/>
        <v>65.753424657534239</v>
      </c>
      <c r="S65" s="490">
        <f t="shared" si="7"/>
        <v>15808</v>
      </c>
      <c r="T65" s="490">
        <f t="shared" si="8"/>
        <v>18324.849315068492</v>
      </c>
      <c r="U65" s="491">
        <f t="shared" si="9"/>
        <v>182.26</v>
      </c>
      <c r="V65" s="462"/>
      <c r="W65" s="462"/>
      <c r="X65" s="462"/>
      <c r="Y65" s="462">
        <v>1306.3</v>
      </c>
      <c r="Z65" s="462">
        <f t="shared" si="10"/>
        <v>1488.56</v>
      </c>
      <c r="AA65" s="462">
        <f t="shared" si="11"/>
        <v>2534.84</v>
      </c>
      <c r="AB65" s="489">
        <v>1000</v>
      </c>
      <c r="AF65"/>
      <c r="AG65"/>
      <c r="AH65"/>
      <c r="AI65"/>
    </row>
    <row r="66" spans="1:35" s="486" customFormat="1">
      <c r="A66" s="456">
        <v>65</v>
      </c>
      <c r="B66" s="466" t="s">
        <v>403</v>
      </c>
      <c r="C66" s="510">
        <v>9901442725</v>
      </c>
      <c r="D66" s="460" t="s">
        <v>404</v>
      </c>
      <c r="E66" s="460" t="s">
        <v>32</v>
      </c>
      <c r="F66" s="461">
        <v>31</v>
      </c>
      <c r="G66" s="462">
        <v>71.400000000000006</v>
      </c>
      <c r="H66" s="462">
        <f t="shared" ref="H66:H84" si="12">+F66*G66</f>
        <v>2213.4</v>
      </c>
      <c r="I66" s="462">
        <f t="shared" ref="I66:I84" si="13">G66*120</f>
        <v>8568</v>
      </c>
      <c r="J66" s="463">
        <v>4</v>
      </c>
      <c r="K66" s="464">
        <v>50</v>
      </c>
      <c r="L66" s="462">
        <f t="shared" ref="L66:L83" si="14">M66+N66</f>
        <v>1760</v>
      </c>
      <c r="M66" s="462">
        <v>1510</v>
      </c>
      <c r="N66" s="462">
        <v>250</v>
      </c>
      <c r="O66" s="462">
        <f t="shared" ref="O66:O84" si="15">+H66+M66+N66+K66</f>
        <v>4023.4</v>
      </c>
      <c r="P66" s="488">
        <f t="shared" ref="P66:P84" si="16">(((G66*120)+(K66+M66)*4)/12)</f>
        <v>1234</v>
      </c>
      <c r="Q66" s="489">
        <f t="shared" ref="Q66:Q84" si="17">(((G66*30)+M66+K66)/365*120)</f>
        <v>1217.0958904109589</v>
      </c>
      <c r="R66" s="489">
        <f t="shared" ref="R66:R84" si="18">+(200/365)*120</f>
        <v>65.753424657534239</v>
      </c>
      <c r="S66" s="490">
        <f t="shared" ref="S66:S84" si="19">(((G66*120)+((K66+M66+N66)*4)))</f>
        <v>15808</v>
      </c>
      <c r="T66" s="490">
        <f t="shared" ref="T66:T84" si="20">+S66+R66+Q66+P66</f>
        <v>18324.849315068492</v>
      </c>
      <c r="U66" s="491">
        <f t="shared" ref="U66:U84" si="21">ROUND((((H66+K66+M66)*4.83)/100),2)</f>
        <v>182.26</v>
      </c>
      <c r="V66" s="462"/>
      <c r="W66" s="462">
        <v>10</v>
      </c>
      <c r="X66" s="462"/>
      <c r="Y66" s="462">
        <v>1726.44</v>
      </c>
      <c r="Z66" s="462">
        <f t="shared" ref="Z66:Z84" si="22">V66+W66+X66+Y66+U66</f>
        <v>1918.7</v>
      </c>
      <c r="AA66" s="462">
        <f t="shared" ref="AA66:AA84" si="23">+O66-Z66</f>
        <v>2104.6999999999998</v>
      </c>
      <c r="AB66" s="489">
        <v>1000</v>
      </c>
      <c r="AF66"/>
      <c r="AG66"/>
      <c r="AH66"/>
      <c r="AI66"/>
    </row>
    <row r="67" spans="1:35" s="486" customFormat="1">
      <c r="A67" s="456">
        <v>66</v>
      </c>
      <c r="B67" s="457" t="s">
        <v>405</v>
      </c>
      <c r="C67" s="510">
        <v>9901443698</v>
      </c>
      <c r="D67" s="460" t="s">
        <v>406</v>
      </c>
      <c r="E67" s="460" t="s">
        <v>32</v>
      </c>
      <c r="F67" s="461">
        <v>31</v>
      </c>
      <c r="G67" s="462">
        <v>71.400000000000006</v>
      </c>
      <c r="H67" s="462">
        <f t="shared" si="12"/>
        <v>2213.4</v>
      </c>
      <c r="I67" s="462">
        <f t="shared" si="13"/>
        <v>8568</v>
      </c>
      <c r="J67" s="463">
        <v>4</v>
      </c>
      <c r="K67" s="464">
        <v>50</v>
      </c>
      <c r="L67" s="462">
        <f t="shared" si="14"/>
        <v>1760</v>
      </c>
      <c r="M67" s="462">
        <v>1510</v>
      </c>
      <c r="N67" s="462">
        <v>250</v>
      </c>
      <c r="O67" s="462">
        <f t="shared" si="15"/>
        <v>4023.4</v>
      </c>
      <c r="P67" s="488">
        <f t="shared" si="16"/>
        <v>1234</v>
      </c>
      <c r="Q67" s="489">
        <f t="shared" si="17"/>
        <v>1217.0958904109589</v>
      </c>
      <c r="R67" s="489">
        <f t="shared" si="18"/>
        <v>65.753424657534239</v>
      </c>
      <c r="S67" s="490">
        <f t="shared" si="19"/>
        <v>15808</v>
      </c>
      <c r="T67" s="490">
        <f t="shared" si="20"/>
        <v>18324.849315068492</v>
      </c>
      <c r="U67" s="491">
        <f t="shared" si="21"/>
        <v>182.26</v>
      </c>
      <c r="V67" s="462"/>
      <c r="W67" s="462"/>
      <c r="X67" s="462"/>
      <c r="Y67" s="462"/>
      <c r="Z67" s="462">
        <f t="shared" si="22"/>
        <v>182.26</v>
      </c>
      <c r="AA67" s="462">
        <f t="shared" si="23"/>
        <v>3841.1400000000003</v>
      </c>
      <c r="AB67" s="489">
        <v>1000</v>
      </c>
      <c r="AF67"/>
      <c r="AG67"/>
      <c r="AH67"/>
      <c r="AI67"/>
    </row>
    <row r="68" spans="1:35" s="486" customFormat="1">
      <c r="A68" s="456">
        <v>67</v>
      </c>
      <c r="B68" s="457" t="s">
        <v>407</v>
      </c>
      <c r="C68" s="510">
        <v>9901443688</v>
      </c>
      <c r="D68" s="460" t="s">
        <v>408</v>
      </c>
      <c r="E68" s="460" t="s">
        <v>32</v>
      </c>
      <c r="F68" s="461">
        <v>31</v>
      </c>
      <c r="G68" s="462">
        <v>71.400000000000006</v>
      </c>
      <c r="H68" s="462">
        <f t="shared" si="12"/>
        <v>2213.4</v>
      </c>
      <c r="I68" s="462">
        <f t="shared" si="13"/>
        <v>8568</v>
      </c>
      <c r="J68" s="463">
        <v>4</v>
      </c>
      <c r="K68" s="464">
        <v>75</v>
      </c>
      <c r="L68" s="462">
        <f t="shared" si="14"/>
        <v>1760</v>
      </c>
      <c r="M68" s="462">
        <v>1510</v>
      </c>
      <c r="N68" s="462">
        <v>250</v>
      </c>
      <c r="O68" s="462">
        <f t="shared" si="15"/>
        <v>4048.4</v>
      </c>
      <c r="P68" s="488">
        <f t="shared" si="16"/>
        <v>1242.3333333333333</v>
      </c>
      <c r="Q68" s="489">
        <f t="shared" si="17"/>
        <v>1225.3150684931506</v>
      </c>
      <c r="R68" s="489">
        <f t="shared" si="18"/>
        <v>65.753424657534239</v>
      </c>
      <c r="S68" s="490">
        <f t="shared" si="19"/>
        <v>15908</v>
      </c>
      <c r="T68" s="490">
        <f t="shared" si="20"/>
        <v>18441.401826484016</v>
      </c>
      <c r="U68" s="491">
        <f t="shared" si="21"/>
        <v>183.46</v>
      </c>
      <c r="V68" s="462"/>
      <c r="W68" s="462">
        <v>10</v>
      </c>
      <c r="X68" s="462"/>
      <c r="Y68" s="462"/>
      <c r="Z68" s="462">
        <f t="shared" si="22"/>
        <v>193.46</v>
      </c>
      <c r="AA68" s="462">
        <f t="shared" si="23"/>
        <v>3854.94</v>
      </c>
      <c r="AB68" s="489">
        <v>1000</v>
      </c>
      <c r="AF68"/>
      <c r="AG68"/>
      <c r="AH68"/>
      <c r="AI68"/>
    </row>
    <row r="69" spans="1:35" s="486" customFormat="1">
      <c r="A69" s="456">
        <v>68</v>
      </c>
      <c r="B69" s="457" t="s">
        <v>409</v>
      </c>
      <c r="C69" s="510">
        <v>9901442457</v>
      </c>
      <c r="D69" s="460" t="s">
        <v>410</v>
      </c>
      <c r="E69" s="460" t="s">
        <v>1174</v>
      </c>
      <c r="F69" s="461">
        <v>31</v>
      </c>
      <c r="G69" s="462">
        <v>71.400000000000006</v>
      </c>
      <c r="H69" s="462">
        <f t="shared" si="12"/>
        <v>2213.4</v>
      </c>
      <c r="I69" s="462">
        <f t="shared" si="13"/>
        <v>8568</v>
      </c>
      <c r="J69" s="463">
        <v>4</v>
      </c>
      <c r="K69" s="464">
        <v>50</v>
      </c>
      <c r="L69" s="462">
        <f t="shared" si="14"/>
        <v>1760</v>
      </c>
      <c r="M69" s="462">
        <v>1510</v>
      </c>
      <c r="N69" s="462">
        <v>250</v>
      </c>
      <c r="O69" s="462">
        <f t="shared" si="15"/>
        <v>4023.4</v>
      </c>
      <c r="P69" s="488">
        <f t="shared" si="16"/>
        <v>1234</v>
      </c>
      <c r="Q69" s="489">
        <f t="shared" si="17"/>
        <v>1217.0958904109589</v>
      </c>
      <c r="R69" s="489">
        <f t="shared" si="18"/>
        <v>65.753424657534239</v>
      </c>
      <c r="S69" s="490">
        <f t="shared" si="19"/>
        <v>15808</v>
      </c>
      <c r="T69" s="490">
        <f t="shared" si="20"/>
        <v>18324.849315068492</v>
      </c>
      <c r="U69" s="491">
        <f t="shared" si="21"/>
        <v>182.26</v>
      </c>
      <c r="V69" s="462"/>
      <c r="W69" s="462"/>
      <c r="X69" s="462"/>
      <c r="Y69" s="462">
        <v>1700.2</v>
      </c>
      <c r="Z69" s="462">
        <f t="shared" si="22"/>
        <v>1882.46</v>
      </c>
      <c r="AA69" s="462">
        <f t="shared" si="23"/>
        <v>2140.94</v>
      </c>
      <c r="AB69" s="489">
        <v>1000</v>
      </c>
      <c r="AF69"/>
      <c r="AG69"/>
      <c r="AH69"/>
      <c r="AI69"/>
    </row>
    <row r="70" spans="1:35" s="486" customFormat="1">
      <c r="A70" s="456">
        <v>69</v>
      </c>
      <c r="B70" s="466" t="s">
        <v>411</v>
      </c>
      <c r="C70" s="515">
        <v>9901442693</v>
      </c>
      <c r="D70" s="460" t="s">
        <v>412</v>
      </c>
      <c r="E70" s="460" t="s">
        <v>57</v>
      </c>
      <c r="F70" s="461">
        <v>31</v>
      </c>
      <c r="G70" s="462">
        <v>74.63</v>
      </c>
      <c r="H70" s="462">
        <f t="shared" si="12"/>
        <v>2313.5299999999997</v>
      </c>
      <c r="I70" s="462">
        <f t="shared" si="13"/>
        <v>8955.5999999999985</v>
      </c>
      <c r="J70" s="463">
        <v>4</v>
      </c>
      <c r="K70" s="464">
        <v>75</v>
      </c>
      <c r="L70" s="462">
        <f t="shared" si="14"/>
        <v>1760</v>
      </c>
      <c r="M70" s="462">
        <v>1510</v>
      </c>
      <c r="N70" s="462">
        <v>250</v>
      </c>
      <c r="O70" s="462">
        <f t="shared" si="15"/>
        <v>4148.53</v>
      </c>
      <c r="P70" s="488">
        <f t="shared" si="16"/>
        <v>1274.6333333333332</v>
      </c>
      <c r="Q70" s="489">
        <f t="shared" si="17"/>
        <v>1257.172602739726</v>
      </c>
      <c r="R70" s="489">
        <f t="shared" si="18"/>
        <v>65.753424657534239</v>
      </c>
      <c r="S70" s="490">
        <f t="shared" si="19"/>
        <v>16295.599999999999</v>
      </c>
      <c r="T70" s="490">
        <f t="shared" si="20"/>
        <v>18893.159360730591</v>
      </c>
      <c r="U70" s="491">
        <f t="shared" si="21"/>
        <v>188.3</v>
      </c>
      <c r="V70" s="462"/>
      <c r="W70" s="462">
        <v>10</v>
      </c>
      <c r="X70" s="462"/>
      <c r="Y70" s="462"/>
      <c r="Z70" s="462">
        <f t="shared" si="22"/>
        <v>198.3</v>
      </c>
      <c r="AA70" s="462">
        <f t="shared" si="23"/>
        <v>3950.2299999999996</v>
      </c>
      <c r="AB70" s="489">
        <v>1000</v>
      </c>
      <c r="AF70"/>
      <c r="AG70"/>
      <c r="AH70"/>
      <c r="AI70"/>
    </row>
    <row r="71" spans="1:35" s="486" customFormat="1">
      <c r="A71" s="456">
        <v>70</v>
      </c>
      <c r="B71" s="457" t="s">
        <v>413</v>
      </c>
      <c r="C71" s="510">
        <v>9901443767</v>
      </c>
      <c r="D71" s="460" t="s">
        <v>414</v>
      </c>
      <c r="E71" s="460" t="s">
        <v>32</v>
      </c>
      <c r="F71" s="461">
        <v>31</v>
      </c>
      <c r="G71" s="462">
        <v>71.400000000000006</v>
      </c>
      <c r="H71" s="462">
        <f t="shared" si="12"/>
        <v>2213.4</v>
      </c>
      <c r="I71" s="462">
        <f t="shared" si="13"/>
        <v>8568</v>
      </c>
      <c r="J71" s="463">
        <v>4</v>
      </c>
      <c r="K71" s="464">
        <v>75</v>
      </c>
      <c r="L71" s="462">
        <f t="shared" si="14"/>
        <v>1760</v>
      </c>
      <c r="M71" s="462">
        <v>1510</v>
      </c>
      <c r="N71" s="462">
        <v>250</v>
      </c>
      <c r="O71" s="462">
        <f t="shared" si="15"/>
        <v>4048.4</v>
      </c>
      <c r="P71" s="488">
        <f t="shared" si="16"/>
        <v>1242.3333333333333</v>
      </c>
      <c r="Q71" s="489">
        <f t="shared" si="17"/>
        <v>1225.3150684931506</v>
      </c>
      <c r="R71" s="489">
        <f t="shared" si="18"/>
        <v>65.753424657534239</v>
      </c>
      <c r="S71" s="490">
        <f t="shared" si="19"/>
        <v>15908</v>
      </c>
      <c r="T71" s="490">
        <f t="shared" si="20"/>
        <v>18441.401826484016</v>
      </c>
      <c r="U71" s="491">
        <f t="shared" si="21"/>
        <v>183.46</v>
      </c>
      <c r="V71" s="462"/>
      <c r="W71" s="462"/>
      <c r="X71" s="462"/>
      <c r="Y71" s="462">
        <v>1570.54</v>
      </c>
      <c r="Z71" s="462">
        <f t="shared" si="22"/>
        <v>1754</v>
      </c>
      <c r="AA71" s="462">
        <f t="shared" si="23"/>
        <v>2294.4</v>
      </c>
      <c r="AB71" s="489">
        <v>1000</v>
      </c>
      <c r="AF71"/>
      <c r="AG71"/>
      <c r="AH71"/>
      <c r="AI71"/>
    </row>
    <row r="72" spans="1:35" s="486" customFormat="1">
      <c r="A72" s="456">
        <v>71</v>
      </c>
      <c r="B72" s="457" t="s">
        <v>415</v>
      </c>
      <c r="C72" s="510">
        <v>9901443742</v>
      </c>
      <c r="D72" s="460" t="s">
        <v>416</v>
      </c>
      <c r="E72" s="460" t="s">
        <v>35</v>
      </c>
      <c r="F72" s="461">
        <v>31</v>
      </c>
      <c r="G72" s="462">
        <v>71.400000000000006</v>
      </c>
      <c r="H72" s="462">
        <f t="shared" si="12"/>
        <v>2213.4</v>
      </c>
      <c r="I72" s="462">
        <f t="shared" si="13"/>
        <v>8568</v>
      </c>
      <c r="J72" s="463">
        <v>4</v>
      </c>
      <c r="K72" s="464">
        <v>0</v>
      </c>
      <c r="L72" s="462">
        <f t="shared" si="14"/>
        <v>1760</v>
      </c>
      <c r="M72" s="462">
        <v>1510</v>
      </c>
      <c r="N72" s="462">
        <v>250</v>
      </c>
      <c r="O72" s="462">
        <f t="shared" si="15"/>
        <v>3973.4</v>
      </c>
      <c r="P72" s="488">
        <f t="shared" si="16"/>
        <v>1217.3333333333333</v>
      </c>
      <c r="Q72" s="489">
        <f t="shared" si="17"/>
        <v>1200.6575342465753</v>
      </c>
      <c r="R72" s="489">
        <f t="shared" si="18"/>
        <v>65.753424657534239</v>
      </c>
      <c r="S72" s="490">
        <f t="shared" si="19"/>
        <v>15608</v>
      </c>
      <c r="T72" s="490">
        <f t="shared" si="20"/>
        <v>18091.744292237443</v>
      </c>
      <c r="U72" s="491">
        <f t="shared" si="21"/>
        <v>179.84</v>
      </c>
      <c r="V72" s="462"/>
      <c r="W72" s="462"/>
      <c r="X72" s="462"/>
      <c r="Y72" s="462"/>
      <c r="Z72" s="462">
        <f t="shared" si="22"/>
        <v>179.84</v>
      </c>
      <c r="AA72" s="462">
        <f t="shared" si="23"/>
        <v>3793.56</v>
      </c>
      <c r="AB72" s="489">
        <v>1000</v>
      </c>
      <c r="AF72"/>
      <c r="AG72"/>
      <c r="AH72"/>
      <c r="AI72"/>
    </row>
    <row r="73" spans="1:35" s="486" customFormat="1">
      <c r="A73" s="456">
        <v>72</v>
      </c>
      <c r="B73" s="457" t="s">
        <v>417</v>
      </c>
      <c r="C73" s="516">
        <v>9901443430</v>
      </c>
      <c r="D73" s="460" t="s">
        <v>418</v>
      </c>
      <c r="E73" s="460" t="s">
        <v>32</v>
      </c>
      <c r="F73" s="461">
        <v>31</v>
      </c>
      <c r="G73" s="462">
        <v>71.400000000000006</v>
      </c>
      <c r="H73" s="462">
        <f t="shared" si="12"/>
        <v>2213.4</v>
      </c>
      <c r="I73" s="462">
        <f t="shared" si="13"/>
        <v>8568</v>
      </c>
      <c r="J73" s="463">
        <v>4</v>
      </c>
      <c r="K73" s="464">
        <v>50</v>
      </c>
      <c r="L73" s="462">
        <f t="shared" si="14"/>
        <v>1760</v>
      </c>
      <c r="M73" s="462">
        <v>1510</v>
      </c>
      <c r="N73" s="462">
        <v>250</v>
      </c>
      <c r="O73" s="462">
        <f t="shared" si="15"/>
        <v>4023.4</v>
      </c>
      <c r="P73" s="488">
        <f t="shared" si="16"/>
        <v>1234</v>
      </c>
      <c r="Q73" s="489">
        <f t="shared" si="17"/>
        <v>1217.0958904109589</v>
      </c>
      <c r="R73" s="489">
        <f t="shared" si="18"/>
        <v>65.753424657534239</v>
      </c>
      <c r="S73" s="490">
        <f t="shared" si="19"/>
        <v>15808</v>
      </c>
      <c r="T73" s="490">
        <f t="shared" si="20"/>
        <v>18324.849315068492</v>
      </c>
      <c r="U73" s="491">
        <f t="shared" si="21"/>
        <v>182.26</v>
      </c>
      <c r="V73" s="462"/>
      <c r="W73" s="462"/>
      <c r="X73" s="512">
        <v>943.35</v>
      </c>
      <c r="Y73" s="462">
        <v>1793.49</v>
      </c>
      <c r="Z73" s="462">
        <f t="shared" si="22"/>
        <v>2919.1000000000004</v>
      </c>
      <c r="AA73" s="462">
        <f t="shared" si="23"/>
        <v>1104.2999999999997</v>
      </c>
      <c r="AB73" s="489">
        <v>1000</v>
      </c>
      <c r="AF73"/>
      <c r="AG73"/>
      <c r="AH73"/>
    </row>
    <row r="74" spans="1:35" s="486" customFormat="1">
      <c r="A74" s="456">
        <v>73</v>
      </c>
      <c r="B74" s="517" t="s">
        <v>419</v>
      </c>
      <c r="C74" s="518" t="s">
        <v>420</v>
      </c>
      <c r="D74" s="460" t="s">
        <v>421</v>
      </c>
      <c r="E74" s="460" t="s">
        <v>32</v>
      </c>
      <c r="F74" s="461">
        <v>31</v>
      </c>
      <c r="G74" s="462">
        <v>71.400000000000006</v>
      </c>
      <c r="H74" s="519">
        <f t="shared" si="12"/>
        <v>2213.4</v>
      </c>
      <c r="I74" s="462">
        <f t="shared" si="13"/>
        <v>8568</v>
      </c>
      <c r="J74" s="463">
        <v>4</v>
      </c>
      <c r="K74" s="520"/>
      <c r="L74" s="462">
        <f t="shared" si="14"/>
        <v>1760</v>
      </c>
      <c r="M74" s="462">
        <v>1510</v>
      </c>
      <c r="N74" s="462">
        <v>250</v>
      </c>
      <c r="O74" s="462">
        <f t="shared" si="15"/>
        <v>3973.4</v>
      </c>
      <c r="P74" s="488">
        <f t="shared" si="16"/>
        <v>1217.3333333333333</v>
      </c>
      <c r="Q74" s="489">
        <f t="shared" si="17"/>
        <v>1200.6575342465753</v>
      </c>
      <c r="R74" s="489">
        <f t="shared" si="18"/>
        <v>65.753424657534239</v>
      </c>
      <c r="S74" s="490">
        <f t="shared" si="19"/>
        <v>15608</v>
      </c>
      <c r="T74" s="490">
        <f t="shared" si="20"/>
        <v>18091.744292237443</v>
      </c>
      <c r="U74" s="491">
        <f t="shared" si="21"/>
        <v>179.84</v>
      </c>
      <c r="V74" s="519"/>
      <c r="W74" s="519"/>
      <c r="X74" s="519"/>
      <c r="Y74" s="519"/>
      <c r="Z74" s="462">
        <f t="shared" si="22"/>
        <v>179.84</v>
      </c>
      <c r="AA74" s="462">
        <f t="shared" si="23"/>
        <v>3793.56</v>
      </c>
      <c r="AB74" s="489">
        <v>1000</v>
      </c>
      <c r="AC74" s="514"/>
      <c r="AF74"/>
      <c r="AG74"/>
      <c r="AH74"/>
    </row>
    <row r="75" spans="1:35" s="486" customFormat="1">
      <c r="A75" s="456">
        <v>74</v>
      </c>
      <c r="B75" s="517" t="s">
        <v>422</v>
      </c>
      <c r="C75" s="521">
        <v>9901502412</v>
      </c>
      <c r="D75" s="460" t="s">
        <v>423</v>
      </c>
      <c r="E75" s="460" t="s">
        <v>32</v>
      </c>
      <c r="F75" s="461">
        <v>31</v>
      </c>
      <c r="G75" s="462">
        <v>71.400000000000006</v>
      </c>
      <c r="H75" s="519">
        <f t="shared" si="12"/>
        <v>2213.4</v>
      </c>
      <c r="I75" s="462">
        <f t="shared" si="13"/>
        <v>8568</v>
      </c>
      <c r="J75" s="463">
        <v>4</v>
      </c>
      <c r="K75" s="520"/>
      <c r="L75" s="462">
        <f t="shared" si="14"/>
        <v>1760</v>
      </c>
      <c r="M75" s="462">
        <v>1510</v>
      </c>
      <c r="N75" s="462">
        <v>250</v>
      </c>
      <c r="O75" s="462">
        <f t="shared" si="15"/>
        <v>3973.4</v>
      </c>
      <c r="P75" s="488">
        <f t="shared" si="16"/>
        <v>1217.3333333333333</v>
      </c>
      <c r="Q75" s="489">
        <f t="shared" si="17"/>
        <v>1200.6575342465753</v>
      </c>
      <c r="R75" s="489">
        <f t="shared" si="18"/>
        <v>65.753424657534239</v>
      </c>
      <c r="S75" s="490">
        <f t="shared" si="19"/>
        <v>15608</v>
      </c>
      <c r="T75" s="490">
        <f t="shared" si="20"/>
        <v>18091.744292237443</v>
      </c>
      <c r="U75" s="491">
        <f t="shared" si="21"/>
        <v>179.84</v>
      </c>
      <c r="V75" s="519"/>
      <c r="W75" s="519"/>
      <c r="X75" s="519"/>
      <c r="Y75" s="519"/>
      <c r="Z75" s="462">
        <f t="shared" si="22"/>
        <v>179.84</v>
      </c>
      <c r="AA75" s="462">
        <f t="shared" si="23"/>
        <v>3793.56</v>
      </c>
      <c r="AB75" s="489">
        <v>1000</v>
      </c>
      <c r="AC75" s="514"/>
      <c r="AF75"/>
      <c r="AG75"/>
      <c r="AH75"/>
    </row>
    <row r="76" spans="1:35" s="486" customFormat="1">
      <c r="A76" s="456">
        <v>75</v>
      </c>
      <c r="B76" s="517" t="s">
        <v>424</v>
      </c>
      <c r="C76" s="521">
        <v>9901502287</v>
      </c>
      <c r="D76" s="460" t="s">
        <v>425</v>
      </c>
      <c r="E76" s="460" t="s">
        <v>1173</v>
      </c>
      <c r="F76" s="461">
        <v>31</v>
      </c>
      <c r="G76" s="462">
        <v>72.540000000000006</v>
      </c>
      <c r="H76" s="519">
        <f t="shared" si="12"/>
        <v>2248.7400000000002</v>
      </c>
      <c r="I76" s="462">
        <f t="shared" si="13"/>
        <v>8704.8000000000011</v>
      </c>
      <c r="J76" s="463">
        <v>4</v>
      </c>
      <c r="K76" s="520"/>
      <c r="L76" s="462">
        <f t="shared" si="14"/>
        <v>1760</v>
      </c>
      <c r="M76" s="462">
        <v>1510</v>
      </c>
      <c r="N76" s="462">
        <v>250</v>
      </c>
      <c r="O76" s="462">
        <f t="shared" si="15"/>
        <v>4008.7400000000002</v>
      </c>
      <c r="P76" s="488">
        <f t="shared" si="16"/>
        <v>1228.7333333333333</v>
      </c>
      <c r="Q76" s="489">
        <f t="shared" si="17"/>
        <v>1211.9013698630138</v>
      </c>
      <c r="R76" s="489">
        <f t="shared" si="18"/>
        <v>65.753424657534239</v>
      </c>
      <c r="S76" s="490">
        <f t="shared" si="19"/>
        <v>15744.800000000001</v>
      </c>
      <c r="T76" s="490">
        <f t="shared" si="20"/>
        <v>18251.188127853882</v>
      </c>
      <c r="U76" s="491">
        <f t="shared" si="21"/>
        <v>181.55</v>
      </c>
      <c r="V76" s="519"/>
      <c r="W76" s="498">
        <v>10</v>
      </c>
      <c r="X76" s="519"/>
      <c r="Y76" s="519"/>
      <c r="Z76" s="462">
        <f t="shared" si="22"/>
        <v>191.55</v>
      </c>
      <c r="AA76" s="462">
        <f t="shared" si="23"/>
        <v>3817.19</v>
      </c>
      <c r="AB76" s="489">
        <v>1000</v>
      </c>
      <c r="AC76" s="514"/>
      <c r="AF76"/>
      <c r="AG76"/>
      <c r="AH76"/>
    </row>
    <row r="77" spans="1:35" s="486" customFormat="1">
      <c r="A77" s="456">
        <v>76</v>
      </c>
      <c r="B77" s="517" t="s">
        <v>426</v>
      </c>
      <c r="C77" s="518" t="s">
        <v>427</v>
      </c>
      <c r="D77" s="460" t="s">
        <v>428</v>
      </c>
      <c r="E77" s="460" t="s">
        <v>38</v>
      </c>
      <c r="F77" s="461">
        <v>31</v>
      </c>
      <c r="G77" s="462">
        <v>71.400000000000006</v>
      </c>
      <c r="H77" s="519">
        <f t="shared" si="12"/>
        <v>2213.4</v>
      </c>
      <c r="I77" s="462">
        <f t="shared" si="13"/>
        <v>8568</v>
      </c>
      <c r="J77" s="463">
        <v>4</v>
      </c>
      <c r="K77" s="520"/>
      <c r="L77" s="462">
        <f t="shared" si="14"/>
        <v>1760</v>
      </c>
      <c r="M77" s="462">
        <v>1510</v>
      </c>
      <c r="N77" s="462">
        <v>250</v>
      </c>
      <c r="O77" s="462">
        <f t="shared" si="15"/>
        <v>3973.4</v>
      </c>
      <c r="P77" s="488">
        <f t="shared" si="16"/>
        <v>1217.3333333333333</v>
      </c>
      <c r="Q77" s="489">
        <f t="shared" si="17"/>
        <v>1200.6575342465753</v>
      </c>
      <c r="R77" s="489">
        <f t="shared" si="18"/>
        <v>65.753424657534239</v>
      </c>
      <c r="S77" s="490">
        <f t="shared" si="19"/>
        <v>15608</v>
      </c>
      <c r="T77" s="490">
        <f t="shared" si="20"/>
        <v>18091.744292237443</v>
      </c>
      <c r="U77" s="491">
        <f t="shared" si="21"/>
        <v>179.84</v>
      </c>
      <c r="V77" s="519"/>
      <c r="W77" s="498">
        <v>10</v>
      </c>
      <c r="X77" s="519"/>
      <c r="Y77" s="519"/>
      <c r="Z77" s="462">
        <f t="shared" si="22"/>
        <v>189.84</v>
      </c>
      <c r="AA77" s="462">
        <f t="shared" si="23"/>
        <v>3783.56</v>
      </c>
      <c r="AB77" s="489">
        <v>1000</v>
      </c>
      <c r="AC77" s="514"/>
      <c r="AF77"/>
      <c r="AG77"/>
      <c r="AH77"/>
    </row>
    <row r="78" spans="1:35" s="486" customFormat="1">
      <c r="A78" s="456">
        <v>77</v>
      </c>
      <c r="B78" s="517" t="s">
        <v>429</v>
      </c>
      <c r="C78" s="521">
        <v>9901502428</v>
      </c>
      <c r="D78" s="522" t="s">
        <v>430</v>
      </c>
      <c r="E78" s="460" t="s">
        <v>32</v>
      </c>
      <c r="F78" s="461">
        <v>31</v>
      </c>
      <c r="G78" s="462">
        <v>71.400000000000006</v>
      </c>
      <c r="H78" s="519">
        <f t="shared" si="12"/>
        <v>2213.4</v>
      </c>
      <c r="I78" s="462">
        <f t="shared" si="13"/>
        <v>8568</v>
      </c>
      <c r="J78" s="463">
        <v>4</v>
      </c>
      <c r="K78" s="520"/>
      <c r="L78" s="462">
        <f t="shared" si="14"/>
        <v>1760</v>
      </c>
      <c r="M78" s="462">
        <v>1510</v>
      </c>
      <c r="N78" s="462">
        <v>250</v>
      </c>
      <c r="O78" s="462">
        <f t="shared" si="15"/>
        <v>3973.4</v>
      </c>
      <c r="P78" s="488">
        <f t="shared" si="16"/>
        <v>1217.3333333333333</v>
      </c>
      <c r="Q78" s="489">
        <f t="shared" si="17"/>
        <v>1200.6575342465753</v>
      </c>
      <c r="R78" s="489">
        <f t="shared" si="18"/>
        <v>65.753424657534239</v>
      </c>
      <c r="S78" s="490">
        <f t="shared" si="19"/>
        <v>15608</v>
      </c>
      <c r="T78" s="490">
        <f t="shared" si="20"/>
        <v>18091.744292237443</v>
      </c>
      <c r="U78" s="491">
        <f t="shared" si="21"/>
        <v>179.84</v>
      </c>
      <c r="V78" s="519"/>
      <c r="W78" s="519"/>
      <c r="X78" s="519"/>
      <c r="Y78" s="519"/>
      <c r="Z78" s="462">
        <f t="shared" si="22"/>
        <v>179.84</v>
      </c>
      <c r="AA78" s="462">
        <f t="shared" si="23"/>
        <v>3793.56</v>
      </c>
      <c r="AB78" s="489">
        <v>1000</v>
      </c>
      <c r="AC78" s="514"/>
      <c r="AF78"/>
      <c r="AG78"/>
      <c r="AH78"/>
    </row>
    <row r="79" spans="1:35" s="486" customFormat="1">
      <c r="A79" s="456">
        <v>78</v>
      </c>
      <c r="B79" s="517" t="s">
        <v>431</v>
      </c>
      <c r="C79" s="521">
        <v>9901510254</v>
      </c>
      <c r="D79" s="522" t="s">
        <v>432</v>
      </c>
      <c r="E79" s="460" t="s">
        <v>32</v>
      </c>
      <c r="F79" s="523">
        <v>31</v>
      </c>
      <c r="G79" s="462">
        <v>71.400000000000006</v>
      </c>
      <c r="H79" s="519">
        <f t="shared" si="12"/>
        <v>2213.4</v>
      </c>
      <c r="I79" s="462">
        <f t="shared" si="13"/>
        <v>8568</v>
      </c>
      <c r="J79" s="463">
        <v>4</v>
      </c>
      <c r="K79" s="520"/>
      <c r="L79" s="462">
        <f t="shared" si="14"/>
        <v>1760</v>
      </c>
      <c r="M79" s="462">
        <v>1510</v>
      </c>
      <c r="N79" s="462">
        <v>250</v>
      </c>
      <c r="O79" s="462">
        <f t="shared" si="15"/>
        <v>3973.4</v>
      </c>
      <c r="P79" s="488">
        <f t="shared" si="16"/>
        <v>1217.3333333333333</v>
      </c>
      <c r="Q79" s="489">
        <f t="shared" si="17"/>
        <v>1200.6575342465753</v>
      </c>
      <c r="R79" s="489">
        <f t="shared" si="18"/>
        <v>65.753424657534239</v>
      </c>
      <c r="S79" s="490">
        <f t="shared" si="19"/>
        <v>15608</v>
      </c>
      <c r="T79" s="490">
        <f t="shared" si="20"/>
        <v>18091.744292237443</v>
      </c>
      <c r="U79" s="491">
        <f t="shared" si="21"/>
        <v>179.84</v>
      </c>
      <c r="V79" s="519"/>
      <c r="W79" s="519"/>
      <c r="X79" s="519"/>
      <c r="Y79" s="519"/>
      <c r="Z79" s="462">
        <f t="shared" si="22"/>
        <v>179.84</v>
      </c>
      <c r="AA79" s="462">
        <f t="shared" si="23"/>
        <v>3793.56</v>
      </c>
      <c r="AB79" s="489">
        <v>1000</v>
      </c>
      <c r="AF79"/>
      <c r="AG79"/>
      <c r="AH79"/>
    </row>
    <row r="80" spans="1:35" s="486" customFormat="1">
      <c r="A80" s="456">
        <v>79</v>
      </c>
      <c r="B80" s="517" t="s">
        <v>433</v>
      </c>
      <c r="C80" s="521">
        <v>9901552768</v>
      </c>
      <c r="D80" s="522" t="s">
        <v>434</v>
      </c>
      <c r="E80" s="460" t="s">
        <v>32</v>
      </c>
      <c r="F80" s="523">
        <v>31</v>
      </c>
      <c r="G80" s="462">
        <v>71.400000000000006</v>
      </c>
      <c r="H80" s="519">
        <f t="shared" si="12"/>
        <v>2213.4</v>
      </c>
      <c r="I80" s="462">
        <f t="shared" si="13"/>
        <v>8568</v>
      </c>
      <c r="J80" s="463">
        <v>4</v>
      </c>
      <c r="K80" s="464">
        <v>0</v>
      </c>
      <c r="L80" s="462">
        <f t="shared" si="14"/>
        <v>1760</v>
      </c>
      <c r="M80" s="462">
        <v>1510</v>
      </c>
      <c r="N80" s="462">
        <v>250</v>
      </c>
      <c r="O80" s="462">
        <f t="shared" si="15"/>
        <v>3973.4</v>
      </c>
      <c r="P80" s="488">
        <f t="shared" si="16"/>
        <v>1217.3333333333333</v>
      </c>
      <c r="Q80" s="489">
        <f t="shared" si="17"/>
        <v>1200.6575342465753</v>
      </c>
      <c r="R80" s="489">
        <f t="shared" si="18"/>
        <v>65.753424657534239</v>
      </c>
      <c r="S80" s="490">
        <f t="shared" si="19"/>
        <v>15608</v>
      </c>
      <c r="T80" s="490">
        <f t="shared" si="20"/>
        <v>18091.744292237443</v>
      </c>
      <c r="U80" s="491">
        <f t="shared" si="21"/>
        <v>179.84</v>
      </c>
      <c r="V80" s="519"/>
      <c r="W80" s="519"/>
      <c r="X80" s="519"/>
      <c r="Y80" s="519"/>
      <c r="Z80" s="462">
        <f t="shared" si="22"/>
        <v>179.84</v>
      </c>
      <c r="AA80" s="462">
        <f t="shared" si="23"/>
        <v>3793.56</v>
      </c>
      <c r="AB80" s="489">
        <v>1000</v>
      </c>
      <c r="AF80"/>
      <c r="AG80"/>
      <c r="AH80"/>
    </row>
    <row r="81" spans="1:34" s="486" customFormat="1">
      <c r="A81" s="456">
        <v>80</v>
      </c>
      <c r="B81" s="517" t="s">
        <v>435</v>
      </c>
      <c r="C81" s="521">
        <v>9901552770</v>
      </c>
      <c r="D81" s="522" t="s">
        <v>436</v>
      </c>
      <c r="E81" s="460" t="s">
        <v>72</v>
      </c>
      <c r="F81" s="523">
        <v>31</v>
      </c>
      <c r="G81" s="462">
        <v>71.400000000000006</v>
      </c>
      <c r="H81" s="519">
        <f t="shared" si="12"/>
        <v>2213.4</v>
      </c>
      <c r="I81" s="462">
        <f t="shared" si="13"/>
        <v>8568</v>
      </c>
      <c r="J81" s="463">
        <v>4</v>
      </c>
      <c r="K81" s="464">
        <v>0</v>
      </c>
      <c r="L81" s="462">
        <f t="shared" si="14"/>
        <v>1760</v>
      </c>
      <c r="M81" s="462">
        <v>1510</v>
      </c>
      <c r="N81" s="462">
        <v>250</v>
      </c>
      <c r="O81" s="462">
        <f t="shared" si="15"/>
        <v>3973.4</v>
      </c>
      <c r="P81" s="488">
        <f t="shared" si="16"/>
        <v>1217.3333333333333</v>
      </c>
      <c r="Q81" s="489">
        <f t="shared" si="17"/>
        <v>1200.6575342465753</v>
      </c>
      <c r="R81" s="489">
        <f t="shared" si="18"/>
        <v>65.753424657534239</v>
      </c>
      <c r="S81" s="490">
        <f t="shared" si="19"/>
        <v>15608</v>
      </c>
      <c r="T81" s="490">
        <f t="shared" si="20"/>
        <v>18091.744292237443</v>
      </c>
      <c r="U81" s="491">
        <f t="shared" si="21"/>
        <v>179.84</v>
      </c>
      <c r="V81" s="519"/>
      <c r="W81" s="519"/>
      <c r="X81" s="519"/>
      <c r="Y81" s="519"/>
      <c r="Z81" s="462">
        <f t="shared" si="22"/>
        <v>179.84</v>
      </c>
      <c r="AA81" s="462">
        <f t="shared" si="23"/>
        <v>3793.56</v>
      </c>
      <c r="AB81" s="489">
        <v>1000</v>
      </c>
      <c r="AF81"/>
      <c r="AG81"/>
      <c r="AH81"/>
    </row>
    <row r="82" spans="1:34" s="486" customFormat="1">
      <c r="A82" s="456">
        <v>81</v>
      </c>
      <c r="B82" s="517" t="s">
        <v>437</v>
      </c>
      <c r="C82" s="521">
        <v>9901552773</v>
      </c>
      <c r="D82" s="522" t="s">
        <v>438</v>
      </c>
      <c r="E82" s="460" t="s">
        <v>1175</v>
      </c>
      <c r="F82" s="523">
        <v>31</v>
      </c>
      <c r="G82" s="462">
        <v>71.400000000000006</v>
      </c>
      <c r="H82" s="519">
        <f t="shared" si="12"/>
        <v>2213.4</v>
      </c>
      <c r="I82" s="462">
        <f t="shared" si="13"/>
        <v>8568</v>
      </c>
      <c r="J82" s="463">
        <v>4</v>
      </c>
      <c r="K82" s="464">
        <v>0</v>
      </c>
      <c r="L82" s="462">
        <f t="shared" si="14"/>
        <v>1760</v>
      </c>
      <c r="M82" s="462">
        <v>1510</v>
      </c>
      <c r="N82" s="462">
        <v>250</v>
      </c>
      <c r="O82" s="462">
        <f t="shared" si="15"/>
        <v>3973.4</v>
      </c>
      <c r="P82" s="488">
        <f t="shared" si="16"/>
        <v>1217.3333333333333</v>
      </c>
      <c r="Q82" s="489">
        <f t="shared" si="17"/>
        <v>1200.6575342465753</v>
      </c>
      <c r="R82" s="489">
        <f t="shared" si="18"/>
        <v>65.753424657534239</v>
      </c>
      <c r="S82" s="490">
        <f t="shared" si="19"/>
        <v>15608</v>
      </c>
      <c r="T82" s="490">
        <f t="shared" si="20"/>
        <v>18091.744292237443</v>
      </c>
      <c r="U82" s="491">
        <f t="shared" si="21"/>
        <v>179.84</v>
      </c>
      <c r="V82" s="519"/>
      <c r="W82" s="519"/>
      <c r="X82" s="519"/>
      <c r="Y82" s="519"/>
      <c r="Z82" s="462">
        <f t="shared" si="22"/>
        <v>179.84</v>
      </c>
      <c r="AA82" s="462">
        <f t="shared" si="23"/>
        <v>3793.56</v>
      </c>
      <c r="AB82" s="489">
        <v>1000</v>
      </c>
      <c r="AF82"/>
      <c r="AG82"/>
      <c r="AH82"/>
    </row>
    <row r="83" spans="1:34" s="486" customFormat="1">
      <c r="A83" s="456">
        <v>82</v>
      </c>
      <c r="B83" s="457"/>
      <c r="C83">
        <v>9901567306</v>
      </c>
      <c r="D83" s="460" t="s">
        <v>439</v>
      </c>
      <c r="E83" s="460" t="s">
        <v>35</v>
      </c>
      <c r="F83" s="461">
        <v>31</v>
      </c>
      <c r="G83" s="462">
        <v>71.400000000000006</v>
      </c>
      <c r="H83" s="462">
        <f t="shared" si="12"/>
        <v>2213.4</v>
      </c>
      <c r="I83" s="462">
        <f t="shared" si="13"/>
        <v>8568</v>
      </c>
      <c r="J83" s="463">
        <v>4</v>
      </c>
      <c r="K83" s="464"/>
      <c r="L83" s="462">
        <f t="shared" si="14"/>
        <v>1760</v>
      </c>
      <c r="M83" s="462">
        <v>1510</v>
      </c>
      <c r="N83" s="462">
        <v>250</v>
      </c>
      <c r="O83" s="462">
        <f t="shared" si="15"/>
        <v>3973.4</v>
      </c>
      <c r="P83" s="488">
        <f t="shared" si="16"/>
        <v>1217.3333333333333</v>
      </c>
      <c r="Q83" s="489">
        <f t="shared" si="17"/>
        <v>1200.6575342465753</v>
      </c>
      <c r="R83" s="489">
        <f t="shared" si="18"/>
        <v>65.753424657534239</v>
      </c>
      <c r="S83" s="490">
        <f t="shared" si="19"/>
        <v>15608</v>
      </c>
      <c r="T83" s="490">
        <f t="shared" si="20"/>
        <v>18091.744292237443</v>
      </c>
      <c r="U83" s="491">
        <f t="shared" si="21"/>
        <v>179.84</v>
      </c>
      <c r="V83" s="462"/>
      <c r="W83" s="462"/>
      <c r="X83" s="462"/>
      <c r="Y83" s="462"/>
      <c r="Z83" s="462">
        <f t="shared" si="22"/>
        <v>179.84</v>
      </c>
      <c r="AA83" s="462">
        <f t="shared" si="23"/>
        <v>3793.56</v>
      </c>
      <c r="AB83" s="489">
        <v>1000</v>
      </c>
      <c r="AF83"/>
      <c r="AG83"/>
      <c r="AH83"/>
    </row>
    <row r="84" spans="1:34" s="486" customFormat="1">
      <c r="A84" s="456">
        <v>83</v>
      </c>
      <c r="B84" s="517"/>
      <c r="C84" s="524">
        <v>9901576016</v>
      </c>
      <c r="D84" s="460" t="s">
        <v>440</v>
      </c>
      <c r="E84" s="460" t="s">
        <v>48</v>
      </c>
      <c r="F84" s="461">
        <v>31</v>
      </c>
      <c r="G84" s="462">
        <v>71.400000000000006</v>
      </c>
      <c r="H84" s="462">
        <f t="shared" si="12"/>
        <v>2213.4</v>
      </c>
      <c r="I84" s="462">
        <f t="shared" si="13"/>
        <v>8568</v>
      </c>
      <c r="J84" s="463">
        <v>4</v>
      </c>
      <c r="K84" s="520"/>
      <c r="L84" s="519"/>
      <c r="M84" s="462">
        <v>1510</v>
      </c>
      <c r="N84" s="462">
        <v>250</v>
      </c>
      <c r="O84" s="462">
        <f t="shared" si="15"/>
        <v>3973.4</v>
      </c>
      <c r="P84" s="488">
        <f t="shared" si="16"/>
        <v>1217.3333333333333</v>
      </c>
      <c r="Q84" s="489">
        <f t="shared" si="17"/>
        <v>1200.6575342465753</v>
      </c>
      <c r="R84" s="489">
        <f t="shared" si="18"/>
        <v>65.753424657534239</v>
      </c>
      <c r="S84" s="490">
        <f t="shared" si="19"/>
        <v>15608</v>
      </c>
      <c r="T84" s="490">
        <f t="shared" si="20"/>
        <v>18091.744292237443</v>
      </c>
      <c r="U84" s="491">
        <f t="shared" si="21"/>
        <v>179.84</v>
      </c>
      <c r="V84" s="519"/>
      <c r="W84" s="519"/>
      <c r="X84" s="519"/>
      <c r="Y84" s="519"/>
      <c r="Z84" s="462">
        <f t="shared" si="22"/>
        <v>179.84</v>
      </c>
      <c r="AA84" s="462">
        <f t="shared" si="23"/>
        <v>3793.56</v>
      </c>
      <c r="AB84" s="489">
        <v>1000</v>
      </c>
      <c r="AF84"/>
      <c r="AG84"/>
      <c r="AH84"/>
    </row>
    <row r="85" spans="1:34" s="486" customFormat="1" ht="22.5">
      <c r="A85" s="456">
        <v>1</v>
      </c>
      <c r="B85" s="466" t="s">
        <v>441</v>
      </c>
      <c r="C85" s="497">
        <v>9901442677</v>
      </c>
      <c r="D85" s="459" t="s">
        <v>442</v>
      </c>
      <c r="E85" s="472" t="s">
        <v>1175</v>
      </c>
      <c r="F85" s="461">
        <v>31</v>
      </c>
      <c r="G85" s="525">
        <v>71.400000000000006</v>
      </c>
      <c r="H85" s="462">
        <f t="shared" ref="H85:H134" si="24">+F85*G85</f>
        <v>2213.4</v>
      </c>
      <c r="I85" s="462">
        <f t="shared" ref="I85:I134" si="25">G85*120</f>
        <v>8568</v>
      </c>
      <c r="J85" s="463">
        <v>4</v>
      </c>
      <c r="K85" s="464">
        <v>50</v>
      </c>
      <c r="L85" s="462">
        <f t="shared" ref="L85:L134" si="26">M85+N85</f>
        <v>1760</v>
      </c>
      <c r="M85" s="462">
        <v>1510</v>
      </c>
      <c r="N85" s="462">
        <v>250</v>
      </c>
      <c r="O85" s="462">
        <f t="shared" ref="O85:O134" si="27">+H85+M85+N85+K85</f>
        <v>4023.4</v>
      </c>
      <c r="P85" s="488">
        <f t="shared" ref="P85:P134" si="28">(((G85*120)+(K85+M85)*4)/12)</f>
        <v>1234</v>
      </c>
      <c r="Q85" s="489">
        <f t="shared" ref="Q85:Q134" si="29">(((G85*30)+M85+K85)/365*120)</f>
        <v>1217.0958904109589</v>
      </c>
      <c r="R85" s="489">
        <f t="shared" ref="R85:R134" si="30">+(200/365)*120</f>
        <v>65.753424657534239</v>
      </c>
      <c r="S85" s="490">
        <f t="shared" ref="S85:S134" si="31">(((G85*120)+((K85+M85+N85)*4)))</f>
        <v>15808</v>
      </c>
      <c r="T85" s="490">
        <f t="shared" ref="T85:T134" si="32">+S85+R85+Q85+P85</f>
        <v>18324.849315068492</v>
      </c>
      <c r="U85" s="491">
        <f t="shared" ref="U85:U134" si="33">ROUND((((H85+K85+M85)*4.83)/100),2)</f>
        <v>182.26</v>
      </c>
      <c r="V85" s="462"/>
      <c r="W85" s="462">
        <v>10</v>
      </c>
      <c r="X85" s="462"/>
      <c r="Y85" s="462"/>
      <c r="Z85" s="462">
        <f t="shared" ref="Z85:Z134" si="34">V85+W85+X85+Y85+U85</f>
        <v>192.26</v>
      </c>
      <c r="AA85" s="462">
        <f t="shared" ref="AA85:AA134" si="35">+O85-Z85</f>
        <v>3831.1400000000003</v>
      </c>
      <c r="AB85" s="489">
        <v>1000</v>
      </c>
      <c r="AF85"/>
      <c r="AG85"/>
      <c r="AH85"/>
    </row>
    <row r="86" spans="1:34" s="486" customFormat="1" ht="22.5">
      <c r="A86" s="456">
        <v>2</v>
      </c>
      <c r="B86" s="466" t="s">
        <v>443</v>
      </c>
      <c r="C86" s="497">
        <v>9901442373</v>
      </c>
      <c r="D86" s="459" t="s">
        <v>444</v>
      </c>
      <c r="E86" s="472" t="s">
        <v>1175</v>
      </c>
      <c r="F86" s="461">
        <v>31</v>
      </c>
      <c r="G86" s="525">
        <v>71.400000000000006</v>
      </c>
      <c r="H86" s="462">
        <f t="shared" si="24"/>
        <v>2213.4</v>
      </c>
      <c r="I86" s="462">
        <f t="shared" si="25"/>
        <v>8568</v>
      </c>
      <c r="J86" s="463">
        <v>4</v>
      </c>
      <c r="K86" s="464">
        <v>50</v>
      </c>
      <c r="L86" s="462">
        <f t="shared" si="26"/>
        <v>1760</v>
      </c>
      <c r="M86" s="462">
        <v>1510</v>
      </c>
      <c r="N86" s="462">
        <v>250</v>
      </c>
      <c r="O86" s="462">
        <f t="shared" si="27"/>
        <v>4023.4</v>
      </c>
      <c r="P86" s="488">
        <f t="shared" si="28"/>
        <v>1234</v>
      </c>
      <c r="Q86" s="489">
        <f t="shared" si="29"/>
        <v>1217.0958904109589</v>
      </c>
      <c r="R86" s="489">
        <f t="shared" si="30"/>
        <v>65.753424657534239</v>
      </c>
      <c r="S86" s="490">
        <f t="shared" si="31"/>
        <v>15808</v>
      </c>
      <c r="T86" s="490">
        <f t="shared" si="32"/>
        <v>18324.849315068492</v>
      </c>
      <c r="U86" s="491">
        <f t="shared" si="33"/>
        <v>182.26</v>
      </c>
      <c r="V86" s="462"/>
      <c r="W86" s="498">
        <v>10</v>
      </c>
      <c r="X86" s="462"/>
      <c r="Y86" s="462">
        <v>845.72</v>
      </c>
      <c r="Z86" s="462">
        <f t="shared" si="34"/>
        <v>1037.98</v>
      </c>
      <c r="AA86" s="462">
        <f t="shared" si="35"/>
        <v>2985.42</v>
      </c>
      <c r="AB86" s="489">
        <v>1000</v>
      </c>
    </row>
    <row r="87" spans="1:34" s="486" customFormat="1" ht="22.5">
      <c r="A87" s="456">
        <v>3</v>
      </c>
      <c r="B87" s="466" t="s">
        <v>445</v>
      </c>
      <c r="C87" s="497">
        <v>9901443724</v>
      </c>
      <c r="D87" s="459" t="s">
        <v>446</v>
      </c>
      <c r="E87" s="472" t="s">
        <v>1175</v>
      </c>
      <c r="F87" s="461">
        <v>31</v>
      </c>
      <c r="G87" s="525">
        <v>71.400000000000006</v>
      </c>
      <c r="H87" s="462">
        <f t="shared" si="24"/>
        <v>2213.4</v>
      </c>
      <c r="I87" s="462">
        <f t="shared" si="25"/>
        <v>8568</v>
      </c>
      <c r="J87" s="463">
        <v>4</v>
      </c>
      <c r="K87" s="464">
        <v>50</v>
      </c>
      <c r="L87" s="462">
        <f t="shared" si="26"/>
        <v>1760</v>
      </c>
      <c r="M87" s="462">
        <v>1510</v>
      </c>
      <c r="N87" s="462">
        <v>250</v>
      </c>
      <c r="O87" s="462">
        <f t="shared" si="27"/>
        <v>4023.4</v>
      </c>
      <c r="P87" s="488">
        <f t="shared" si="28"/>
        <v>1234</v>
      </c>
      <c r="Q87" s="489">
        <f t="shared" si="29"/>
        <v>1217.0958904109589</v>
      </c>
      <c r="R87" s="489">
        <f t="shared" si="30"/>
        <v>65.753424657534239</v>
      </c>
      <c r="S87" s="490">
        <f t="shared" si="31"/>
        <v>15808</v>
      </c>
      <c r="T87" s="490">
        <f t="shared" si="32"/>
        <v>18324.849315068492</v>
      </c>
      <c r="U87" s="491">
        <f t="shared" si="33"/>
        <v>182.26</v>
      </c>
      <c r="V87" s="498">
        <f>(O87-N87)*11%</f>
        <v>415.07400000000001</v>
      </c>
      <c r="W87" s="462">
        <v>10</v>
      </c>
      <c r="X87" s="462"/>
      <c r="Y87" s="462"/>
      <c r="Z87" s="462">
        <f t="shared" si="34"/>
        <v>607.33400000000006</v>
      </c>
      <c r="AA87" s="462">
        <f t="shared" si="35"/>
        <v>3416.0659999999998</v>
      </c>
      <c r="AB87" s="489">
        <v>1000</v>
      </c>
    </row>
    <row r="88" spans="1:34" s="486" customFormat="1" ht="22.5">
      <c r="A88" s="456">
        <v>4</v>
      </c>
      <c r="B88" s="457" t="s">
        <v>447</v>
      </c>
      <c r="C88" s="497">
        <v>9901442578</v>
      </c>
      <c r="D88" s="459" t="s">
        <v>448</v>
      </c>
      <c r="E88" s="472" t="s">
        <v>39</v>
      </c>
      <c r="F88" s="461">
        <v>31</v>
      </c>
      <c r="G88" s="525">
        <v>78.25</v>
      </c>
      <c r="H88" s="462">
        <f t="shared" si="24"/>
        <v>2425.75</v>
      </c>
      <c r="I88" s="462">
        <f t="shared" si="25"/>
        <v>9390</v>
      </c>
      <c r="J88" s="463">
        <v>4</v>
      </c>
      <c r="K88" s="464">
        <v>75</v>
      </c>
      <c r="L88" s="462">
        <f t="shared" si="26"/>
        <v>1760</v>
      </c>
      <c r="M88" s="462">
        <v>1510</v>
      </c>
      <c r="N88" s="462">
        <v>250</v>
      </c>
      <c r="O88" s="462">
        <f t="shared" si="27"/>
        <v>4260.75</v>
      </c>
      <c r="P88" s="488">
        <f t="shared" si="28"/>
        <v>1310.8333333333333</v>
      </c>
      <c r="Q88" s="489">
        <f t="shared" si="29"/>
        <v>1292.8767123287671</v>
      </c>
      <c r="R88" s="489">
        <f t="shared" si="30"/>
        <v>65.753424657534239</v>
      </c>
      <c r="S88" s="490">
        <f t="shared" si="31"/>
        <v>16730</v>
      </c>
      <c r="T88" s="490">
        <f t="shared" si="32"/>
        <v>19399.463470319632</v>
      </c>
      <c r="U88" s="491">
        <f t="shared" si="33"/>
        <v>193.72</v>
      </c>
      <c r="V88" s="498">
        <f>(O88-N88)*11%</f>
        <v>441.1825</v>
      </c>
      <c r="W88" s="462">
        <v>10</v>
      </c>
      <c r="X88" s="462"/>
      <c r="Y88" s="462"/>
      <c r="Z88" s="462">
        <f t="shared" si="34"/>
        <v>644.90250000000003</v>
      </c>
      <c r="AA88" s="462">
        <f t="shared" si="35"/>
        <v>3615.8474999999999</v>
      </c>
      <c r="AB88" s="489">
        <v>1000</v>
      </c>
    </row>
    <row r="89" spans="1:34" s="486" customFormat="1" ht="22.5">
      <c r="A89" s="456">
        <v>5</v>
      </c>
      <c r="B89" s="466" t="s">
        <v>449</v>
      </c>
      <c r="C89" s="497">
        <v>9901442780</v>
      </c>
      <c r="D89" s="459" t="s">
        <v>450</v>
      </c>
      <c r="E89" s="472" t="s">
        <v>1175</v>
      </c>
      <c r="F89" s="461">
        <v>31</v>
      </c>
      <c r="G89" s="525">
        <v>71.400000000000006</v>
      </c>
      <c r="H89" s="462">
        <f t="shared" si="24"/>
        <v>2213.4</v>
      </c>
      <c r="I89" s="462">
        <f t="shared" si="25"/>
        <v>8568</v>
      </c>
      <c r="J89" s="463">
        <v>4</v>
      </c>
      <c r="K89" s="526">
        <v>50</v>
      </c>
      <c r="L89" s="462">
        <f t="shared" si="26"/>
        <v>1760</v>
      </c>
      <c r="M89" s="462">
        <v>1510</v>
      </c>
      <c r="N89" s="462">
        <v>250</v>
      </c>
      <c r="O89" s="462">
        <f t="shared" si="27"/>
        <v>4023.4</v>
      </c>
      <c r="P89" s="488">
        <f t="shared" si="28"/>
        <v>1234</v>
      </c>
      <c r="Q89" s="489">
        <f t="shared" si="29"/>
        <v>1217.0958904109589</v>
      </c>
      <c r="R89" s="489">
        <f t="shared" si="30"/>
        <v>65.753424657534239</v>
      </c>
      <c r="S89" s="490">
        <f t="shared" si="31"/>
        <v>15808</v>
      </c>
      <c r="T89" s="490">
        <f t="shared" si="32"/>
        <v>18324.849315068492</v>
      </c>
      <c r="U89" s="491">
        <f t="shared" si="33"/>
        <v>182.26</v>
      </c>
      <c r="V89" s="498">
        <f>(O89-N89)*11%</f>
        <v>415.07400000000001</v>
      </c>
      <c r="W89" s="462">
        <v>10</v>
      </c>
      <c r="X89" s="462"/>
      <c r="Y89" s="462"/>
      <c r="Z89" s="462">
        <f t="shared" si="34"/>
        <v>607.33400000000006</v>
      </c>
      <c r="AA89" s="462">
        <f t="shared" si="35"/>
        <v>3416.0659999999998</v>
      </c>
      <c r="AB89" s="489">
        <v>1000</v>
      </c>
      <c r="AD89" s="486" t="s">
        <v>451</v>
      </c>
    </row>
    <row r="90" spans="1:34" s="486" customFormat="1" ht="22.5">
      <c r="A90" s="456">
        <v>6</v>
      </c>
      <c r="B90" s="466" t="s">
        <v>452</v>
      </c>
      <c r="C90" s="497">
        <v>9901443143</v>
      </c>
      <c r="D90" s="459" t="s">
        <v>453</v>
      </c>
      <c r="E90" s="472" t="s">
        <v>1175</v>
      </c>
      <c r="F90" s="461">
        <v>31</v>
      </c>
      <c r="G90" s="525">
        <v>71.400000000000006</v>
      </c>
      <c r="H90" s="462">
        <f t="shared" si="24"/>
        <v>2213.4</v>
      </c>
      <c r="I90" s="462">
        <f t="shared" si="25"/>
        <v>8568</v>
      </c>
      <c r="J90" s="463">
        <v>4</v>
      </c>
      <c r="K90" s="464">
        <v>50</v>
      </c>
      <c r="L90" s="462">
        <f t="shared" si="26"/>
        <v>1760</v>
      </c>
      <c r="M90" s="462">
        <v>1510</v>
      </c>
      <c r="N90" s="462">
        <v>250</v>
      </c>
      <c r="O90" s="462">
        <f t="shared" si="27"/>
        <v>4023.4</v>
      </c>
      <c r="P90" s="488">
        <f t="shared" si="28"/>
        <v>1234</v>
      </c>
      <c r="Q90" s="489">
        <f t="shared" si="29"/>
        <v>1217.0958904109589</v>
      </c>
      <c r="R90" s="489">
        <f t="shared" si="30"/>
        <v>65.753424657534239</v>
      </c>
      <c r="S90" s="490">
        <f t="shared" si="31"/>
        <v>15808</v>
      </c>
      <c r="T90" s="490">
        <f t="shared" si="32"/>
        <v>18324.849315068492</v>
      </c>
      <c r="U90" s="491">
        <f t="shared" si="33"/>
        <v>182.26</v>
      </c>
      <c r="V90" s="462"/>
      <c r="W90" s="462">
        <v>10</v>
      </c>
      <c r="X90" s="462"/>
      <c r="Y90" s="462">
        <v>3706.14</v>
      </c>
      <c r="Z90" s="462">
        <f t="shared" si="34"/>
        <v>3898.3999999999996</v>
      </c>
      <c r="AA90" s="462">
        <f t="shared" si="35"/>
        <v>125.00000000000045</v>
      </c>
      <c r="AB90" s="489">
        <v>1000</v>
      </c>
    </row>
    <row r="91" spans="1:34" s="486" customFormat="1" ht="12">
      <c r="A91" s="456">
        <v>7</v>
      </c>
      <c r="B91" s="466" t="s">
        <v>454</v>
      </c>
      <c r="C91" s="497">
        <v>9901442887</v>
      </c>
      <c r="D91" s="459" t="s">
        <v>455</v>
      </c>
      <c r="E91" s="472" t="s">
        <v>47</v>
      </c>
      <c r="F91" s="461">
        <v>31</v>
      </c>
      <c r="G91" s="525">
        <v>74.63</v>
      </c>
      <c r="H91" s="462">
        <f t="shared" si="24"/>
        <v>2313.5299999999997</v>
      </c>
      <c r="I91" s="462">
        <f t="shared" si="25"/>
        <v>8955.5999999999985</v>
      </c>
      <c r="J91" s="463">
        <v>4</v>
      </c>
      <c r="K91" s="464">
        <v>75</v>
      </c>
      <c r="L91" s="462">
        <f t="shared" si="26"/>
        <v>1760</v>
      </c>
      <c r="M91" s="462">
        <v>1510</v>
      </c>
      <c r="N91" s="462">
        <v>250</v>
      </c>
      <c r="O91" s="462">
        <f t="shared" si="27"/>
        <v>4148.53</v>
      </c>
      <c r="P91" s="488">
        <f t="shared" si="28"/>
        <v>1274.6333333333332</v>
      </c>
      <c r="Q91" s="489">
        <f t="shared" si="29"/>
        <v>1257.172602739726</v>
      </c>
      <c r="R91" s="489">
        <f t="shared" si="30"/>
        <v>65.753424657534239</v>
      </c>
      <c r="S91" s="490">
        <f t="shared" si="31"/>
        <v>16295.599999999999</v>
      </c>
      <c r="T91" s="490">
        <f t="shared" si="32"/>
        <v>18893.159360730591</v>
      </c>
      <c r="U91" s="491">
        <f t="shared" si="33"/>
        <v>188.3</v>
      </c>
      <c r="V91" s="498">
        <f>(O91-N91)*11%</f>
        <v>428.83829999999995</v>
      </c>
      <c r="W91" s="462">
        <v>10</v>
      </c>
      <c r="X91" s="462"/>
      <c r="Y91" s="462"/>
      <c r="Z91" s="462">
        <f t="shared" si="34"/>
        <v>627.13829999999996</v>
      </c>
      <c r="AA91" s="462">
        <f t="shared" si="35"/>
        <v>3521.3916999999997</v>
      </c>
      <c r="AB91" s="489">
        <v>1000</v>
      </c>
    </row>
    <row r="92" spans="1:34" s="486" customFormat="1" ht="22.5">
      <c r="A92" s="456">
        <v>8</v>
      </c>
      <c r="B92" s="466" t="s">
        <v>456</v>
      </c>
      <c r="C92" s="497">
        <v>9901443999</v>
      </c>
      <c r="D92" s="459" t="s">
        <v>457</v>
      </c>
      <c r="E92" s="472" t="s">
        <v>35</v>
      </c>
      <c r="F92" s="461">
        <v>31</v>
      </c>
      <c r="G92" s="525">
        <v>71.400000000000006</v>
      </c>
      <c r="H92" s="462">
        <f t="shared" si="24"/>
        <v>2213.4</v>
      </c>
      <c r="I92" s="462">
        <f t="shared" si="25"/>
        <v>8568</v>
      </c>
      <c r="J92" s="463">
        <v>4</v>
      </c>
      <c r="K92" s="464">
        <v>50</v>
      </c>
      <c r="L92" s="462">
        <f t="shared" si="26"/>
        <v>1760</v>
      </c>
      <c r="M92" s="462">
        <v>1510</v>
      </c>
      <c r="N92" s="462">
        <v>250</v>
      </c>
      <c r="O92" s="462">
        <f t="shared" si="27"/>
        <v>4023.4</v>
      </c>
      <c r="P92" s="488">
        <f t="shared" si="28"/>
        <v>1234</v>
      </c>
      <c r="Q92" s="489">
        <f t="shared" si="29"/>
        <v>1217.0958904109589</v>
      </c>
      <c r="R92" s="489">
        <f t="shared" si="30"/>
        <v>65.753424657534239</v>
      </c>
      <c r="S92" s="490">
        <f t="shared" si="31"/>
        <v>15808</v>
      </c>
      <c r="T92" s="490">
        <f t="shared" si="32"/>
        <v>18324.849315068492</v>
      </c>
      <c r="U92" s="491">
        <f t="shared" si="33"/>
        <v>182.26</v>
      </c>
      <c r="V92" s="462"/>
      <c r="W92" s="462"/>
      <c r="X92" s="462"/>
      <c r="Y92" s="462"/>
      <c r="Z92" s="462">
        <f t="shared" si="34"/>
        <v>182.26</v>
      </c>
      <c r="AA92" s="462">
        <f t="shared" si="35"/>
        <v>3841.1400000000003</v>
      </c>
      <c r="AB92" s="489">
        <v>1000</v>
      </c>
    </row>
    <row r="93" spans="1:34" s="486" customFormat="1" ht="22.5">
      <c r="A93" s="456">
        <v>9</v>
      </c>
      <c r="B93" s="457" t="s">
        <v>458</v>
      </c>
      <c r="C93" s="497">
        <v>9901442684</v>
      </c>
      <c r="D93" s="459" t="s">
        <v>459</v>
      </c>
      <c r="E93" s="472" t="s">
        <v>1175</v>
      </c>
      <c r="F93" s="461">
        <v>31</v>
      </c>
      <c r="G93" s="525">
        <v>71.400000000000006</v>
      </c>
      <c r="H93" s="462">
        <f t="shared" si="24"/>
        <v>2213.4</v>
      </c>
      <c r="I93" s="462">
        <f t="shared" si="25"/>
        <v>8568</v>
      </c>
      <c r="J93" s="463">
        <v>4</v>
      </c>
      <c r="K93" s="527">
        <v>0</v>
      </c>
      <c r="L93" s="462">
        <f t="shared" si="26"/>
        <v>1760</v>
      </c>
      <c r="M93" s="462">
        <v>1510</v>
      </c>
      <c r="N93" s="462">
        <v>250</v>
      </c>
      <c r="O93" s="462">
        <f t="shared" si="27"/>
        <v>3973.4</v>
      </c>
      <c r="P93" s="488">
        <f t="shared" si="28"/>
        <v>1217.3333333333333</v>
      </c>
      <c r="Q93" s="489">
        <f t="shared" si="29"/>
        <v>1200.6575342465753</v>
      </c>
      <c r="R93" s="489">
        <f t="shared" si="30"/>
        <v>65.753424657534239</v>
      </c>
      <c r="S93" s="490">
        <f t="shared" si="31"/>
        <v>15608</v>
      </c>
      <c r="T93" s="490">
        <f t="shared" si="32"/>
        <v>18091.744292237443</v>
      </c>
      <c r="U93" s="491">
        <f t="shared" si="33"/>
        <v>179.84</v>
      </c>
      <c r="V93" s="498">
        <f>(O93-N93)*11%</f>
        <v>409.57400000000001</v>
      </c>
      <c r="W93" s="462"/>
      <c r="X93" s="462"/>
      <c r="Y93" s="462"/>
      <c r="Z93" s="462">
        <f t="shared" si="34"/>
        <v>589.41399999999999</v>
      </c>
      <c r="AA93" s="462">
        <f t="shared" si="35"/>
        <v>3383.9859999999999</v>
      </c>
      <c r="AB93" s="489">
        <v>1000</v>
      </c>
    </row>
    <row r="94" spans="1:34" s="486" customFormat="1" ht="22.5">
      <c r="A94" s="456">
        <v>10</v>
      </c>
      <c r="B94" s="466" t="s">
        <v>460</v>
      </c>
      <c r="C94" s="497">
        <v>9901442376</v>
      </c>
      <c r="D94" s="459" t="s">
        <v>461</v>
      </c>
      <c r="E94" s="472" t="s">
        <v>1175</v>
      </c>
      <c r="F94" s="461">
        <v>31</v>
      </c>
      <c r="G94" s="525">
        <v>71.400000000000006</v>
      </c>
      <c r="H94" s="462">
        <f t="shared" si="24"/>
        <v>2213.4</v>
      </c>
      <c r="I94" s="462">
        <f t="shared" si="25"/>
        <v>8568</v>
      </c>
      <c r="J94" s="463">
        <v>4</v>
      </c>
      <c r="K94" s="464">
        <v>50</v>
      </c>
      <c r="L94" s="462">
        <f t="shared" si="26"/>
        <v>1760</v>
      </c>
      <c r="M94" s="462">
        <v>1510</v>
      </c>
      <c r="N94" s="462">
        <v>250</v>
      </c>
      <c r="O94" s="462">
        <f t="shared" si="27"/>
        <v>4023.4</v>
      </c>
      <c r="P94" s="488">
        <f t="shared" si="28"/>
        <v>1234</v>
      </c>
      <c r="Q94" s="489">
        <f t="shared" si="29"/>
        <v>1217.0958904109589</v>
      </c>
      <c r="R94" s="489">
        <f t="shared" si="30"/>
        <v>65.753424657534239</v>
      </c>
      <c r="S94" s="490">
        <f t="shared" si="31"/>
        <v>15808</v>
      </c>
      <c r="T94" s="490">
        <f t="shared" si="32"/>
        <v>18324.849315068492</v>
      </c>
      <c r="U94" s="491">
        <f t="shared" si="33"/>
        <v>182.26</v>
      </c>
      <c r="V94" s="462"/>
      <c r="W94" s="462">
        <v>10</v>
      </c>
      <c r="X94" s="462"/>
      <c r="Y94" s="462"/>
      <c r="Z94" s="462">
        <f t="shared" si="34"/>
        <v>192.26</v>
      </c>
      <c r="AA94" s="462">
        <f t="shared" si="35"/>
        <v>3831.1400000000003</v>
      </c>
      <c r="AB94" s="489">
        <v>1000</v>
      </c>
    </row>
    <row r="95" spans="1:34" s="486" customFormat="1" ht="12">
      <c r="A95" s="456">
        <v>11</v>
      </c>
      <c r="B95" s="466" t="s">
        <v>462</v>
      </c>
      <c r="C95" s="497">
        <v>9901442380</v>
      </c>
      <c r="D95" s="459" t="s">
        <v>463</v>
      </c>
      <c r="E95" s="472" t="s">
        <v>46</v>
      </c>
      <c r="F95" s="461">
        <v>31</v>
      </c>
      <c r="G95" s="525">
        <v>73.59</v>
      </c>
      <c r="H95" s="462">
        <f t="shared" si="24"/>
        <v>2281.29</v>
      </c>
      <c r="I95" s="462">
        <f t="shared" si="25"/>
        <v>8830.8000000000011</v>
      </c>
      <c r="J95" s="463">
        <v>4</v>
      </c>
      <c r="K95" s="464">
        <v>50</v>
      </c>
      <c r="L95" s="462">
        <f t="shared" si="26"/>
        <v>1760</v>
      </c>
      <c r="M95" s="462">
        <v>1510</v>
      </c>
      <c r="N95" s="462">
        <v>250</v>
      </c>
      <c r="O95" s="462">
        <f t="shared" si="27"/>
        <v>4091.29</v>
      </c>
      <c r="P95" s="488">
        <f t="shared" si="28"/>
        <v>1255.9000000000001</v>
      </c>
      <c r="Q95" s="489">
        <f t="shared" si="29"/>
        <v>1238.695890410959</v>
      </c>
      <c r="R95" s="489">
        <f t="shared" si="30"/>
        <v>65.753424657534239</v>
      </c>
      <c r="S95" s="490">
        <f t="shared" si="31"/>
        <v>16070.800000000001</v>
      </c>
      <c r="T95" s="490">
        <f t="shared" si="32"/>
        <v>18631.149315068495</v>
      </c>
      <c r="U95" s="491">
        <f t="shared" si="33"/>
        <v>185.53</v>
      </c>
      <c r="V95" s="462"/>
      <c r="W95" s="462">
        <v>10</v>
      </c>
      <c r="X95" s="462"/>
      <c r="Y95" s="462"/>
      <c r="Z95" s="462">
        <f t="shared" si="34"/>
        <v>195.53</v>
      </c>
      <c r="AA95" s="462">
        <f t="shared" si="35"/>
        <v>3895.7599999999998</v>
      </c>
      <c r="AB95" s="489">
        <v>1000</v>
      </c>
    </row>
    <row r="96" spans="1:34" s="486" customFormat="1" ht="22.5">
      <c r="A96" s="456">
        <v>12</v>
      </c>
      <c r="B96" s="457" t="s">
        <v>464</v>
      </c>
      <c r="C96" s="497">
        <v>9901443759</v>
      </c>
      <c r="D96" s="459" t="s">
        <v>465</v>
      </c>
      <c r="E96" s="472" t="s">
        <v>1175</v>
      </c>
      <c r="F96" s="461">
        <v>31</v>
      </c>
      <c r="G96" s="525">
        <v>71.400000000000006</v>
      </c>
      <c r="H96" s="462">
        <f t="shared" si="24"/>
        <v>2213.4</v>
      </c>
      <c r="I96" s="462">
        <f t="shared" si="25"/>
        <v>8568</v>
      </c>
      <c r="J96" s="463">
        <v>4</v>
      </c>
      <c r="K96" s="526">
        <v>50</v>
      </c>
      <c r="L96" s="462">
        <f t="shared" si="26"/>
        <v>1760</v>
      </c>
      <c r="M96" s="462">
        <v>1510</v>
      </c>
      <c r="N96" s="462">
        <v>250</v>
      </c>
      <c r="O96" s="462">
        <f t="shared" si="27"/>
        <v>4023.4</v>
      </c>
      <c r="P96" s="488">
        <f t="shared" si="28"/>
        <v>1234</v>
      </c>
      <c r="Q96" s="489">
        <f t="shared" si="29"/>
        <v>1217.0958904109589</v>
      </c>
      <c r="R96" s="489">
        <f t="shared" si="30"/>
        <v>65.753424657534239</v>
      </c>
      <c r="S96" s="490">
        <f t="shared" si="31"/>
        <v>15808</v>
      </c>
      <c r="T96" s="490">
        <f t="shared" si="32"/>
        <v>18324.849315068492</v>
      </c>
      <c r="U96" s="491">
        <f t="shared" si="33"/>
        <v>182.26</v>
      </c>
      <c r="V96" s="498">
        <f t="shared" ref="V96:V100" si="36">(O96-N96)*11%</f>
        <v>415.07400000000001</v>
      </c>
      <c r="W96" s="462">
        <v>10</v>
      </c>
      <c r="X96" s="462"/>
      <c r="Y96" s="462"/>
      <c r="Z96" s="462">
        <f t="shared" si="34"/>
        <v>607.33400000000006</v>
      </c>
      <c r="AA96" s="462">
        <f t="shared" si="35"/>
        <v>3416.0659999999998</v>
      </c>
      <c r="AB96" s="489">
        <v>1000</v>
      </c>
      <c r="AD96" s="486" t="s">
        <v>451</v>
      </c>
    </row>
    <row r="97" spans="1:30" s="486" customFormat="1" ht="22.5">
      <c r="A97" s="456">
        <v>13</v>
      </c>
      <c r="B97" s="466" t="s">
        <v>466</v>
      </c>
      <c r="C97" s="497">
        <v>9901442814</v>
      </c>
      <c r="D97" s="459" t="s">
        <v>467</v>
      </c>
      <c r="E97" s="472" t="s">
        <v>1175</v>
      </c>
      <c r="F97" s="461">
        <v>31</v>
      </c>
      <c r="G97" s="525">
        <v>71.400000000000006</v>
      </c>
      <c r="H97" s="462">
        <f t="shared" si="24"/>
        <v>2213.4</v>
      </c>
      <c r="I97" s="462">
        <f t="shared" si="25"/>
        <v>8568</v>
      </c>
      <c r="J97" s="463">
        <v>4</v>
      </c>
      <c r="K97" s="511">
        <v>50</v>
      </c>
      <c r="L97" s="462">
        <f t="shared" si="26"/>
        <v>1760</v>
      </c>
      <c r="M97" s="462">
        <v>1510</v>
      </c>
      <c r="N97" s="462">
        <v>250</v>
      </c>
      <c r="O97" s="462">
        <f t="shared" si="27"/>
        <v>4023.4</v>
      </c>
      <c r="P97" s="488">
        <f t="shared" si="28"/>
        <v>1234</v>
      </c>
      <c r="Q97" s="489">
        <f t="shared" si="29"/>
        <v>1217.0958904109589</v>
      </c>
      <c r="R97" s="489">
        <f t="shared" si="30"/>
        <v>65.753424657534239</v>
      </c>
      <c r="S97" s="490">
        <f t="shared" si="31"/>
        <v>15808</v>
      </c>
      <c r="T97" s="490">
        <f t="shared" si="32"/>
        <v>18324.849315068492</v>
      </c>
      <c r="U97" s="491">
        <f t="shared" si="33"/>
        <v>182.26</v>
      </c>
      <c r="V97" s="498">
        <f t="shared" si="36"/>
        <v>415.07400000000001</v>
      </c>
      <c r="W97" s="462">
        <v>10</v>
      </c>
      <c r="X97" s="462"/>
      <c r="Y97" s="462"/>
      <c r="Z97" s="462">
        <f t="shared" si="34"/>
        <v>607.33400000000006</v>
      </c>
      <c r="AA97" s="462">
        <f t="shared" si="35"/>
        <v>3416.0659999999998</v>
      </c>
      <c r="AB97" s="489">
        <v>1000</v>
      </c>
      <c r="AD97" s="486" t="s">
        <v>354</v>
      </c>
    </row>
    <row r="98" spans="1:30" s="486" customFormat="1" ht="22.5">
      <c r="A98" s="456">
        <v>14</v>
      </c>
      <c r="B98" s="457" t="s">
        <v>468</v>
      </c>
      <c r="C98" s="497">
        <v>9901443725</v>
      </c>
      <c r="D98" s="459" t="s">
        <v>469</v>
      </c>
      <c r="E98" s="472" t="s">
        <v>1175</v>
      </c>
      <c r="F98" s="461">
        <v>31</v>
      </c>
      <c r="G98" s="525">
        <v>71.400000000000006</v>
      </c>
      <c r="H98" s="462">
        <f t="shared" si="24"/>
        <v>2213.4</v>
      </c>
      <c r="I98" s="462">
        <f t="shared" si="25"/>
        <v>8568</v>
      </c>
      <c r="J98" s="463">
        <v>4</v>
      </c>
      <c r="K98" s="464">
        <v>50</v>
      </c>
      <c r="L98" s="462">
        <f t="shared" si="26"/>
        <v>1760</v>
      </c>
      <c r="M98" s="462">
        <v>1510</v>
      </c>
      <c r="N98" s="462">
        <v>250</v>
      </c>
      <c r="O98" s="462">
        <f t="shared" si="27"/>
        <v>4023.4</v>
      </c>
      <c r="P98" s="488">
        <f t="shared" si="28"/>
        <v>1234</v>
      </c>
      <c r="Q98" s="489">
        <f t="shared" si="29"/>
        <v>1217.0958904109589</v>
      </c>
      <c r="R98" s="489">
        <f t="shared" si="30"/>
        <v>65.753424657534239</v>
      </c>
      <c r="S98" s="490">
        <f t="shared" si="31"/>
        <v>15808</v>
      </c>
      <c r="T98" s="490">
        <f t="shared" si="32"/>
        <v>18324.849315068492</v>
      </c>
      <c r="U98" s="491">
        <f t="shared" si="33"/>
        <v>182.26</v>
      </c>
      <c r="V98" s="498">
        <f t="shared" si="36"/>
        <v>415.07400000000001</v>
      </c>
      <c r="W98" s="462">
        <v>10</v>
      </c>
      <c r="X98" s="462"/>
      <c r="Y98" s="462"/>
      <c r="Z98" s="462">
        <f t="shared" si="34"/>
        <v>607.33400000000006</v>
      </c>
      <c r="AA98" s="462">
        <f t="shared" si="35"/>
        <v>3416.0659999999998</v>
      </c>
      <c r="AB98" s="489">
        <v>1000</v>
      </c>
    </row>
    <row r="99" spans="1:30" s="486" customFormat="1" ht="22.5">
      <c r="A99" s="456">
        <v>15</v>
      </c>
      <c r="B99" s="457" t="s">
        <v>470</v>
      </c>
      <c r="C99" s="497">
        <v>9901442986</v>
      </c>
      <c r="D99" s="459" t="s">
        <v>471</v>
      </c>
      <c r="E99" s="472" t="s">
        <v>39</v>
      </c>
      <c r="F99" s="461">
        <v>31</v>
      </c>
      <c r="G99" s="525">
        <v>78.25</v>
      </c>
      <c r="H99" s="462">
        <f t="shared" si="24"/>
        <v>2425.75</v>
      </c>
      <c r="I99" s="462">
        <f t="shared" si="25"/>
        <v>9390</v>
      </c>
      <c r="J99" s="463">
        <v>4</v>
      </c>
      <c r="K99" s="511">
        <v>50</v>
      </c>
      <c r="L99" s="462">
        <f t="shared" si="26"/>
        <v>1760</v>
      </c>
      <c r="M99" s="462">
        <v>1510</v>
      </c>
      <c r="N99" s="462">
        <v>250</v>
      </c>
      <c r="O99" s="462">
        <f t="shared" si="27"/>
        <v>4235.75</v>
      </c>
      <c r="P99" s="488">
        <f t="shared" si="28"/>
        <v>1302.5</v>
      </c>
      <c r="Q99" s="489">
        <f t="shared" si="29"/>
        <v>1284.6575342465753</v>
      </c>
      <c r="R99" s="489">
        <f t="shared" si="30"/>
        <v>65.753424657534239</v>
      </c>
      <c r="S99" s="490">
        <f t="shared" si="31"/>
        <v>16630</v>
      </c>
      <c r="T99" s="490">
        <f t="shared" si="32"/>
        <v>19282.910958904111</v>
      </c>
      <c r="U99" s="491">
        <f t="shared" si="33"/>
        <v>192.51</v>
      </c>
      <c r="V99" s="498">
        <f t="shared" si="36"/>
        <v>438.4325</v>
      </c>
      <c r="W99" s="462">
        <v>10</v>
      </c>
      <c r="X99" s="462"/>
      <c r="Y99" s="462"/>
      <c r="Z99" s="462">
        <f t="shared" si="34"/>
        <v>640.9425</v>
      </c>
      <c r="AA99" s="462">
        <f t="shared" si="35"/>
        <v>3594.8074999999999</v>
      </c>
      <c r="AB99" s="489">
        <v>1000</v>
      </c>
      <c r="AD99" s="486" t="s">
        <v>294</v>
      </c>
    </row>
    <row r="100" spans="1:30" s="486" customFormat="1" ht="22.5">
      <c r="A100" s="456">
        <v>16</v>
      </c>
      <c r="B100" s="457" t="s">
        <v>472</v>
      </c>
      <c r="C100" s="497">
        <v>9901442429</v>
      </c>
      <c r="D100" s="459" t="s">
        <v>473</v>
      </c>
      <c r="E100" s="472" t="s">
        <v>1175</v>
      </c>
      <c r="F100" s="461">
        <v>31</v>
      </c>
      <c r="G100" s="525">
        <v>71.400000000000006</v>
      </c>
      <c r="H100" s="462">
        <f t="shared" si="24"/>
        <v>2213.4</v>
      </c>
      <c r="I100" s="462">
        <f t="shared" si="25"/>
        <v>8568</v>
      </c>
      <c r="J100" s="463">
        <v>4</v>
      </c>
      <c r="K100" s="464">
        <v>75</v>
      </c>
      <c r="L100" s="462">
        <f t="shared" si="26"/>
        <v>1760</v>
      </c>
      <c r="M100" s="462">
        <v>1510</v>
      </c>
      <c r="N100" s="462">
        <v>250</v>
      </c>
      <c r="O100" s="462">
        <f t="shared" si="27"/>
        <v>4048.4</v>
      </c>
      <c r="P100" s="488">
        <f t="shared" si="28"/>
        <v>1242.3333333333333</v>
      </c>
      <c r="Q100" s="489">
        <f t="shared" si="29"/>
        <v>1225.3150684931506</v>
      </c>
      <c r="R100" s="489">
        <f t="shared" si="30"/>
        <v>65.753424657534239</v>
      </c>
      <c r="S100" s="490">
        <f t="shared" si="31"/>
        <v>15908</v>
      </c>
      <c r="T100" s="490">
        <f t="shared" si="32"/>
        <v>18441.401826484016</v>
      </c>
      <c r="U100" s="491">
        <f t="shared" si="33"/>
        <v>183.46</v>
      </c>
      <c r="V100" s="498">
        <f t="shared" si="36"/>
        <v>417.82400000000001</v>
      </c>
      <c r="W100" s="462">
        <v>10</v>
      </c>
      <c r="X100" s="462"/>
      <c r="Y100" s="462">
        <v>1888.17</v>
      </c>
      <c r="Z100" s="462">
        <f t="shared" si="34"/>
        <v>2499.4540000000002</v>
      </c>
      <c r="AA100" s="462">
        <f t="shared" si="35"/>
        <v>1548.9459999999999</v>
      </c>
      <c r="AB100" s="489">
        <v>1000</v>
      </c>
    </row>
    <row r="101" spans="1:30" s="486" customFormat="1" ht="22.5">
      <c r="A101" s="456">
        <v>17</v>
      </c>
      <c r="B101" s="457" t="s">
        <v>474</v>
      </c>
      <c r="C101" s="497">
        <v>9901442383</v>
      </c>
      <c r="D101" s="459" t="s">
        <v>475</v>
      </c>
      <c r="E101" s="472" t="s">
        <v>1175</v>
      </c>
      <c r="F101" s="461">
        <v>31</v>
      </c>
      <c r="G101" s="525">
        <v>71.400000000000006</v>
      </c>
      <c r="H101" s="462">
        <f t="shared" si="24"/>
        <v>2213.4</v>
      </c>
      <c r="I101" s="462">
        <f t="shared" si="25"/>
        <v>8568</v>
      </c>
      <c r="J101" s="463">
        <v>4</v>
      </c>
      <c r="K101" s="464">
        <v>50</v>
      </c>
      <c r="L101" s="462">
        <f t="shared" si="26"/>
        <v>1760</v>
      </c>
      <c r="M101" s="462">
        <v>1510</v>
      </c>
      <c r="N101" s="462">
        <v>250</v>
      </c>
      <c r="O101" s="462">
        <f t="shared" si="27"/>
        <v>4023.4</v>
      </c>
      <c r="P101" s="488">
        <f t="shared" si="28"/>
        <v>1234</v>
      </c>
      <c r="Q101" s="489">
        <f t="shared" si="29"/>
        <v>1217.0958904109589</v>
      </c>
      <c r="R101" s="489">
        <f t="shared" si="30"/>
        <v>65.753424657534239</v>
      </c>
      <c r="S101" s="490">
        <f t="shared" si="31"/>
        <v>15808</v>
      </c>
      <c r="T101" s="490">
        <f t="shared" si="32"/>
        <v>18324.849315068492</v>
      </c>
      <c r="U101" s="491">
        <f t="shared" si="33"/>
        <v>182.26</v>
      </c>
      <c r="V101" s="462"/>
      <c r="W101" s="462">
        <v>10</v>
      </c>
      <c r="X101" s="462"/>
      <c r="Y101" s="462"/>
      <c r="Z101" s="462">
        <f t="shared" si="34"/>
        <v>192.26</v>
      </c>
      <c r="AA101" s="462">
        <f t="shared" si="35"/>
        <v>3831.1400000000003</v>
      </c>
      <c r="AB101" s="489">
        <v>1000</v>
      </c>
    </row>
    <row r="102" spans="1:30" s="486" customFormat="1" ht="12">
      <c r="A102" s="456">
        <v>18</v>
      </c>
      <c r="B102" s="457" t="s">
        <v>476</v>
      </c>
      <c r="C102" s="497">
        <v>9901442641</v>
      </c>
      <c r="D102" s="459" t="s">
        <v>477</v>
      </c>
      <c r="E102" s="472" t="s">
        <v>46</v>
      </c>
      <c r="F102" s="461">
        <v>31</v>
      </c>
      <c r="G102" s="525">
        <v>73.59</v>
      </c>
      <c r="H102" s="462">
        <f t="shared" si="24"/>
        <v>2281.29</v>
      </c>
      <c r="I102" s="462">
        <f t="shared" si="25"/>
        <v>8830.8000000000011</v>
      </c>
      <c r="J102" s="463">
        <v>4</v>
      </c>
      <c r="K102" s="464">
        <v>75</v>
      </c>
      <c r="L102" s="462">
        <f t="shared" si="26"/>
        <v>1760</v>
      </c>
      <c r="M102" s="462">
        <v>1510</v>
      </c>
      <c r="N102" s="462">
        <v>250</v>
      </c>
      <c r="O102" s="462">
        <f t="shared" si="27"/>
        <v>4116.29</v>
      </c>
      <c r="P102" s="488">
        <f t="shared" si="28"/>
        <v>1264.2333333333333</v>
      </c>
      <c r="Q102" s="489">
        <f t="shared" si="29"/>
        <v>1246.9150684931508</v>
      </c>
      <c r="R102" s="489">
        <f t="shared" si="30"/>
        <v>65.753424657534239</v>
      </c>
      <c r="S102" s="490">
        <f t="shared" si="31"/>
        <v>16170.800000000001</v>
      </c>
      <c r="T102" s="490">
        <f t="shared" si="32"/>
        <v>18747.701826484019</v>
      </c>
      <c r="U102" s="491">
        <f t="shared" si="33"/>
        <v>186.74</v>
      </c>
      <c r="V102" s="462"/>
      <c r="W102" s="462">
        <v>10</v>
      </c>
      <c r="X102" s="462"/>
      <c r="Y102" s="462"/>
      <c r="Z102" s="462">
        <f t="shared" si="34"/>
        <v>196.74</v>
      </c>
      <c r="AA102" s="462">
        <f t="shared" si="35"/>
        <v>3919.55</v>
      </c>
      <c r="AB102" s="489">
        <v>1000</v>
      </c>
    </row>
    <row r="103" spans="1:30" s="486" customFormat="1" ht="22.5">
      <c r="A103" s="456">
        <v>19</v>
      </c>
      <c r="B103" s="466" t="s">
        <v>478</v>
      </c>
      <c r="C103" s="497">
        <v>9901442427</v>
      </c>
      <c r="D103" s="459" t="s">
        <v>479</v>
      </c>
      <c r="E103" s="472" t="s">
        <v>39</v>
      </c>
      <c r="F103" s="461">
        <v>31</v>
      </c>
      <c r="G103" s="525">
        <v>78.25</v>
      </c>
      <c r="H103" s="462">
        <f t="shared" si="24"/>
        <v>2425.75</v>
      </c>
      <c r="I103" s="462">
        <f t="shared" si="25"/>
        <v>9390</v>
      </c>
      <c r="J103" s="463">
        <v>4</v>
      </c>
      <c r="K103" s="464">
        <v>75</v>
      </c>
      <c r="L103" s="462">
        <f t="shared" si="26"/>
        <v>1760</v>
      </c>
      <c r="M103" s="462">
        <v>1510</v>
      </c>
      <c r="N103" s="462">
        <v>250</v>
      </c>
      <c r="O103" s="462">
        <f t="shared" si="27"/>
        <v>4260.75</v>
      </c>
      <c r="P103" s="488">
        <f t="shared" si="28"/>
        <v>1310.8333333333333</v>
      </c>
      <c r="Q103" s="489">
        <f t="shared" si="29"/>
        <v>1292.8767123287671</v>
      </c>
      <c r="R103" s="489">
        <f t="shared" si="30"/>
        <v>65.753424657534239</v>
      </c>
      <c r="S103" s="490">
        <f t="shared" si="31"/>
        <v>16730</v>
      </c>
      <c r="T103" s="490">
        <f t="shared" si="32"/>
        <v>19399.463470319632</v>
      </c>
      <c r="U103" s="491">
        <f t="shared" si="33"/>
        <v>193.72</v>
      </c>
      <c r="V103" s="498">
        <f>(O103-N103)*11%</f>
        <v>441.1825</v>
      </c>
      <c r="W103" s="462">
        <v>10</v>
      </c>
      <c r="X103" s="462"/>
      <c r="Y103" s="462"/>
      <c r="Z103" s="462">
        <f t="shared" si="34"/>
        <v>644.90250000000003</v>
      </c>
      <c r="AA103" s="462">
        <f t="shared" si="35"/>
        <v>3615.8474999999999</v>
      </c>
      <c r="AB103" s="489">
        <v>1000</v>
      </c>
    </row>
    <row r="104" spans="1:30" s="486" customFormat="1" ht="22.5">
      <c r="A104" s="456">
        <v>20</v>
      </c>
      <c r="B104" s="466" t="s">
        <v>480</v>
      </c>
      <c r="C104" s="497">
        <v>9901442374</v>
      </c>
      <c r="D104" s="459" t="s">
        <v>481</v>
      </c>
      <c r="E104" s="472" t="s">
        <v>1175</v>
      </c>
      <c r="F104" s="461">
        <v>31</v>
      </c>
      <c r="G104" s="525">
        <v>71.400000000000006</v>
      </c>
      <c r="H104" s="462">
        <f t="shared" si="24"/>
        <v>2213.4</v>
      </c>
      <c r="I104" s="462">
        <f t="shared" si="25"/>
        <v>8568</v>
      </c>
      <c r="J104" s="463">
        <v>4</v>
      </c>
      <c r="K104" s="464">
        <v>50</v>
      </c>
      <c r="L104" s="462">
        <f t="shared" si="26"/>
        <v>1760</v>
      </c>
      <c r="M104" s="462">
        <v>1510</v>
      </c>
      <c r="N104" s="462">
        <v>250</v>
      </c>
      <c r="O104" s="462">
        <f t="shared" si="27"/>
        <v>4023.4</v>
      </c>
      <c r="P104" s="488">
        <f t="shared" si="28"/>
        <v>1234</v>
      </c>
      <c r="Q104" s="489">
        <f t="shared" si="29"/>
        <v>1217.0958904109589</v>
      </c>
      <c r="R104" s="489">
        <f t="shared" si="30"/>
        <v>65.753424657534239</v>
      </c>
      <c r="S104" s="490">
        <f t="shared" si="31"/>
        <v>15808</v>
      </c>
      <c r="T104" s="490">
        <f t="shared" si="32"/>
        <v>18324.849315068492</v>
      </c>
      <c r="U104" s="491">
        <f t="shared" si="33"/>
        <v>182.26</v>
      </c>
      <c r="V104" s="462"/>
      <c r="W104" s="462">
        <v>10</v>
      </c>
      <c r="X104" s="462"/>
      <c r="Y104" s="462">
        <v>3680.02</v>
      </c>
      <c r="Z104" s="462">
        <f t="shared" si="34"/>
        <v>3872.2799999999997</v>
      </c>
      <c r="AA104" s="462">
        <f t="shared" si="35"/>
        <v>151.12000000000035</v>
      </c>
      <c r="AB104" s="489">
        <v>1000</v>
      </c>
    </row>
    <row r="105" spans="1:30" s="486" customFormat="1" ht="22.5">
      <c r="A105" s="456">
        <v>21</v>
      </c>
      <c r="B105" s="457" t="s">
        <v>482</v>
      </c>
      <c r="C105" s="497">
        <v>9901442646</v>
      </c>
      <c r="D105" s="459" t="s">
        <v>483</v>
      </c>
      <c r="E105" s="472" t="s">
        <v>1175</v>
      </c>
      <c r="F105" s="461">
        <v>31</v>
      </c>
      <c r="G105" s="525">
        <v>71.400000000000006</v>
      </c>
      <c r="H105" s="462">
        <f t="shared" si="24"/>
        <v>2213.4</v>
      </c>
      <c r="I105" s="462">
        <f t="shared" si="25"/>
        <v>8568</v>
      </c>
      <c r="J105" s="463">
        <v>4</v>
      </c>
      <c r="K105" s="511">
        <v>75</v>
      </c>
      <c r="L105" s="462">
        <f t="shared" si="26"/>
        <v>1760</v>
      </c>
      <c r="M105" s="462">
        <v>1510</v>
      </c>
      <c r="N105" s="462">
        <v>250</v>
      </c>
      <c r="O105" s="462">
        <f t="shared" si="27"/>
        <v>4048.4</v>
      </c>
      <c r="P105" s="488">
        <f t="shared" si="28"/>
        <v>1242.3333333333333</v>
      </c>
      <c r="Q105" s="489">
        <f t="shared" si="29"/>
        <v>1225.3150684931506</v>
      </c>
      <c r="R105" s="489">
        <f t="shared" si="30"/>
        <v>65.753424657534239</v>
      </c>
      <c r="S105" s="490">
        <f t="shared" si="31"/>
        <v>15908</v>
      </c>
      <c r="T105" s="490">
        <f t="shared" si="32"/>
        <v>18441.401826484016</v>
      </c>
      <c r="U105" s="491">
        <f t="shared" si="33"/>
        <v>183.46</v>
      </c>
      <c r="V105" s="462"/>
      <c r="W105" s="462">
        <v>10</v>
      </c>
      <c r="X105" s="462"/>
      <c r="Y105" s="462">
        <v>3706.14</v>
      </c>
      <c r="Z105" s="462">
        <f t="shared" si="34"/>
        <v>3899.6</v>
      </c>
      <c r="AA105" s="462">
        <f t="shared" si="35"/>
        <v>148.80000000000018</v>
      </c>
      <c r="AB105" s="489">
        <v>1000</v>
      </c>
      <c r="AD105" s="486" t="s">
        <v>354</v>
      </c>
    </row>
    <row r="106" spans="1:30" s="486" customFormat="1" ht="22.5">
      <c r="A106" s="456">
        <v>22</v>
      </c>
      <c r="B106" s="466" t="s">
        <v>484</v>
      </c>
      <c r="C106" s="497">
        <v>9901443130</v>
      </c>
      <c r="D106" s="459" t="s">
        <v>485</v>
      </c>
      <c r="E106" s="472" t="s">
        <v>1175</v>
      </c>
      <c r="F106" s="461">
        <v>31</v>
      </c>
      <c r="G106" s="525">
        <v>71.400000000000006</v>
      </c>
      <c r="H106" s="462">
        <f t="shared" si="24"/>
        <v>2213.4</v>
      </c>
      <c r="I106" s="462">
        <f t="shared" si="25"/>
        <v>8568</v>
      </c>
      <c r="J106" s="463">
        <v>4</v>
      </c>
      <c r="K106" s="511">
        <v>50</v>
      </c>
      <c r="L106" s="462">
        <f t="shared" si="26"/>
        <v>1760</v>
      </c>
      <c r="M106" s="462">
        <v>1510</v>
      </c>
      <c r="N106" s="462">
        <v>250</v>
      </c>
      <c r="O106" s="462">
        <f t="shared" si="27"/>
        <v>4023.4</v>
      </c>
      <c r="P106" s="488">
        <f t="shared" si="28"/>
        <v>1234</v>
      </c>
      <c r="Q106" s="489">
        <f t="shared" si="29"/>
        <v>1217.0958904109589</v>
      </c>
      <c r="R106" s="489">
        <f t="shared" si="30"/>
        <v>65.753424657534239</v>
      </c>
      <c r="S106" s="490">
        <f t="shared" si="31"/>
        <v>15808</v>
      </c>
      <c r="T106" s="490">
        <f t="shared" si="32"/>
        <v>18324.849315068492</v>
      </c>
      <c r="U106" s="491">
        <f t="shared" si="33"/>
        <v>182.26</v>
      </c>
      <c r="V106" s="462"/>
      <c r="W106" s="462">
        <v>10</v>
      </c>
      <c r="X106" s="462"/>
      <c r="Y106" s="462"/>
      <c r="Z106" s="462">
        <f t="shared" si="34"/>
        <v>192.26</v>
      </c>
      <c r="AA106" s="462">
        <f t="shared" si="35"/>
        <v>3831.1400000000003</v>
      </c>
      <c r="AB106" s="489">
        <v>1000</v>
      </c>
      <c r="AD106" s="486" t="s">
        <v>451</v>
      </c>
    </row>
    <row r="107" spans="1:30" s="486" customFormat="1" ht="22.5">
      <c r="A107" s="456">
        <v>23</v>
      </c>
      <c r="B107" s="466" t="s">
        <v>486</v>
      </c>
      <c r="C107" s="497">
        <v>9901442418</v>
      </c>
      <c r="D107" s="459" t="s">
        <v>487</v>
      </c>
      <c r="E107" s="472" t="s">
        <v>1175</v>
      </c>
      <c r="F107" s="461">
        <v>31</v>
      </c>
      <c r="G107" s="525">
        <v>71.400000000000006</v>
      </c>
      <c r="H107" s="462">
        <f t="shared" si="24"/>
        <v>2213.4</v>
      </c>
      <c r="I107" s="462">
        <f t="shared" si="25"/>
        <v>8568</v>
      </c>
      <c r="J107" s="463">
        <v>4</v>
      </c>
      <c r="K107" s="511">
        <v>50</v>
      </c>
      <c r="L107" s="462">
        <f t="shared" si="26"/>
        <v>1760</v>
      </c>
      <c r="M107" s="462">
        <v>1510</v>
      </c>
      <c r="N107" s="462">
        <v>250</v>
      </c>
      <c r="O107" s="462">
        <f t="shared" si="27"/>
        <v>4023.4</v>
      </c>
      <c r="P107" s="488">
        <f t="shared" si="28"/>
        <v>1234</v>
      </c>
      <c r="Q107" s="489">
        <f t="shared" si="29"/>
        <v>1217.0958904109589</v>
      </c>
      <c r="R107" s="489">
        <f t="shared" si="30"/>
        <v>65.753424657534239</v>
      </c>
      <c r="S107" s="490">
        <f t="shared" si="31"/>
        <v>15808</v>
      </c>
      <c r="T107" s="490">
        <f t="shared" si="32"/>
        <v>18324.849315068492</v>
      </c>
      <c r="U107" s="491">
        <f t="shared" si="33"/>
        <v>182.26</v>
      </c>
      <c r="V107" s="462"/>
      <c r="W107" s="462">
        <v>10</v>
      </c>
      <c r="X107" s="462"/>
      <c r="Y107" s="462">
        <v>1976.54</v>
      </c>
      <c r="Z107" s="462">
        <f t="shared" si="34"/>
        <v>2168.8000000000002</v>
      </c>
      <c r="AA107" s="462">
        <f t="shared" si="35"/>
        <v>1854.6</v>
      </c>
      <c r="AB107" s="489">
        <v>1000</v>
      </c>
      <c r="AD107" s="486" t="s">
        <v>451</v>
      </c>
    </row>
    <row r="108" spans="1:30" s="486" customFormat="1" ht="22.5">
      <c r="A108" s="456">
        <v>24</v>
      </c>
      <c r="B108" s="466" t="s">
        <v>488</v>
      </c>
      <c r="C108" s="497">
        <v>9901443895</v>
      </c>
      <c r="D108" s="459" t="s">
        <v>489</v>
      </c>
      <c r="E108" s="472" t="s">
        <v>1175</v>
      </c>
      <c r="F108" s="461">
        <v>31</v>
      </c>
      <c r="G108" s="525">
        <v>71.400000000000006</v>
      </c>
      <c r="H108" s="462">
        <f t="shared" si="24"/>
        <v>2213.4</v>
      </c>
      <c r="I108" s="462">
        <f t="shared" si="25"/>
        <v>8568</v>
      </c>
      <c r="J108" s="463">
        <v>4</v>
      </c>
      <c r="K108" s="511">
        <v>50</v>
      </c>
      <c r="L108" s="462">
        <f t="shared" si="26"/>
        <v>1760</v>
      </c>
      <c r="M108" s="462">
        <v>1510</v>
      </c>
      <c r="N108" s="462">
        <v>250</v>
      </c>
      <c r="O108" s="462">
        <f t="shared" si="27"/>
        <v>4023.4</v>
      </c>
      <c r="P108" s="488">
        <f t="shared" si="28"/>
        <v>1234</v>
      </c>
      <c r="Q108" s="489">
        <f t="shared" si="29"/>
        <v>1217.0958904109589</v>
      </c>
      <c r="R108" s="489">
        <f t="shared" si="30"/>
        <v>65.753424657534239</v>
      </c>
      <c r="S108" s="490">
        <f t="shared" si="31"/>
        <v>15808</v>
      </c>
      <c r="T108" s="490">
        <f t="shared" si="32"/>
        <v>18324.849315068492</v>
      </c>
      <c r="U108" s="491">
        <f t="shared" si="33"/>
        <v>182.26</v>
      </c>
      <c r="V108" s="498">
        <f>(O108-N108)*11%</f>
        <v>415.07400000000001</v>
      </c>
      <c r="W108" s="462">
        <v>10</v>
      </c>
      <c r="X108" s="462"/>
      <c r="Y108" s="462"/>
      <c r="Z108" s="462">
        <f t="shared" si="34"/>
        <v>607.33400000000006</v>
      </c>
      <c r="AA108" s="462">
        <f t="shared" si="35"/>
        <v>3416.0659999999998</v>
      </c>
      <c r="AB108" s="489">
        <v>1000</v>
      </c>
      <c r="AD108" s="486" t="s">
        <v>451</v>
      </c>
    </row>
    <row r="109" spans="1:30" s="486" customFormat="1" ht="22.5">
      <c r="A109" s="456">
        <v>25</v>
      </c>
      <c r="B109" s="457" t="s">
        <v>490</v>
      </c>
      <c r="C109" s="497">
        <v>9901442995</v>
      </c>
      <c r="D109" s="459" t="s">
        <v>491</v>
      </c>
      <c r="E109" s="472" t="s">
        <v>1175</v>
      </c>
      <c r="F109" s="461">
        <v>31</v>
      </c>
      <c r="G109" s="525">
        <v>71.400000000000006</v>
      </c>
      <c r="H109" s="462">
        <f t="shared" si="24"/>
        <v>2213.4</v>
      </c>
      <c r="I109" s="462">
        <f t="shared" si="25"/>
        <v>8568</v>
      </c>
      <c r="J109" s="463">
        <v>4</v>
      </c>
      <c r="K109" s="511">
        <v>50</v>
      </c>
      <c r="L109" s="462">
        <f t="shared" si="26"/>
        <v>1760</v>
      </c>
      <c r="M109" s="462">
        <v>1510</v>
      </c>
      <c r="N109" s="462">
        <v>250</v>
      </c>
      <c r="O109" s="462">
        <f t="shared" si="27"/>
        <v>4023.4</v>
      </c>
      <c r="P109" s="488">
        <f t="shared" si="28"/>
        <v>1234</v>
      </c>
      <c r="Q109" s="489">
        <f t="shared" si="29"/>
        <v>1217.0958904109589</v>
      </c>
      <c r="R109" s="489">
        <f t="shared" si="30"/>
        <v>65.753424657534239</v>
      </c>
      <c r="S109" s="490">
        <f t="shared" si="31"/>
        <v>15808</v>
      </c>
      <c r="T109" s="490">
        <f t="shared" si="32"/>
        <v>18324.849315068492</v>
      </c>
      <c r="U109" s="491">
        <f t="shared" si="33"/>
        <v>182.26</v>
      </c>
      <c r="V109" s="498">
        <f>(O109-N109)*11%</f>
        <v>415.07400000000001</v>
      </c>
      <c r="W109" s="462">
        <v>10</v>
      </c>
      <c r="X109" s="462"/>
      <c r="Y109" s="462">
        <v>944.89</v>
      </c>
      <c r="Z109" s="462">
        <f t="shared" si="34"/>
        <v>1552.2239999999999</v>
      </c>
      <c r="AA109" s="462">
        <f t="shared" si="35"/>
        <v>2471.1760000000004</v>
      </c>
      <c r="AB109" s="489">
        <v>1000</v>
      </c>
      <c r="AD109" s="486" t="s">
        <v>451</v>
      </c>
    </row>
    <row r="110" spans="1:30" s="486" customFormat="1" ht="22.5">
      <c r="A110" s="456">
        <v>26</v>
      </c>
      <c r="B110" s="466" t="s">
        <v>492</v>
      </c>
      <c r="C110" s="497">
        <v>9901443166</v>
      </c>
      <c r="D110" s="459" t="s">
        <v>493</v>
      </c>
      <c r="E110" s="472" t="s">
        <v>1175</v>
      </c>
      <c r="F110" s="461">
        <v>31</v>
      </c>
      <c r="G110" s="525">
        <v>71.400000000000006</v>
      </c>
      <c r="H110" s="462">
        <f t="shared" si="24"/>
        <v>2213.4</v>
      </c>
      <c r="I110" s="462">
        <f t="shared" si="25"/>
        <v>8568</v>
      </c>
      <c r="J110" s="463">
        <v>4</v>
      </c>
      <c r="K110" s="464"/>
      <c r="L110" s="462">
        <f t="shared" si="26"/>
        <v>1760</v>
      </c>
      <c r="M110" s="462">
        <v>1510</v>
      </c>
      <c r="N110" s="462">
        <v>250</v>
      </c>
      <c r="O110" s="462">
        <f t="shared" si="27"/>
        <v>3973.4</v>
      </c>
      <c r="P110" s="488">
        <f t="shared" si="28"/>
        <v>1217.3333333333333</v>
      </c>
      <c r="Q110" s="489">
        <f t="shared" si="29"/>
        <v>1200.6575342465753</v>
      </c>
      <c r="R110" s="489">
        <f t="shared" si="30"/>
        <v>65.753424657534239</v>
      </c>
      <c r="S110" s="490">
        <f t="shared" si="31"/>
        <v>15608</v>
      </c>
      <c r="T110" s="490">
        <f t="shared" si="32"/>
        <v>18091.744292237443</v>
      </c>
      <c r="U110" s="491">
        <f t="shared" si="33"/>
        <v>179.84</v>
      </c>
      <c r="V110" s="462"/>
      <c r="W110" s="462"/>
      <c r="X110" s="462"/>
      <c r="Y110" s="462"/>
      <c r="Z110" s="462">
        <f t="shared" si="34"/>
        <v>179.84</v>
      </c>
      <c r="AA110" s="462">
        <f t="shared" si="35"/>
        <v>3793.56</v>
      </c>
      <c r="AB110" s="489">
        <v>1000</v>
      </c>
    </row>
    <row r="111" spans="1:30" s="486" customFormat="1" ht="22.5">
      <c r="A111" s="456">
        <v>27</v>
      </c>
      <c r="B111" s="457" t="s">
        <v>494</v>
      </c>
      <c r="C111" s="497">
        <v>9901442662</v>
      </c>
      <c r="D111" s="459" t="s">
        <v>495</v>
      </c>
      <c r="E111" s="472" t="s">
        <v>1175</v>
      </c>
      <c r="F111" s="461">
        <v>31</v>
      </c>
      <c r="G111" s="525">
        <v>71.400000000000006</v>
      </c>
      <c r="H111" s="462">
        <f t="shared" si="24"/>
        <v>2213.4</v>
      </c>
      <c r="I111" s="462">
        <f t="shared" si="25"/>
        <v>8568</v>
      </c>
      <c r="J111" s="463">
        <v>4</v>
      </c>
      <c r="K111" s="511">
        <v>50</v>
      </c>
      <c r="L111" s="462">
        <f t="shared" si="26"/>
        <v>1760</v>
      </c>
      <c r="M111" s="462">
        <v>1510</v>
      </c>
      <c r="N111" s="462">
        <v>250</v>
      </c>
      <c r="O111" s="462">
        <f t="shared" si="27"/>
        <v>4023.4</v>
      </c>
      <c r="P111" s="488">
        <f t="shared" si="28"/>
        <v>1234</v>
      </c>
      <c r="Q111" s="489">
        <f t="shared" si="29"/>
        <v>1217.0958904109589</v>
      </c>
      <c r="R111" s="489">
        <f t="shared" si="30"/>
        <v>65.753424657534239</v>
      </c>
      <c r="S111" s="490">
        <f t="shared" si="31"/>
        <v>15808</v>
      </c>
      <c r="T111" s="490">
        <f t="shared" si="32"/>
        <v>18324.849315068492</v>
      </c>
      <c r="U111" s="491">
        <f t="shared" si="33"/>
        <v>182.26</v>
      </c>
      <c r="V111" s="462"/>
      <c r="W111" s="462">
        <v>10</v>
      </c>
      <c r="X111" s="462"/>
      <c r="Y111" s="462">
        <v>1888.17</v>
      </c>
      <c r="Z111" s="462">
        <f t="shared" si="34"/>
        <v>2080.4300000000003</v>
      </c>
      <c r="AA111" s="462">
        <f t="shared" si="35"/>
        <v>1942.9699999999998</v>
      </c>
      <c r="AB111" s="489">
        <v>1000</v>
      </c>
      <c r="AD111" s="486" t="s">
        <v>451</v>
      </c>
    </row>
    <row r="112" spans="1:30" s="486" customFormat="1" ht="22.5">
      <c r="A112" s="456">
        <v>28</v>
      </c>
      <c r="B112" s="457" t="s">
        <v>496</v>
      </c>
      <c r="C112" s="497">
        <v>9901442885</v>
      </c>
      <c r="D112" s="459" t="s">
        <v>497</v>
      </c>
      <c r="E112" s="472" t="s">
        <v>1175</v>
      </c>
      <c r="F112" s="461">
        <v>31</v>
      </c>
      <c r="G112" s="525">
        <v>71.400000000000006</v>
      </c>
      <c r="H112" s="462">
        <f t="shared" si="24"/>
        <v>2213.4</v>
      </c>
      <c r="I112" s="462">
        <f t="shared" si="25"/>
        <v>8568</v>
      </c>
      <c r="J112" s="463">
        <v>4</v>
      </c>
      <c r="K112" s="464">
        <v>75</v>
      </c>
      <c r="L112" s="462">
        <f t="shared" si="26"/>
        <v>1760</v>
      </c>
      <c r="M112" s="462">
        <v>1510</v>
      </c>
      <c r="N112" s="462">
        <v>250</v>
      </c>
      <c r="O112" s="462">
        <f t="shared" si="27"/>
        <v>4048.4</v>
      </c>
      <c r="P112" s="488">
        <f t="shared" si="28"/>
        <v>1242.3333333333333</v>
      </c>
      <c r="Q112" s="489">
        <f t="shared" si="29"/>
        <v>1225.3150684931506</v>
      </c>
      <c r="R112" s="489">
        <f t="shared" si="30"/>
        <v>65.753424657534239</v>
      </c>
      <c r="S112" s="490">
        <f t="shared" si="31"/>
        <v>15908</v>
      </c>
      <c r="T112" s="490">
        <f t="shared" si="32"/>
        <v>18441.401826484016</v>
      </c>
      <c r="U112" s="491">
        <f t="shared" si="33"/>
        <v>183.46</v>
      </c>
      <c r="V112" s="462"/>
      <c r="W112" s="462">
        <v>10</v>
      </c>
      <c r="X112" s="462"/>
      <c r="Y112" s="462"/>
      <c r="Z112" s="462">
        <f t="shared" si="34"/>
        <v>193.46</v>
      </c>
      <c r="AA112" s="462">
        <f t="shared" si="35"/>
        <v>3854.94</v>
      </c>
      <c r="AB112" s="489">
        <v>1000</v>
      </c>
    </row>
    <row r="113" spans="1:30" s="486" customFormat="1" ht="22.5">
      <c r="A113" s="456">
        <v>29</v>
      </c>
      <c r="B113" s="466" t="s">
        <v>498</v>
      </c>
      <c r="C113" s="497">
        <v>9901442579</v>
      </c>
      <c r="D113" s="459" t="s">
        <v>499</v>
      </c>
      <c r="E113" s="472" t="s">
        <v>1175</v>
      </c>
      <c r="F113" s="461">
        <v>31</v>
      </c>
      <c r="G113" s="525">
        <v>71.400000000000006</v>
      </c>
      <c r="H113" s="462">
        <f t="shared" si="24"/>
        <v>2213.4</v>
      </c>
      <c r="I113" s="462">
        <f t="shared" si="25"/>
        <v>8568</v>
      </c>
      <c r="J113" s="463">
        <v>4</v>
      </c>
      <c r="K113" s="511">
        <v>50</v>
      </c>
      <c r="L113" s="462">
        <f t="shared" si="26"/>
        <v>1760</v>
      </c>
      <c r="M113" s="462">
        <v>1510</v>
      </c>
      <c r="N113" s="462">
        <v>250</v>
      </c>
      <c r="O113" s="462">
        <f t="shared" si="27"/>
        <v>4023.4</v>
      </c>
      <c r="P113" s="488">
        <f t="shared" si="28"/>
        <v>1234</v>
      </c>
      <c r="Q113" s="489">
        <f t="shared" si="29"/>
        <v>1217.0958904109589</v>
      </c>
      <c r="R113" s="489">
        <f t="shared" si="30"/>
        <v>65.753424657534239</v>
      </c>
      <c r="S113" s="490">
        <f t="shared" si="31"/>
        <v>15808</v>
      </c>
      <c r="T113" s="490">
        <f t="shared" si="32"/>
        <v>18324.849315068492</v>
      </c>
      <c r="U113" s="491">
        <f t="shared" si="33"/>
        <v>182.26</v>
      </c>
      <c r="V113" s="498">
        <f>(O113-N113)*11%</f>
        <v>415.07400000000001</v>
      </c>
      <c r="W113" s="462">
        <v>10</v>
      </c>
      <c r="X113" s="462"/>
      <c r="Y113" s="462"/>
      <c r="Z113" s="462">
        <f t="shared" si="34"/>
        <v>607.33400000000006</v>
      </c>
      <c r="AA113" s="462">
        <f t="shared" si="35"/>
        <v>3416.0659999999998</v>
      </c>
      <c r="AB113" s="489">
        <v>1000</v>
      </c>
      <c r="AD113" s="486" t="s">
        <v>451</v>
      </c>
    </row>
    <row r="114" spans="1:30" s="486" customFormat="1" ht="22.5">
      <c r="A114" s="456">
        <v>30</v>
      </c>
      <c r="B114" s="466" t="s">
        <v>500</v>
      </c>
      <c r="C114" s="497">
        <v>9901442382</v>
      </c>
      <c r="D114" s="459" t="s">
        <v>501</v>
      </c>
      <c r="E114" s="472" t="s">
        <v>1175</v>
      </c>
      <c r="F114" s="461">
        <v>31</v>
      </c>
      <c r="G114" s="525">
        <v>71.400000000000006</v>
      </c>
      <c r="H114" s="462">
        <f t="shared" si="24"/>
        <v>2213.4</v>
      </c>
      <c r="I114" s="462">
        <f t="shared" si="25"/>
        <v>8568</v>
      </c>
      <c r="J114" s="463">
        <v>4</v>
      </c>
      <c r="K114" s="464">
        <v>50</v>
      </c>
      <c r="L114" s="462">
        <f t="shared" si="26"/>
        <v>1760</v>
      </c>
      <c r="M114" s="462">
        <v>1510</v>
      </c>
      <c r="N114" s="462">
        <v>250</v>
      </c>
      <c r="O114" s="462">
        <f t="shared" si="27"/>
        <v>4023.4</v>
      </c>
      <c r="P114" s="488">
        <f t="shared" si="28"/>
        <v>1234</v>
      </c>
      <c r="Q114" s="489">
        <f t="shared" si="29"/>
        <v>1217.0958904109589</v>
      </c>
      <c r="R114" s="489">
        <f t="shared" si="30"/>
        <v>65.753424657534239</v>
      </c>
      <c r="S114" s="490">
        <f t="shared" si="31"/>
        <v>15808</v>
      </c>
      <c r="T114" s="490">
        <f t="shared" si="32"/>
        <v>18324.849315068492</v>
      </c>
      <c r="U114" s="491">
        <f t="shared" si="33"/>
        <v>182.26</v>
      </c>
      <c r="V114" s="462"/>
      <c r="W114" s="462">
        <v>10</v>
      </c>
      <c r="X114" s="462"/>
      <c r="Y114" s="462">
        <v>1378.67</v>
      </c>
      <c r="Z114" s="462">
        <f t="shared" si="34"/>
        <v>1570.93</v>
      </c>
      <c r="AA114" s="462">
        <f t="shared" si="35"/>
        <v>2452.4700000000003</v>
      </c>
      <c r="AB114" s="489">
        <v>1000</v>
      </c>
    </row>
    <row r="115" spans="1:30" s="486" customFormat="1" ht="22.5">
      <c r="A115" s="456">
        <v>31</v>
      </c>
      <c r="B115" s="466" t="s">
        <v>502</v>
      </c>
      <c r="C115" s="497">
        <v>9901442379</v>
      </c>
      <c r="D115" s="459" t="s">
        <v>503</v>
      </c>
      <c r="E115" s="472" t="s">
        <v>1175</v>
      </c>
      <c r="F115" s="461">
        <v>31</v>
      </c>
      <c r="G115" s="525">
        <v>71.400000000000006</v>
      </c>
      <c r="H115" s="462">
        <f t="shared" si="24"/>
        <v>2213.4</v>
      </c>
      <c r="I115" s="462">
        <f t="shared" si="25"/>
        <v>8568</v>
      </c>
      <c r="J115" s="463">
        <v>4</v>
      </c>
      <c r="K115" s="464">
        <v>50</v>
      </c>
      <c r="L115" s="462">
        <f t="shared" si="26"/>
        <v>1760</v>
      </c>
      <c r="M115" s="462">
        <v>1510</v>
      </c>
      <c r="N115" s="462">
        <v>250</v>
      </c>
      <c r="O115" s="462">
        <f t="shared" si="27"/>
        <v>4023.4</v>
      </c>
      <c r="P115" s="488">
        <f t="shared" si="28"/>
        <v>1234</v>
      </c>
      <c r="Q115" s="489">
        <f t="shared" si="29"/>
        <v>1217.0958904109589</v>
      </c>
      <c r="R115" s="489">
        <f t="shared" si="30"/>
        <v>65.753424657534239</v>
      </c>
      <c r="S115" s="490">
        <f t="shared" si="31"/>
        <v>15808</v>
      </c>
      <c r="T115" s="490">
        <f t="shared" si="32"/>
        <v>18324.849315068492</v>
      </c>
      <c r="U115" s="491">
        <f t="shared" si="33"/>
        <v>182.26</v>
      </c>
      <c r="V115" s="462"/>
      <c r="W115" s="462">
        <v>10</v>
      </c>
      <c r="X115" s="462"/>
      <c r="Y115" s="462"/>
      <c r="Z115" s="462">
        <f t="shared" si="34"/>
        <v>192.26</v>
      </c>
      <c r="AA115" s="462">
        <f t="shared" si="35"/>
        <v>3831.1400000000003</v>
      </c>
      <c r="AB115" s="489">
        <v>1000</v>
      </c>
    </row>
    <row r="116" spans="1:30" s="486" customFormat="1" ht="22.5">
      <c r="A116" s="456">
        <v>32</v>
      </c>
      <c r="B116" s="457" t="s">
        <v>504</v>
      </c>
      <c r="C116" s="497">
        <v>9901442377</v>
      </c>
      <c r="D116" s="459" t="s">
        <v>505</v>
      </c>
      <c r="E116" s="472" t="s">
        <v>1175</v>
      </c>
      <c r="F116" s="461">
        <v>31</v>
      </c>
      <c r="G116" s="525">
        <v>71.400000000000006</v>
      </c>
      <c r="H116" s="462">
        <f t="shared" si="24"/>
        <v>2213.4</v>
      </c>
      <c r="I116" s="462">
        <f t="shared" si="25"/>
        <v>8568</v>
      </c>
      <c r="J116" s="463">
        <v>4</v>
      </c>
      <c r="K116" s="464">
        <v>50</v>
      </c>
      <c r="L116" s="462">
        <f t="shared" si="26"/>
        <v>1760</v>
      </c>
      <c r="M116" s="462">
        <v>1510</v>
      </c>
      <c r="N116" s="462">
        <v>250</v>
      </c>
      <c r="O116" s="462">
        <f t="shared" si="27"/>
        <v>4023.4</v>
      </c>
      <c r="P116" s="488">
        <f t="shared" si="28"/>
        <v>1234</v>
      </c>
      <c r="Q116" s="489">
        <f t="shared" si="29"/>
        <v>1217.0958904109589</v>
      </c>
      <c r="R116" s="489">
        <f t="shared" si="30"/>
        <v>65.753424657534239</v>
      </c>
      <c r="S116" s="490">
        <f t="shared" si="31"/>
        <v>15808</v>
      </c>
      <c r="T116" s="490">
        <f t="shared" si="32"/>
        <v>18324.849315068492</v>
      </c>
      <c r="U116" s="491">
        <f t="shared" si="33"/>
        <v>182.26</v>
      </c>
      <c r="V116" s="498">
        <f>(O116-N116)*11%</f>
        <v>415.07400000000001</v>
      </c>
      <c r="W116" s="462">
        <v>10</v>
      </c>
      <c r="X116" s="462"/>
      <c r="Y116" s="462"/>
      <c r="Z116" s="462">
        <f t="shared" si="34"/>
        <v>607.33400000000006</v>
      </c>
      <c r="AA116" s="462">
        <f t="shared" si="35"/>
        <v>3416.0659999999998</v>
      </c>
      <c r="AB116" s="489">
        <v>1000</v>
      </c>
    </row>
    <row r="117" spans="1:30" s="486" customFormat="1" ht="22.5">
      <c r="A117" s="456">
        <v>33</v>
      </c>
      <c r="B117" s="466" t="s">
        <v>506</v>
      </c>
      <c r="C117" s="497">
        <v>9901442992</v>
      </c>
      <c r="D117" s="459" t="s">
        <v>507</v>
      </c>
      <c r="E117" s="472" t="s">
        <v>1175</v>
      </c>
      <c r="F117" s="461">
        <v>31</v>
      </c>
      <c r="G117" s="525">
        <v>71.400000000000006</v>
      </c>
      <c r="H117" s="462">
        <f t="shared" si="24"/>
        <v>2213.4</v>
      </c>
      <c r="I117" s="462">
        <f t="shared" si="25"/>
        <v>8568</v>
      </c>
      <c r="J117" s="463">
        <v>4</v>
      </c>
      <c r="K117" s="511">
        <v>50</v>
      </c>
      <c r="L117" s="462">
        <f t="shared" si="26"/>
        <v>1760</v>
      </c>
      <c r="M117" s="462">
        <v>1510</v>
      </c>
      <c r="N117" s="462">
        <v>250</v>
      </c>
      <c r="O117" s="462">
        <f t="shared" si="27"/>
        <v>4023.4</v>
      </c>
      <c r="P117" s="488">
        <f t="shared" si="28"/>
        <v>1234</v>
      </c>
      <c r="Q117" s="489">
        <f t="shared" si="29"/>
        <v>1217.0958904109589</v>
      </c>
      <c r="R117" s="489">
        <f t="shared" si="30"/>
        <v>65.753424657534239</v>
      </c>
      <c r="S117" s="490">
        <f t="shared" si="31"/>
        <v>15808</v>
      </c>
      <c r="T117" s="490">
        <f t="shared" si="32"/>
        <v>18324.849315068492</v>
      </c>
      <c r="U117" s="491">
        <f t="shared" si="33"/>
        <v>182.26</v>
      </c>
      <c r="V117" s="462"/>
      <c r="W117" s="462">
        <v>10</v>
      </c>
      <c r="X117" s="512">
        <v>943.35</v>
      </c>
      <c r="Y117" s="462">
        <v>2694.84</v>
      </c>
      <c r="Z117" s="462">
        <f t="shared" si="34"/>
        <v>3830.45</v>
      </c>
      <c r="AA117" s="462">
        <f t="shared" si="35"/>
        <v>192.95000000000027</v>
      </c>
      <c r="AB117" s="489">
        <v>1000</v>
      </c>
      <c r="AD117" s="486" t="s">
        <v>451</v>
      </c>
    </row>
    <row r="118" spans="1:30" s="486" customFormat="1" ht="22.5">
      <c r="A118" s="456">
        <v>34</v>
      </c>
      <c r="B118" s="466" t="s">
        <v>508</v>
      </c>
      <c r="C118" s="497">
        <v>9901442202</v>
      </c>
      <c r="D118" s="459" t="s">
        <v>509</v>
      </c>
      <c r="E118" s="472" t="s">
        <v>1175</v>
      </c>
      <c r="F118" s="461">
        <v>31</v>
      </c>
      <c r="G118" s="525">
        <v>71.400000000000006</v>
      </c>
      <c r="H118" s="462">
        <f t="shared" si="24"/>
        <v>2213.4</v>
      </c>
      <c r="I118" s="462">
        <f t="shared" si="25"/>
        <v>8568</v>
      </c>
      <c r="J118" s="463">
        <v>4</v>
      </c>
      <c r="K118" s="526">
        <v>50</v>
      </c>
      <c r="L118" s="462">
        <f t="shared" si="26"/>
        <v>1760</v>
      </c>
      <c r="M118" s="462">
        <v>1510</v>
      </c>
      <c r="N118" s="462">
        <v>250</v>
      </c>
      <c r="O118" s="462">
        <f t="shared" si="27"/>
        <v>4023.4</v>
      </c>
      <c r="P118" s="488">
        <f t="shared" si="28"/>
        <v>1234</v>
      </c>
      <c r="Q118" s="489">
        <f t="shared" si="29"/>
        <v>1217.0958904109589</v>
      </c>
      <c r="R118" s="489">
        <f t="shared" si="30"/>
        <v>65.753424657534239</v>
      </c>
      <c r="S118" s="490">
        <f t="shared" si="31"/>
        <v>15808</v>
      </c>
      <c r="T118" s="490">
        <f t="shared" si="32"/>
        <v>18324.849315068492</v>
      </c>
      <c r="U118" s="491">
        <f t="shared" si="33"/>
        <v>182.26</v>
      </c>
      <c r="V118" s="498">
        <f>(O118-N118)*11%</f>
        <v>415.07400000000001</v>
      </c>
      <c r="W118" s="462">
        <v>10</v>
      </c>
      <c r="X118" s="462"/>
      <c r="Y118" s="462"/>
      <c r="Z118" s="462">
        <f t="shared" si="34"/>
        <v>607.33400000000006</v>
      </c>
      <c r="AA118" s="462">
        <f t="shared" si="35"/>
        <v>3416.0659999999998</v>
      </c>
      <c r="AB118" s="489">
        <v>1000</v>
      </c>
      <c r="AD118" s="486" t="s">
        <v>451</v>
      </c>
    </row>
    <row r="119" spans="1:30" s="486" customFormat="1" ht="12">
      <c r="A119" s="456">
        <v>35</v>
      </c>
      <c r="B119" s="466" t="s">
        <v>510</v>
      </c>
      <c r="C119" s="497">
        <v>9901442886</v>
      </c>
      <c r="D119" s="459" t="s">
        <v>511</v>
      </c>
      <c r="E119" s="472" t="s">
        <v>44</v>
      </c>
      <c r="F119" s="461">
        <v>31</v>
      </c>
      <c r="G119" s="525">
        <v>72.540000000000006</v>
      </c>
      <c r="H119" s="462">
        <f t="shared" si="24"/>
        <v>2248.7400000000002</v>
      </c>
      <c r="I119" s="462">
        <f t="shared" si="25"/>
        <v>8704.8000000000011</v>
      </c>
      <c r="J119" s="463">
        <v>4</v>
      </c>
      <c r="K119" s="464">
        <v>75</v>
      </c>
      <c r="L119" s="462">
        <f t="shared" si="26"/>
        <v>1760</v>
      </c>
      <c r="M119" s="462">
        <v>1510</v>
      </c>
      <c r="N119" s="462">
        <v>250</v>
      </c>
      <c r="O119" s="462">
        <f t="shared" si="27"/>
        <v>4083.7400000000002</v>
      </c>
      <c r="P119" s="488">
        <f t="shared" si="28"/>
        <v>1253.7333333333333</v>
      </c>
      <c r="Q119" s="489">
        <f t="shared" si="29"/>
        <v>1236.5589041095891</v>
      </c>
      <c r="R119" s="489">
        <f t="shared" si="30"/>
        <v>65.753424657534239</v>
      </c>
      <c r="S119" s="490">
        <f t="shared" si="31"/>
        <v>16044.800000000001</v>
      </c>
      <c r="T119" s="490">
        <f t="shared" si="32"/>
        <v>18600.845662100459</v>
      </c>
      <c r="U119" s="491">
        <f t="shared" si="33"/>
        <v>185.17</v>
      </c>
      <c r="V119" s="462"/>
      <c r="W119" s="462">
        <v>10</v>
      </c>
      <c r="X119" s="462"/>
      <c r="Y119" s="462"/>
      <c r="Z119" s="462">
        <f t="shared" si="34"/>
        <v>195.17</v>
      </c>
      <c r="AA119" s="462">
        <f t="shared" si="35"/>
        <v>3888.57</v>
      </c>
      <c r="AB119" s="489">
        <v>1000</v>
      </c>
    </row>
    <row r="120" spans="1:30" s="486" customFormat="1" ht="22.5">
      <c r="A120" s="456">
        <v>36</v>
      </c>
      <c r="B120" s="466" t="s">
        <v>512</v>
      </c>
      <c r="C120" s="497">
        <v>9901443723</v>
      </c>
      <c r="D120" s="459" t="s">
        <v>513</v>
      </c>
      <c r="E120" s="472" t="s">
        <v>1175</v>
      </c>
      <c r="F120" s="461">
        <v>31</v>
      </c>
      <c r="G120" s="525">
        <v>71.400000000000006</v>
      </c>
      <c r="H120" s="462">
        <f t="shared" si="24"/>
        <v>2213.4</v>
      </c>
      <c r="I120" s="462">
        <f t="shared" si="25"/>
        <v>8568</v>
      </c>
      <c r="J120" s="463">
        <v>4</v>
      </c>
      <c r="K120" s="464">
        <v>50</v>
      </c>
      <c r="L120" s="462">
        <f t="shared" si="26"/>
        <v>1760</v>
      </c>
      <c r="M120" s="462">
        <v>1510</v>
      </c>
      <c r="N120" s="462">
        <v>250</v>
      </c>
      <c r="O120" s="462">
        <f t="shared" si="27"/>
        <v>4023.4</v>
      </c>
      <c r="P120" s="488">
        <f t="shared" si="28"/>
        <v>1234</v>
      </c>
      <c r="Q120" s="489">
        <f t="shared" si="29"/>
        <v>1217.0958904109589</v>
      </c>
      <c r="R120" s="489">
        <f t="shared" si="30"/>
        <v>65.753424657534239</v>
      </c>
      <c r="S120" s="490">
        <f t="shared" si="31"/>
        <v>15808</v>
      </c>
      <c r="T120" s="490">
        <f t="shared" si="32"/>
        <v>18324.849315068492</v>
      </c>
      <c r="U120" s="491">
        <f t="shared" si="33"/>
        <v>182.26</v>
      </c>
      <c r="V120" s="498">
        <f>(O120-N120)*11%</f>
        <v>415.07400000000001</v>
      </c>
      <c r="W120" s="462">
        <v>10</v>
      </c>
      <c r="X120" s="462"/>
      <c r="Y120" s="462"/>
      <c r="Z120" s="462">
        <f t="shared" si="34"/>
        <v>607.33400000000006</v>
      </c>
      <c r="AA120" s="462">
        <f t="shared" si="35"/>
        <v>3416.0659999999998</v>
      </c>
      <c r="AB120" s="489">
        <v>1000</v>
      </c>
    </row>
    <row r="121" spans="1:30" s="486" customFormat="1" ht="22.5">
      <c r="A121" s="456">
        <v>37</v>
      </c>
      <c r="B121" s="466" t="s">
        <v>514</v>
      </c>
      <c r="C121" s="497">
        <v>9901442990</v>
      </c>
      <c r="D121" s="459" t="s">
        <v>515</v>
      </c>
      <c r="E121" s="472" t="s">
        <v>1175</v>
      </c>
      <c r="F121" s="461">
        <v>31</v>
      </c>
      <c r="G121" s="525">
        <v>71.400000000000006</v>
      </c>
      <c r="H121" s="462">
        <f t="shared" si="24"/>
        <v>2213.4</v>
      </c>
      <c r="I121" s="462">
        <f t="shared" si="25"/>
        <v>8568</v>
      </c>
      <c r="J121" s="463">
        <v>4</v>
      </c>
      <c r="K121" s="526">
        <v>50</v>
      </c>
      <c r="L121" s="462">
        <f t="shared" si="26"/>
        <v>1760</v>
      </c>
      <c r="M121" s="462">
        <v>1510</v>
      </c>
      <c r="N121" s="462">
        <v>250</v>
      </c>
      <c r="O121" s="462">
        <f t="shared" si="27"/>
        <v>4023.4</v>
      </c>
      <c r="P121" s="488">
        <f t="shared" si="28"/>
        <v>1234</v>
      </c>
      <c r="Q121" s="489">
        <f t="shared" si="29"/>
        <v>1217.0958904109589</v>
      </c>
      <c r="R121" s="489">
        <f t="shared" si="30"/>
        <v>65.753424657534239</v>
      </c>
      <c r="S121" s="490">
        <f t="shared" si="31"/>
        <v>15808</v>
      </c>
      <c r="T121" s="490">
        <f t="shared" si="32"/>
        <v>18324.849315068492</v>
      </c>
      <c r="U121" s="491">
        <f t="shared" si="33"/>
        <v>182.26</v>
      </c>
      <c r="V121" s="498">
        <f>(O121-N121)*11%</f>
        <v>415.07400000000001</v>
      </c>
      <c r="W121" s="462">
        <v>10</v>
      </c>
      <c r="X121" s="462"/>
      <c r="Y121" s="462"/>
      <c r="Z121" s="462">
        <f t="shared" si="34"/>
        <v>607.33400000000006</v>
      </c>
      <c r="AA121" s="462">
        <f t="shared" si="35"/>
        <v>3416.0659999999998</v>
      </c>
      <c r="AB121" s="489">
        <v>1000</v>
      </c>
      <c r="AD121" s="486" t="s">
        <v>451</v>
      </c>
    </row>
    <row r="122" spans="1:30" s="486" customFormat="1" ht="22.5">
      <c r="A122" s="456">
        <v>38</v>
      </c>
      <c r="B122" s="457" t="s">
        <v>516</v>
      </c>
      <c r="C122" s="497">
        <v>9901442501</v>
      </c>
      <c r="D122" s="459" t="s">
        <v>517</v>
      </c>
      <c r="E122" s="472" t="s">
        <v>39</v>
      </c>
      <c r="F122" s="461">
        <v>31</v>
      </c>
      <c r="G122" s="525">
        <v>78.25</v>
      </c>
      <c r="H122" s="462">
        <f t="shared" si="24"/>
        <v>2425.75</v>
      </c>
      <c r="I122" s="462">
        <f t="shared" si="25"/>
        <v>9390</v>
      </c>
      <c r="J122" s="463">
        <v>4</v>
      </c>
      <c r="K122" s="464">
        <v>75</v>
      </c>
      <c r="L122" s="462">
        <f t="shared" si="26"/>
        <v>1760</v>
      </c>
      <c r="M122" s="462">
        <v>1510</v>
      </c>
      <c r="N122" s="462">
        <v>250</v>
      </c>
      <c r="O122" s="462">
        <f t="shared" si="27"/>
        <v>4260.75</v>
      </c>
      <c r="P122" s="488">
        <f t="shared" si="28"/>
        <v>1310.8333333333333</v>
      </c>
      <c r="Q122" s="489">
        <f t="shared" si="29"/>
        <v>1292.8767123287671</v>
      </c>
      <c r="R122" s="489">
        <f t="shared" si="30"/>
        <v>65.753424657534239</v>
      </c>
      <c r="S122" s="490">
        <f t="shared" si="31"/>
        <v>16730</v>
      </c>
      <c r="T122" s="490">
        <f t="shared" si="32"/>
        <v>19399.463470319632</v>
      </c>
      <c r="U122" s="491">
        <f t="shared" si="33"/>
        <v>193.72</v>
      </c>
      <c r="V122" s="498">
        <f>(O122-N122)*11%</f>
        <v>441.1825</v>
      </c>
      <c r="W122" s="462">
        <v>10</v>
      </c>
      <c r="X122" s="462"/>
      <c r="Y122" s="462">
        <v>1306.3</v>
      </c>
      <c r="Z122" s="462">
        <f t="shared" si="34"/>
        <v>1951.2025000000001</v>
      </c>
      <c r="AA122" s="462">
        <f t="shared" si="35"/>
        <v>2309.5474999999997</v>
      </c>
      <c r="AB122" s="489">
        <v>1000</v>
      </c>
    </row>
    <row r="123" spans="1:30" s="486" customFormat="1" ht="22.5">
      <c r="A123" s="456">
        <v>39</v>
      </c>
      <c r="B123" s="466" t="s">
        <v>518</v>
      </c>
      <c r="C123" s="497">
        <v>9901443131</v>
      </c>
      <c r="D123" s="459" t="s">
        <v>519</v>
      </c>
      <c r="E123" s="472" t="s">
        <v>39</v>
      </c>
      <c r="F123" s="461">
        <v>31</v>
      </c>
      <c r="G123" s="525">
        <v>78.25</v>
      </c>
      <c r="H123" s="462">
        <f t="shared" si="24"/>
        <v>2425.75</v>
      </c>
      <c r="I123" s="462">
        <f t="shared" si="25"/>
        <v>9390</v>
      </c>
      <c r="J123" s="463">
        <v>4</v>
      </c>
      <c r="K123" s="464">
        <v>75</v>
      </c>
      <c r="L123" s="462">
        <f t="shared" si="26"/>
        <v>1760</v>
      </c>
      <c r="M123" s="462">
        <v>1510</v>
      </c>
      <c r="N123" s="462">
        <v>250</v>
      </c>
      <c r="O123" s="462">
        <f t="shared" si="27"/>
        <v>4260.75</v>
      </c>
      <c r="P123" s="488">
        <f t="shared" si="28"/>
        <v>1310.8333333333333</v>
      </c>
      <c r="Q123" s="489">
        <f t="shared" si="29"/>
        <v>1292.8767123287671</v>
      </c>
      <c r="R123" s="489">
        <f t="shared" si="30"/>
        <v>65.753424657534239</v>
      </c>
      <c r="S123" s="490">
        <f t="shared" si="31"/>
        <v>16730</v>
      </c>
      <c r="T123" s="490">
        <f t="shared" si="32"/>
        <v>19399.463470319632</v>
      </c>
      <c r="U123" s="491">
        <f t="shared" si="33"/>
        <v>193.72</v>
      </c>
      <c r="V123" s="462"/>
      <c r="W123" s="498">
        <v>10</v>
      </c>
      <c r="X123" s="462"/>
      <c r="Y123" s="462">
        <v>1465.71</v>
      </c>
      <c r="Z123" s="462">
        <f t="shared" si="34"/>
        <v>1669.43</v>
      </c>
      <c r="AA123" s="462">
        <f t="shared" si="35"/>
        <v>2591.3199999999997</v>
      </c>
      <c r="AB123" s="489">
        <v>1000</v>
      </c>
    </row>
    <row r="124" spans="1:30" s="486" customFormat="1" ht="22.5">
      <c r="A124" s="456">
        <v>40</v>
      </c>
      <c r="B124" s="466" t="s">
        <v>520</v>
      </c>
      <c r="C124" s="497">
        <v>9901442622</v>
      </c>
      <c r="D124" s="459" t="s">
        <v>521</v>
      </c>
      <c r="E124" s="472" t="s">
        <v>1175</v>
      </c>
      <c r="F124" s="461">
        <v>31</v>
      </c>
      <c r="G124" s="525">
        <v>71.400000000000006</v>
      </c>
      <c r="H124" s="462">
        <f t="shared" si="24"/>
        <v>2213.4</v>
      </c>
      <c r="I124" s="462">
        <f t="shared" si="25"/>
        <v>8568</v>
      </c>
      <c r="J124" s="463">
        <v>4</v>
      </c>
      <c r="K124" s="464">
        <v>50</v>
      </c>
      <c r="L124" s="462">
        <f t="shared" si="26"/>
        <v>1760</v>
      </c>
      <c r="M124" s="462">
        <v>1510</v>
      </c>
      <c r="N124" s="462">
        <v>250</v>
      </c>
      <c r="O124" s="462">
        <f t="shared" si="27"/>
        <v>4023.4</v>
      </c>
      <c r="P124" s="488">
        <f t="shared" si="28"/>
        <v>1234</v>
      </c>
      <c r="Q124" s="489">
        <f t="shared" si="29"/>
        <v>1217.0958904109589</v>
      </c>
      <c r="R124" s="489">
        <f t="shared" si="30"/>
        <v>65.753424657534239</v>
      </c>
      <c r="S124" s="490">
        <f t="shared" si="31"/>
        <v>15808</v>
      </c>
      <c r="T124" s="490">
        <f t="shared" si="32"/>
        <v>18324.849315068492</v>
      </c>
      <c r="U124" s="491">
        <f t="shared" si="33"/>
        <v>182.26</v>
      </c>
      <c r="V124" s="498">
        <f>(O124-N124)*11%</f>
        <v>415.07400000000001</v>
      </c>
      <c r="W124" s="462">
        <v>10</v>
      </c>
      <c r="X124" s="462"/>
      <c r="Y124" s="462"/>
      <c r="Z124" s="462">
        <f t="shared" si="34"/>
        <v>607.33400000000006</v>
      </c>
      <c r="AA124" s="462">
        <f t="shared" si="35"/>
        <v>3416.0659999999998</v>
      </c>
      <c r="AB124" s="489">
        <v>1000</v>
      </c>
    </row>
    <row r="125" spans="1:30" s="486" customFormat="1" ht="22.5">
      <c r="A125" s="456">
        <v>41</v>
      </c>
      <c r="B125" s="457" t="s">
        <v>522</v>
      </c>
      <c r="C125" s="497">
        <v>9901442381</v>
      </c>
      <c r="D125" s="459" t="s">
        <v>523</v>
      </c>
      <c r="E125" s="472" t="s">
        <v>1175</v>
      </c>
      <c r="F125" s="461">
        <v>31</v>
      </c>
      <c r="G125" s="525">
        <v>71.400000000000006</v>
      </c>
      <c r="H125" s="462">
        <f t="shared" si="24"/>
        <v>2213.4</v>
      </c>
      <c r="I125" s="462">
        <f t="shared" si="25"/>
        <v>8568</v>
      </c>
      <c r="J125" s="463">
        <v>4</v>
      </c>
      <c r="K125" s="464">
        <v>50</v>
      </c>
      <c r="L125" s="462">
        <f t="shared" si="26"/>
        <v>1760</v>
      </c>
      <c r="M125" s="462">
        <v>1510</v>
      </c>
      <c r="N125" s="462">
        <v>250</v>
      </c>
      <c r="O125" s="462">
        <f t="shared" si="27"/>
        <v>4023.4</v>
      </c>
      <c r="P125" s="488">
        <f t="shared" si="28"/>
        <v>1234</v>
      </c>
      <c r="Q125" s="489">
        <f t="shared" si="29"/>
        <v>1217.0958904109589</v>
      </c>
      <c r="R125" s="489">
        <f t="shared" si="30"/>
        <v>65.753424657534239</v>
      </c>
      <c r="S125" s="490">
        <f t="shared" si="31"/>
        <v>15808</v>
      </c>
      <c r="T125" s="490">
        <f t="shared" si="32"/>
        <v>18324.849315068492</v>
      </c>
      <c r="U125" s="491">
        <f t="shared" si="33"/>
        <v>182.26</v>
      </c>
      <c r="V125" s="462"/>
      <c r="W125" s="462">
        <v>10</v>
      </c>
      <c r="X125" s="462"/>
      <c r="Y125" s="462">
        <v>1079.07</v>
      </c>
      <c r="Z125" s="462">
        <f t="shared" si="34"/>
        <v>1271.33</v>
      </c>
      <c r="AA125" s="462">
        <f t="shared" si="35"/>
        <v>2752.07</v>
      </c>
      <c r="AB125" s="489">
        <v>1000</v>
      </c>
    </row>
    <row r="126" spans="1:30" s="486" customFormat="1" ht="12">
      <c r="A126" s="456">
        <v>42</v>
      </c>
      <c r="B126" s="466" t="s">
        <v>524</v>
      </c>
      <c r="C126" s="497">
        <v>9901442660</v>
      </c>
      <c r="D126" s="459" t="s">
        <v>525</v>
      </c>
      <c r="E126" s="472" t="s">
        <v>47</v>
      </c>
      <c r="F126" s="461">
        <v>31</v>
      </c>
      <c r="G126" s="525">
        <v>74.63</v>
      </c>
      <c r="H126" s="462">
        <f t="shared" si="24"/>
        <v>2313.5299999999997</v>
      </c>
      <c r="I126" s="462">
        <f t="shared" si="25"/>
        <v>8955.5999999999985</v>
      </c>
      <c r="J126" s="463">
        <v>4</v>
      </c>
      <c r="K126" s="464">
        <v>75</v>
      </c>
      <c r="L126" s="462">
        <f t="shared" si="26"/>
        <v>1760</v>
      </c>
      <c r="M126" s="462">
        <v>1510</v>
      </c>
      <c r="N126" s="462">
        <v>250</v>
      </c>
      <c r="O126" s="462">
        <f t="shared" si="27"/>
        <v>4148.53</v>
      </c>
      <c r="P126" s="488">
        <f t="shared" si="28"/>
        <v>1274.6333333333332</v>
      </c>
      <c r="Q126" s="489">
        <f t="shared" si="29"/>
        <v>1257.172602739726</v>
      </c>
      <c r="R126" s="489">
        <f t="shared" si="30"/>
        <v>65.753424657534239</v>
      </c>
      <c r="S126" s="490">
        <f t="shared" si="31"/>
        <v>16295.599999999999</v>
      </c>
      <c r="T126" s="490">
        <f t="shared" si="32"/>
        <v>18893.159360730591</v>
      </c>
      <c r="U126" s="491">
        <f t="shared" si="33"/>
        <v>188.3</v>
      </c>
      <c r="V126" s="498">
        <f>(O126-N126)*11%</f>
        <v>428.83829999999995</v>
      </c>
      <c r="W126" s="462">
        <v>10</v>
      </c>
      <c r="X126" s="462"/>
      <c r="Y126" s="462"/>
      <c r="Z126" s="462">
        <f t="shared" si="34"/>
        <v>627.13829999999996</v>
      </c>
      <c r="AA126" s="462">
        <f t="shared" si="35"/>
        <v>3521.3916999999997</v>
      </c>
      <c r="AB126" s="489">
        <v>1000</v>
      </c>
    </row>
    <row r="127" spans="1:30" s="486" customFormat="1" ht="12">
      <c r="A127" s="456">
        <v>43</v>
      </c>
      <c r="B127" s="457" t="s">
        <v>526</v>
      </c>
      <c r="C127" s="497">
        <v>9901484107</v>
      </c>
      <c r="D127" s="459" t="s">
        <v>527</v>
      </c>
      <c r="E127" s="472" t="s">
        <v>32</v>
      </c>
      <c r="F127" s="461">
        <v>31</v>
      </c>
      <c r="G127" s="525">
        <v>71.400000000000006</v>
      </c>
      <c r="H127" s="462">
        <f t="shared" si="24"/>
        <v>2213.4</v>
      </c>
      <c r="I127" s="462">
        <f t="shared" si="25"/>
        <v>8568</v>
      </c>
      <c r="J127" s="463">
        <v>4</v>
      </c>
      <c r="K127" s="464">
        <v>0</v>
      </c>
      <c r="L127" s="462">
        <f t="shared" si="26"/>
        <v>1760</v>
      </c>
      <c r="M127" s="462">
        <v>1510</v>
      </c>
      <c r="N127" s="462">
        <v>250</v>
      </c>
      <c r="O127" s="462">
        <f t="shared" si="27"/>
        <v>3973.4</v>
      </c>
      <c r="P127" s="488">
        <f t="shared" si="28"/>
        <v>1217.3333333333333</v>
      </c>
      <c r="Q127" s="489">
        <f t="shared" si="29"/>
        <v>1200.6575342465753</v>
      </c>
      <c r="R127" s="489">
        <f t="shared" si="30"/>
        <v>65.753424657534239</v>
      </c>
      <c r="S127" s="490">
        <f t="shared" si="31"/>
        <v>15608</v>
      </c>
      <c r="T127" s="490">
        <f t="shared" si="32"/>
        <v>18091.744292237443</v>
      </c>
      <c r="U127" s="491">
        <f t="shared" si="33"/>
        <v>179.84</v>
      </c>
      <c r="V127" s="498">
        <f>(O127-N127)*11%</f>
        <v>409.57400000000001</v>
      </c>
      <c r="W127" s="498">
        <v>10</v>
      </c>
      <c r="X127" s="462"/>
      <c r="Y127" s="462"/>
      <c r="Z127" s="462">
        <f t="shared" si="34"/>
        <v>599.41399999999999</v>
      </c>
      <c r="AA127" s="462">
        <f t="shared" si="35"/>
        <v>3373.9859999999999</v>
      </c>
      <c r="AB127" s="489">
        <v>1000</v>
      </c>
    </row>
    <row r="128" spans="1:30" s="486" customFormat="1" ht="22.5">
      <c r="A128" s="456">
        <v>44</v>
      </c>
      <c r="B128" s="466" t="s">
        <v>528</v>
      </c>
      <c r="C128" s="497">
        <v>9901442567</v>
      </c>
      <c r="D128" s="459" t="s">
        <v>529</v>
      </c>
      <c r="E128" s="472" t="s">
        <v>1175</v>
      </c>
      <c r="F128" s="461">
        <v>31</v>
      </c>
      <c r="G128" s="525">
        <v>71.400000000000006</v>
      </c>
      <c r="H128" s="462">
        <f t="shared" si="24"/>
        <v>2213.4</v>
      </c>
      <c r="I128" s="462">
        <f t="shared" si="25"/>
        <v>8568</v>
      </c>
      <c r="J128" s="463">
        <v>4</v>
      </c>
      <c r="K128" s="511">
        <v>50</v>
      </c>
      <c r="L128" s="462">
        <f t="shared" si="26"/>
        <v>1760</v>
      </c>
      <c r="M128" s="462">
        <v>1510</v>
      </c>
      <c r="N128" s="462">
        <v>250</v>
      </c>
      <c r="O128" s="462">
        <f t="shared" si="27"/>
        <v>4023.4</v>
      </c>
      <c r="P128" s="488">
        <f t="shared" si="28"/>
        <v>1234</v>
      </c>
      <c r="Q128" s="489">
        <f t="shared" si="29"/>
        <v>1217.0958904109589</v>
      </c>
      <c r="R128" s="489">
        <f t="shared" si="30"/>
        <v>65.753424657534239</v>
      </c>
      <c r="S128" s="490">
        <f t="shared" si="31"/>
        <v>15808</v>
      </c>
      <c r="T128" s="490">
        <f t="shared" si="32"/>
        <v>18324.849315068492</v>
      </c>
      <c r="U128" s="491">
        <f t="shared" si="33"/>
        <v>182.26</v>
      </c>
      <c r="V128" s="462"/>
      <c r="W128" s="462">
        <v>10</v>
      </c>
      <c r="X128" s="462"/>
      <c r="Y128" s="462"/>
      <c r="Z128" s="462">
        <f t="shared" si="34"/>
        <v>192.26</v>
      </c>
      <c r="AA128" s="462">
        <f t="shared" si="35"/>
        <v>3831.1400000000003</v>
      </c>
      <c r="AB128" s="489">
        <v>1000</v>
      </c>
      <c r="AD128" s="486" t="s">
        <v>451</v>
      </c>
    </row>
    <row r="129" spans="1:30" s="486" customFormat="1" ht="22.5">
      <c r="A129" s="456">
        <v>45</v>
      </c>
      <c r="B129" s="466" t="s">
        <v>530</v>
      </c>
      <c r="C129" s="497">
        <v>9901442375</v>
      </c>
      <c r="D129" s="459" t="s">
        <v>531</v>
      </c>
      <c r="E129" s="472" t="s">
        <v>1175</v>
      </c>
      <c r="F129" s="461">
        <v>31</v>
      </c>
      <c r="G129" s="525">
        <v>71.400000000000006</v>
      </c>
      <c r="H129" s="462">
        <f t="shared" si="24"/>
        <v>2213.4</v>
      </c>
      <c r="I129" s="462">
        <f t="shared" si="25"/>
        <v>8568</v>
      </c>
      <c r="J129" s="463">
        <v>4</v>
      </c>
      <c r="K129" s="464">
        <v>50</v>
      </c>
      <c r="L129" s="462">
        <f t="shared" si="26"/>
        <v>1760</v>
      </c>
      <c r="M129" s="462">
        <v>1510</v>
      </c>
      <c r="N129" s="462">
        <v>250</v>
      </c>
      <c r="O129" s="462">
        <f t="shared" si="27"/>
        <v>4023.4</v>
      </c>
      <c r="P129" s="488">
        <f t="shared" si="28"/>
        <v>1234</v>
      </c>
      <c r="Q129" s="489">
        <f t="shared" si="29"/>
        <v>1217.0958904109589</v>
      </c>
      <c r="R129" s="489">
        <f t="shared" si="30"/>
        <v>65.753424657534239</v>
      </c>
      <c r="S129" s="490">
        <f t="shared" si="31"/>
        <v>15808</v>
      </c>
      <c r="T129" s="490">
        <f t="shared" si="32"/>
        <v>18324.849315068492</v>
      </c>
      <c r="U129" s="491">
        <f t="shared" si="33"/>
        <v>182.26</v>
      </c>
      <c r="V129" s="498" t="e">
        <f>(#REF!-#REF!)*11%</f>
        <v>#REF!</v>
      </c>
      <c r="W129" s="462">
        <v>10</v>
      </c>
      <c r="X129" s="462"/>
      <c r="Y129" s="462"/>
      <c r="Z129" s="462" t="e">
        <f t="shared" si="34"/>
        <v>#REF!</v>
      </c>
      <c r="AA129" s="462" t="e">
        <f t="shared" si="35"/>
        <v>#REF!</v>
      </c>
      <c r="AB129" s="489">
        <v>1000</v>
      </c>
    </row>
    <row r="130" spans="1:30" s="486" customFormat="1" ht="22.5">
      <c r="A130" s="456">
        <v>46</v>
      </c>
      <c r="B130" s="457" t="s">
        <v>532</v>
      </c>
      <c r="C130" s="497">
        <v>9901443140</v>
      </c>
      <c r="D130" s="459" t="s">
        <v>533</v>
      </c>
      <c r="E130" s="472" t="s">
        <v>1175</v>
      </c>
      <c r="F130" s="461">
        <v>31</v>
      </c>
      <c r="G130" s="525">
        <v>71.400000000000006</v>
      </c>
      <c r="H130" s="462">
        <f t="shared" si="24"/>
        <v>2213.4</v>
      </c>
      <c r="I130" s="462">
        <f t="shared" si="25"/>
        <v>8568</v>
      </c>
      <c r="J130" s="463">
        <v>4</v>
      </c>
      <c r="K130" s="464">
        <v>75</v>
      </c>
      <c r="L130" s="462">
        <f t="shared" si="26"/>
        <v>1760</v>
      </c>
      <c r="M130" s="462">
        <v>1510</v>
      </c>
      <c r="N130" s="462">
        <v>250</v>
      </c>
      <c r="O130" s="462">
        <f t="shared" si="27"/>
        <v>4048.4</v>
      </c>
      <c r="P130" s="488">
        <f t="shared" si="28"/>
        <v>1242.3333333333333</v>
      </c>
      <c r="Q130" s="489">
        <f t="shared" si="29"/>
        <v>1225.3150684931506</v>
      </c>
      <c r="R130" s="489">
        <f t="shared" si="30"/>
        <v>65.753424657534239</v>
      </c>
      <c r="S130" s="490">
        <f t="shared" si="31"/>
        <v>15908</v>
      </c>
      <c r="T130" s="490">
        <f t="shared" si="32"/>
        <v>18441.401826484016</v>
      </c>
      <c r="U130" s="491">
        <f t="shared" si="33"/>
        <v>183.46</v>
      </c>
      <c r="V130" s="462"/>
      <c r="W130" s="462">
        <v>10</v>
      </c>
      <c r="X130" s="462"/>
      <c r="Y130" s="462">
        <v>1962.94</v>
      </c>
      <c r="Z130" s="462">
        <f t="shared" si="34"/>
        <v>2156.4</v>
      </c>
      <c r="AA130" s="462">
        <f t="shared" si="35"/>
        <v>1892</v>
      </c>
      <c r="AB130" s="489">
        <v>1000</v>
      </c>
    </row>
    <row r="131" spans="1:30" s="486" customFormat="1" ht="22.5">
      <c r="A131" s="456">
        <v>47</v>
      </c>
      <c r="B131" s="457" t="s">
        <v>534</v>
      </c>
      <c r="C131" s="528">
        <v>9901442444</v>
      </c>
      <c r="D131" s="459" t="s">
        <v>535</v>
      </c>
      <c r="E131" s="472" t="s">
        <v>1175</v>
      </c>
      <c r="F131" s="461">
        <v>31</v>
      </c>
      <c r="G131" s="525">
        <v>71.400000000000006</v>
      </c>
      <c r="H131" s="462">
        <f t="shared" si="24"/>
        <v>2213.4</v>
      </c>
      <c r="I131" s="462">
        <f t="shared" si="25"/>
        <v>8568</v>
      </c>
      <c r="J131" s="463">
        <v>4</v>
      </c>
      <c r="K131" s="511">
        <v>75</v>
      </c>
      <c r="L131" s="462">
        <f t="shared" si="26"/>
        <v>1760</v>
      </c>
      <c r="M131" s="462">
        <v>1510</v>
      </c>
      <c r="N131" s="462">
        <v>250</v>
      </c>
      <c r="O131" s="462">
        <f t="shared" si="27"/>
        <v>4048.4</v>
      </c>
      <c r="P131" s="488">
        <f t="shared" si="28"/>
        <v>1242.3333333333333</v>
      </c>
      <c r="Q131" s="489">
        <f t="shared" si="29"/>
        <v>1225.3150684931506</v>
      </c>
      <c r="R131" s="489">
        <f t="shared" si="30"/>
        <v>65.753424657534239</v>
      </c>
      <c r="S131" s="490">
        <f t="shared" si="31"/>
        <v>15908</v>
      </c>
      <c r="T131" s="490">
        <f t="shared" si="32"/>
        <v>18441.401826484016</v>
      </c>
      <c r="U131" s="491">
        <f t="shared" si="33"/>
        <v>183.46</v>
      </c>
      <c r="V131" s="462"/>
      <c r="W131" s="462">
        <v>10</v>
      </c>
      <c r="X131" s="462"/>
      <c r="Y131" s="462">
        <v>1672.47</v>
      </c>
      <c r="Z131" s="462">
        <f t="shared" si="34"/>
        <v>1865.93</v>
      </c>
      <c r="AA131" s="462">
        <f t="shared" si="35"/>
        <v>2182.4700000000003</v>
      </c>
      <c r="AB131" s="489">
        <v>1000</v>
      </c>
      <c r="AD131" s="486" t="s">
        <v>451</v>
      </c>
    </row>
    <row r="132" spans="1:30" s="486" customFormat="1" ht="22.5">
      <c r="A132" s="456">
        <v>48</v>
      </c>
      <c r="B132" s="517"/>
      <c r="C132" s="529">
        <v>9901575940</v>
      </c>
      <c r="D132" s="459" t="s">
        <v>536</v>
      </c>
      <c r="E132" s="472" t="s">
        <v>1175</v>
      </c>
      <c r="F132" s="461">
        <v>31</v>
      </c>
      <c r="G132" s="525">
        <v>71.400000000000006</v>
      </c>
      <c r="H132" s="462">
        <f t="shared" si="24"/>
        <v>2213.4</v>
      </c>
      <c r="I132" s="462">
        <f t="shared" si="25"/>
        <v>8568</v>
      </c>
      <c r="J132" s="463">
        <v>4</v>
      </c>
      <c r="K132" s="464"/>
      <c r="L132" s="462">
        <f t="shared" si="26"/>
        <v>1760</v>
      </c>
      <c r="M132" s="462">
        <v>1510</v>
      </c>
      <c r="N132" s="462">
        <v>250</v>
      </c>
      <c r="O132" s="462">
        <f t="shared" si="27"/>
        <v>3973.4</v>
      </c>
      <c r="P132" s="488">
        <f t="shared" si="28"/>
        <v>1217.3333333333333</v>
      </c>
      <c r="Q132" s="489">
        <f t="shared" si="29"/>
        <v>1200.6575342465753</v>
      </c>
      <c r="R132" s="489">
        <f t="shared" si="30"/>
        <v>65.753424657534239</v>
      </c>
      <c r="S132" s="490">
        <f t="shared" si="31"/>
        <v>15608</v>
      </c>
      <c r="T132" s="490">
        <f t="shared" si="32"/>
        <v>18091.744292237443</v>
      </c>
      <c r="U132" s="491">
        <f t="shared" si="33"/>
        <v>179.84</v>
      </c>
      <c r="V132" s="462"/>
      <c r="W132" s="462"/>
      <c r="X132" s="462"/>
      <c r="Y132" s="462"/>
      <c r="Z132" s="462">
        <f t="shared" si="34"/>
        <v>179.84</v>
      </c>
      <c r="AA132" s="462">
        <f t="shared" si="35"/>
        <v>3793.56</v>
      </c>
      <c r="AB132" s="489">
        <v>1000</v>
      </c>
    </row>
    <row r="133" spans="1:30" s="486" customFormat="1" ht="22.5">
      <c r="A133" s="456">
        <v>49</v>
      </c>
      <c r="B133" s="517"/>
      <c r="C133" s="530">
        <v>9901576018</v>
      </c>
      <c r="D133" s="459" t="s">
        <v>537</v>
      </c>
      <c r="E133" s="472" t="s">
        <v>1175</v>
      </c>
      <c r="F133" s="461">
        <v>31</v>
      </c>
      <c r="G133" s="525">
        <v>71.400000000000006</v>
      </c>
      <c r="H133" s="462">
        <f t="shared" si="24"/>
        <v>2213.4</v>
      </c>
      <c r="I133" s="462">
        <f t="shared" si="25"/>
        <v>8568</v>
      </c>
      <c r="J133" s="463">
        <v>4</v>
      </c>
      <c r="K133" s="464"/>
      <c r="L133" s="462">
        <f t="shared" si="26"/>
        <v>1760</v>
      </c>
      <c r="M133" s="462">
        <v>1510</v>
      </c>
      <c r="N133" s="462">
        <v>250</v>
      </c>
      <c r="O133" s="462">
        <f t="shared" si="27"/>
        <v>3973.4</v>
      </c>
      <c r="P133" s="488">
        <f t="shared" si="28"/>
        <v>1217.3333333333333</v>
      </c>
      <c r="Q133" s="489">
        <f t="shared" si="29"/>
        <v>1200.6575342465753</v>
      </c>
      <c r="R133" s="489">
        <f t="shared" si="30"/>
        <v>65.753424657534239</v>
      </c>
      <c r="S133" s="490">
        <f t="shared" si="31"/>
        <v>15608</v>
      </c>
      <c r="T133" s="490">
        <f t="shared" si="32"/>
        <v>18091.744292237443</v>
      </c>
      <c r="U133" s="491">
        <f t="shared" si="33"/>
        <v>179.84</v>
      </c>
      <c r="V133" s="462"/>
      <c r="W133" s="462"/>
      <c r="X133" s="462"/>
      <c r="Y133" s="462"/>
      <c r="Z133" s="462">
        <f t="shared" si="34"/>
        <v>179.84</v>
      </c>
      <c r="AA133" s="462">
        <f t="shared" si="35"/>
        <v>3793.56</v>
      </c>
      <c r="AB133" s="489">
        <v>1000</v>
      </c>
    </row>
    <row r="134" spans="1:30" s="486" customFormat="1" ht="22.5">
      <c r="A134" s="456">
        <v>50</v>
      </c>
      <c r="B134" s="517"/>
      <c r="C134" s="530">
        <v>9901576022</v>
      </c>
      <c r="D134" s="459" t="s">
        <v>538</v>
      </c>
      <c r="E134" s="472" t="s">
        <v>1175</v>
      </c>
      <c r="F134" s="461">
        <v>31</v>
      </c>
      <c r="G134" s="525">
        <v>71.400000000000006</v>
      </c>
      <c r="H134" s="462">
        <f t="shared" si="24"/>
        <v>2213.4</v>
      </c>
      <c r="I134" s="462">
        <f t="shared" si="25"/>
        <v>8568</v>
      </c>
      <c r="J134" s="463">
        <v>4</v>
      </c>
      <c r="K134" s="464"/>
      <c r="L134" s="462">
        <f t="shared" si="26"/>
        <v>1760</v>
      </c>
      <c r="M134" s="462">
        <v>1510</v>
      </c>
      <c r="N134" s="462">
        <v>250</v>
      </c>
      <c r="O134" s="462">
        <f t="shared" si="27"/>
        <v>3973.4</v>
      </c>
      <c r="P134" s="488">
        <f t="shared" si="28"/>
        <v>1217.3333333333333</v>
      </c>
      <c r="Q134" s="489">
        <f t="shared" si="29"/>
        <v>1200.6575342465753</v>
      </c>
      <c r="R134" s="489">
        <f t="shared" si="30"/>
        <v>65.753424657534239</v>
      </c>
      <c r="S134" s="490">
        <f t="shared" si="31"/>
        <v>15608</v>
      </c>
      <c r="T134" s="490">
        <f t="shared" si="32"/>
        <v>18091.744292237443</v>
      </c>
      <c r="U134" s="491">
        <f t="shared" si="33"/>
        <v>179.84</v>
      </c>
      <c r="V134" s="462"/>
      <c r="W134" s="462"/>
      <c r="X134" s="462"/>
      <c r="Y134" s="462"/>
      <c r="Z134" s="462">
        <f t="shared" si="34"/>
        <v>179.84</v>
      </c>
      <c r="AA134" s="462">
        <f t="shared" si="35"/>
        <v>3793.56</v>
      </c>
      <c r="AB134" s="489">
        <v>1000</v>
      </c>
    </row>
    <row r="135" spans="1:30" s="486" customFormat="1" ht="12">
      <c r="A135" s="456">
        <v>1</v>
      </c>
      <c r="B135" s="457" t="s">
        <v>539</v>
      </c>
      <c r="C135" s="497">
        <v>9901443677</v>
      </c>
      <c r="D135" s="459" t="s">
        <v>540</v>
      </c>
      <c r="E135" s="460" t="s">
        <v>1175</v>
      </c>
      <c r="F135" s="461">
        <v>31</v>
      </c>
      <c r="G135" s="462">
        <v>71.400000000000006</v>
      </c>
      <c r="H135" s="462">
        <f t="shared" ref="H135:H198" si="37">+F135*G135</f>
        <v>2213.4</v>
      </c>
      <c r="I135" s="462">
        <f t="shared" ref="I135:I198" si="38">G135*120</f>
        <v>8568</v>
      </c>
      <c r="J135" s="463">
        <v>4</v>
      </c>
      <c r="K135" s="465">
        <v>50</v>
      </c>
      <c r="L135" s="462">
        <f t="shared" ref="L135:L198" si="39">M135+N135</f>
        <v>1760</v>
      </c>
      <c r="M135" s="462">
        <v>1510</v>
      </c>
      <c r="N135" s="462">
        <v>250</v>
      </c>
      <c r="O135" s="462">
        <f t="shared" ref="O135:O198" si="40">+H135+M135+N135+K135</f>
        <v>4023.4</v>
      </c>
      <c r="P135" s="488">
        <f t="shared" ref="P135:P198" si="41">(((G135*120)+(K135+M135)*4)/12)</f>
        <v>1234</v>
      </c>
      <c r="Q135" s="489">
        <f t="shared" ref="Q135:Q198" si="42">(((G135*30)+M135+K135)/365*120)</f>
        <v>1217.0958904109589</v>
      </c>
      <c r="R135" s="489">
        <f t="shared" ref="R135:R198" si="43">+(200/365)*120</f>
        <v>65.753424657534239</v>
      </c>
      <c r="S135" s="490">
        <f t="shared" ref="S135:S198" si="44">(((G135*120)+((K135+M135+N135)*4)))</f>
        <v>15808</v>
      </c>
      <c r="T135" s="490">
        <f t="shared" ref="T135:T198" si="45">+S135+R135+Q135+P135</f>
        <v>18324.849315068492</v>
      </c>
      <c r="U135" s="491">
        <f t="shared" ref="U135:U198" si="46">ROUND((((H135+K135+M135)*4.83)/100),2)</f>
        <v>182.26</v>
      </c>
      <c r="V135" s="462"/>
      <c r="W135" s="462">
        <v>10</v>
      </c>
      <c r="X135" s="462"/>
      <c r="Y135" s="462">
        <v>1990.7</v>
      </c>
      <c r="Z135" s="462">
        <f t="shared" ref="Z135:Z198" si="47">V135+W135+X135+Y135+U135</f>
        <v>2182.96</v>
      </c>
      <c r="AA135" s="462">
        <f t="shared" ref="AA135:AA198" si="48">+O135-Z135</f>
        <v>1840.44</v>
      </c>
      <c r="AB135" s="489">
        <v>1000</v>
      </c>
    </row>
    <row r="136" spans="1:30" s="486" customFormat="1" ht="12">
      <c r="A136" s="456">
        <v>2</v>
      </c>
      <c r="B136" s="466" t="s">
        <v>541</v>
      </c>
      <c r="C136" s="497">
        <v>9901442902</v>
      </c>
      <c r="D136" s="459" t="s">
        <v>542</v>
      </c>
      <c r="E136" s="460" t="s">
        <v>1175</v>
      </c>
      <c r="F136" s="461">
        <v>31</v>
      </c>
      <c r="G136" s="462">
        <v>71.400000000000006</v>
      </c>
      <c r="H136" s="462">
        <f t="shared" si="37"/>
        <v>2213.4</v>
      </c>
      <c r="I136" s="462">
        <f t="shared" si="38"/>
        <v>8568</v>
      </c>
      <c r="J136" s="463">
        <v>4</v>
      </c>
      <c r="K136" s="464">
        <v>50</v>
      </c>
      <c r="L136" s="462">
        <f t="shared" si="39"/>
        <v>1760</v>
      </c>
      <c r="M136" s="462">
        <v>1510</v>
      </c>
      <c r="N136" s="462">
        <v>250</v>
      </c>
      <c r="O136" s="462">
        <f t="shared" si="40"/>
        <v>4023.4</v>
      </c>
      <c r="P136" s="488">
        <f t="shared" si="41"/>
        <v>1234</v>
      </c>
      <c r="Q136" s="489">
        <f t="shared" si="42"/>
        <v>1217.0958904109589</v>
      </c>
      <c r="R136" s="489">
        <f t="shared" si="43"/>
        <v>65.753424657534239</v>
      </c>
      <c r="S136" s="490">
        <f t="shared" si="44"/>
        <v>15808</v>
      </c>
      <c r="T136" s="490">
        <f t="shared" si="45"/>
        <v>18324.849315068492</v>
      </c>
      <c r="U136" s="491">
        <f t="shared" si="46"/>
        <v>182.26</v>
      </c>
      <c r="V136" s="462"/>
      <c r="W136" s="462">
        <v>10</v>
      </c>
      <c r="X136" s="462"/>
      <c r="Y136" s="462">
        <v>1787.66</v>
      </c>
      <c r="Z136" s="462">
        <f t="shared" si="47"/>
        <v>1979.92</v>
      </c>
      <c r="AA136" s="462">
        <f t="shared" si="48"/>
        <v>2043.48</v>
      </c>
      <c r="AB136" s="489">
        <v>1000</v>
      </c>
    </row>
    <row r="137" spans="1:30" s="486" customFormat="1" ht="12">
      <c r="A137" s="456">
        <v>3</v>
      </c>
      <c r="B137" s="457" t="s">
        <v>543</v>
      </c>
      <c r="C137" s="497">
        <v>9901442362</v>
      </c>
      <c r="D137" s="459" t="s">
        <v>544</v>
      </c>
      <c r="E137" s="460" t="s">
        <v>1175</v>
      </c>
      <c r="F137" s="461">
        <v>31</v>
      </c>
      <c r="G137" s="462">
        <v>71.400000000000006</v>
      </c>
      <c r="H137" s="462">
        <f t="shared" si="37"/>
        <v>2213.4</v>
      </c>
      <c r="I137" s="462">
        <f t="shared" si="38"/>
        <v>8568</v>
      </c>
      <c r="J137" s="463">
        <v>4</v>
      </c>
      <c r="K137" s="465">
        <v>50</v>
      </c>
      <c r="L137" s="462">
        <f t="shared" si="39"/>
        <v>1760</v>
      </c>
      <c r="M137" s="462">
        <v>1510</v>
      </c>
      <c r="N137" s="462">
        <v>250</v>
      </c>
      <c r="O137" s="462">
        <f t="shared" si="40"/>
        <v>4023.4</v>
      </c>
      <c r="P137" s="488">
        <f t="shared" si="41"/>
        <v>1234</v>
      </c>
      <c r="Q137" s="489">
        <f t="shared" si="42"/>
        <v>1217.0958904109589</v>
      </c>
      <c r="R137" s="489">
        <f t="shared" si="43"/>
        <v>65.753424657534239</v>
      </c>
      <c r="S137" s="490">
        <f t="shared" si="44"/>
        <v>15808</v>
      </c>
      <c r="T137" s="490">
        <f t="shared" si="45"/>
        <v>18324.849315068492</v>
      </c>
      <c r="U137" s="491">
        <f t="shared" si="46"/>
        <v>182.26</v>
      </c>
      <c r="V137" s="462"/>
      <c r="W137" s="462">
        <v>10</v>
      </c>
      <c r="X137" s="462"/>
      <c r="Y137" s="462"/>
      <c r="Z137" s="462">
        <f t="shared" si="47"/>
        <v>192.26</v>
      </c>
      <c r="AA137" s="462">
        <f t="shared" si="48"/>
        <v>3831.1400000000003</v>
      </c>
      <c r="AB137" s="489">
        <v>1000</v>
      </c>
    </row>
    <row r="138" spans="1:30" s="486" customFormat="1" ht="12">
      <c r="A138" s="456">
        <v>4</v>
      </c>
      <c r="B138" s="457" t="s">
        <v>545</v>
      </c>
      <c r="C138" s="497">
        <v>9901443071</v>
      </c>
      <c r="D138" s="459" t="s">
        <v>546</v>
      </c>
      <c r="E138" s="460" t="s">
        <v>1175</v>
      </c>
      <c r="F138" s="461">
        <v>31</v>
      </c>
      <c r="G138" s="462">
        <v>71.400000000000006</v>
      </c>
      <c r="H138" s="462">
        <f t="shared" si="37"/>
        <v>2213.4</v>
      </c>
      <c r="I138" s="462">
        <f t="shared" si="38"/>
        <v>8568</v>
      </c>
      <c r="J138" s="463">
        <v>4</v>
      </c>
      <c r="K138" s="464">
        <v>50</v>
      </c>
      <c r="L138" s="462">
        <f t="shared" si="39"/>
        <v>1760</v>
      </c>
      <c r="M138" s="462">
        <v>1510</v>
      </c>
      <c r="N138" s="462">
        <v>250</v>
      </c>
      <c r="O138" s="462">
        <f t="shared" si="40"/>
        <v>4023.4</v>
      </c>
      <c r="P138" s="488">
        <f t="shared" si="41"/>
        <v>1234</v>
      </c>
      <c r="Q138" s="489">
        <f t="shared" si="42"/>
        <v>1217.0958904109589</v>
      </c>
      <c r="R138" s="489">
        <f t="shared" si="43"/>
        <v>65.753424657534239</v>
      </c>
      <c r="S138" s="490">
        <f t="shared" si="44"/>
        <v>15808</v>
      </c>
      <c r="T138" s="490">
        <f t="shared" si="45"/>
        <v>18324.849315068492</v>
      </c>
      <c r="U138" s="491">
        <f t="shared" si="46"/>
        <v>182.26</v>
      </c>
      <c r="V138" s="498">
        <f>(O138-N138)*11%</f>
        <v>415.07400000000001</v>
      </c>
      <c r="W138" s="462">
        <v>10</v>
      </c>
      <c r="X138" s="462"/>
      <c r="Y138" s="462">
        <v>1962.94</v>
      </c>
      <c r="Z138" s="462">
        <f t="shared" si="47"/>
        <v>2570.2740000000003</v>
      </c>
      <c r="AA138" s="462">
        <f t="shared" si="48"/>
        <v>1453.1259999999997</v>
      </c>
      <c r="AB138" s="489">
        <v>1000</v>
      </c>
    </row>
    <row r="139" spans="1:30" s="486" customFormat="1" ht="12">
      <c r="A139" s="456">
        <v>5</v>
      </c>
      <c r="B139" s="466" t="s">
        <v>547</v>
      </c>
      <c r="C139" s="497">
        <v>9901443179</v>
      </c>
      <c r="D139" s="459" t="s">
        <v>548</v>
      </c>
      <c r="E139" s="460" t="s">
        <v>1175</v>
      </c>
      <c r="F139" s="461">
        <v>31</v>
      </c>
      <c r="G139" s="462">
        <v>71.400000000000006</v>
      </c>
      <c r="H139" s="462">
        <f t="shared" si="37"/>
        <v>2213.4</v>
      </c>
      <c r="I139" s="462">
        <f t="shared" si="38"/>
        <v>8568</v>
      </c>
      <c r="J139" s="463">
        <v>4</v>
      </c>
      <c r="K139" s="464">
        <v>50</v>
      </c>
      <c r="L139" s="462">
        <f t="shared" si="39"/>
        <v>1760</v>
      </c>
      <c r="M139" s="462">
        <v>1510</v>
      </c>
      <c r="N139" s="462">
        <v>250</v>
      </c>
      <c r="O139" s="462">
        <f t="shared" si="40"/>
        <v>4023.4</v>
      </c>
      <c r="P139" s="488">
        <f t="shared" si="41"/>
        <v>1234</v>
      </c>
      <c r="Q139" s="489">
        <f t="shared" si="42"/>
        <v>1217.0958904109589</v>
      </c>
      <c r="R139" s="489">
        <f t="shared" si="43"/>
        <v>65.753424657534239</v>
      </c>
      <c r="S139" s="490">
        <f t="shared" si="44"/>
        <v>15808</v>
      </c>
      <c r="T139" s="490">
        <f t="shared" si="45"/>
        <v>18324.849315068492</v>
      </c>
      <c r="U139" s="491">
        <f t="shared" si="46"/>
        <v>182.26</v>
      </c>
      <c r="V139" s="462"/>
      <c r="W139" s="462">
        <v>10</v>
      </c>
      <c r="X139" s="462"/>
      <c r="Y139" s="462"/>
      <c r="Z139" s="462">
        <f t="shared" si="47"/>
        <v>192.26</v>
      </c>
      <c r="AA139" s="462">
        <f t="shared" si="48"/>
        <v>3831.1400000000003</v>
      </c>
      <c r="AB139" s="489">
        <v>1000</v>
      </c>
    </row>
    <row r="140" spans="1:30" s="486" customFormat="1" ht="12">
      <c r="A140" s="456">
        <v>6</v>
      </c>
      <c r="B140" s="466" t="s">
        <v>549</v>
      </c>
      <c r="C140" s="497">
        <v>9901442901</v>
      </c>
      <c r="D140" s="459" t="s">
        <v>550</v>
      </c>
      <c r="E140" s="460" t="s">
        <v>1175</v>
      </c>
      <c r="F140" s="461">
        <v>31</v>
      </c>
      <c r="G140" s="462">
        <v>71.400000000000006</v>
      </c>
      <c r="H140" s="462">
        <f t="shared" si="37"/>
        <v>2213.4</v>
      </c>
      <c r="I140" s="462">
        <f t="shared" si="38"/>
        <v>8568</v>
      </c>
      <c r="J140" s="463">
        <v>4</v>
      </c>
      <c r="K140" s="465">
        <v>50</v>
      </c>
      <c r="L140" s="462">
        <f t="shared" si="39"/>
        <v>1760</v>
      </c>
      <c r="M140" s="462">
        <v>1510</v>
      </c>
      <c r="N140" s="462">
        <v>250</v>
      </c>
      <c r="O140" s="462">
        <f t="shared" si="40"/>
        <v>4023.4</v>
      </c>
      <c r="P140" s="488">
        <f t="shared" si="41"/>
        <v>1234</v>
      </c>
      <c r="Q140" s="489">
        <f t="shared" si="42"/>
        <v>1217.0958904109589</v>
      </c>
      <c r="R140" s="489">
        <f t="shared" si="43"/>
        <v>65.753424657534239</v>
      </c>
      <c r="S140" s="490">
        <f t="shared" si="44"/>
        <v>15808</v>
      </c>
      <c r="T140" s="490">
        <f t="shared" si="45"/>
        <v>18324.849315068492</v>
      </c>
      <c r="U140" s="491">
        <f t="shared" si="46"/>
        <v>182.26</v>
      </c>
      <c r="V140" s="462"/>
      <c r="W140" s="462">
        <v>10</v>
      </c>
      <c r="X140" s="462"/>
      <c r="Y140" s="462">
        <v>794.37</v>
      </c>
      <c r="Z140" s="462">
        <f t="shared" si="47"/>
        <v>986.63</v>
      </c>
      <c r="AA140" s="462">
        <f t="shared" si="48"/>
        <v>3036.77</v>
      </c>
      <c r="AB140" s="489">
        <v>1000</v>
      </c>
    </row>
    <row r="141" spans="1:30" s="486" customFormat="1" ht="12">
      <c r="A141" s="456">
        <v>7</v>
      </c>
      <c r="B141" s="457" t="s">
        <v>551</v>
      </c>
      <c r="C141" s="497">
        <v>9901442363</v>
      </c>
      <c r="D141" s="459" t="s">
        <v>552</v>
      </c>
      <c r="E141" s="460" t="s">
        <v>1175</v>
      </c>
      <c r="F141" s="461">
        <v>31</v>
      </c>
      <c r="G141" s="462">
        <v>71.400000000000006</v>
      </c>
      <c r="H141" s="462">
        <f t="shared" si="37"/>
        <v>2213.4</v>
      </c>
      <c r="I141" s="462">
        <f t="shared" si="38"/>
        <v>8568</v>
      </c>
      <c r="J141" s="463">
        <v>4</v>
      </c>
      <c r="K141" s="465">
        <v>50</v>
      </c>
      <c r="L141" s="462">
        <f t="shared" si="39"/>
        <v>1760</v>
      </c>
      <c r="M141" s="462">
        <v>1510</v>
      </c>
      <c r="N141" s="462">
        <v>250</v>
      </c>
      <c r="O141" s="462">
        <f t="shared" si="40"/>
        <v>4023.4</v>
      </c>
      <c r="P141" s="488">
        <f t="shared" si="41"/>
        <v>1234</v>
      </c>
      <c r="Q141" s="489">
        <f t="shared" si="42"/>
        <v>1217.0958904109589</v>
      </c>
      <c r="R141" s="489">
        <f t="shared" si="43"/>
        <v>65.753424657534239</v>
      </c>
      <c r="S141" s="490">
        <f t="shared" si="44"/>
        <v>15808</v>
      </c>
      <c r="T141" s="490">
        <f t="shared" si="45"/>
        <v>18324.849315068492</v>
      </c>
      <c r="U141" s="491">
        <f t="shared" si="46"/>
        <v>182.26</v>
      </c>
      <c r="V141" s="498">
        <f>(O141-N141)*11%</f>
        <v>415.07400000000001</v>
      </c>
      <c r="W141" s="462">
        <v>10</v>
      </c>
      <c r="X141" s="462"/>
      <c r="Y141" s="462"/>
      <c r="Z141" s="462">
        <f t="shared" si="47"/>
        <v>607.33400000000006</v>
      </c>
      <c r="AA141" s="462">
        <f t="shared" si="48"/>
        <v>3416.0659999999998</v>
      </c>
      <c r="AB141" s="489">
        <v>1000</v>
      </c>
    </row>
    <row r="142" spans="1:30" s="486" customFormat="1" ht="12">
      <c r="A142" s="456">
        <v>8</v>
      </c>
      <c r="B142" s="457" t="s">
        <v>553</v>
      </c>
      <c r="C142" s="497">
        <v>9901443056</v>
      </c>
      <c r="D142" s="459" t="s">
        <v>554</v>
      </c>
      <c r="E142" s="460" t="s">
        <v>35</v>
      </c>
      <c r="F142" s="461">
        <v>31</v>
      </c>
      <c r="G142" s="462">
        <v>71.400000000000006</v>
      </c>
      <c r="H142" s="462">
        <f t="shared" si="37"/>
        <v>2213.4</v>
      </c>
      <c r="I142" s="462">
        <f t="shared" si="38"/>
        <v>8568</v>
      </c>
      <c r="J142" s="463">
        <v>4</v>
      </c>
      <c r="K142" s="465">
        <v>35</v>
      </c>
      <c r="L142" s="462">
        <f t="shared" si="39"/>
        <v>1760</v>
      </c>
      <c r="M142" s="462">
        <v>1510</v>
      </c>
      <c r="N142" s="462">
        <v>250</v>
      </c>
      <c r="O142" s="462">
        <f t="shared" si="40"/>
        <v>4008.4</v>
      </c>
      <c r="P142" s="488">
        <f t="shared" si="41"/>
        <v>1229</v>
      </c>
      <c r="Q142" s="489">
        <f t="shared" si="42"/>
        <v>1212.1643835616437</v>
      </c>
      <c r="R142" s="489">
        <f t="shared" si="43"/>
        <v>65.753424657534239</v>
      </c>
      <c r="S142" s="490">
        <f t="shared" si="44"/>
        <v>15748</v>
      </c>
      <c r="T142" s="490">
        <f t="shared" si="45"/>
        <v>18254.917808219179</v>
      </c>
      <c r="U142" s="491">
        <f t="shared" si="46"/>
        <v>181.53</v>
      </c>
      <c r="V142" s="498">
        <f>(O142-N142)*11%</f>
        <v>413.42400000000004</v>
      </c>
      <c r="W142" s="462">
        <v>10</v>
      </c>
      <c r="X142" s="462"/>
      <c r="Y142" s="462"/>
      <c r="Z142" s="462">
        <f t="shared" si="47"/>
        <v>604.95400000000006</v>
      </c>
      <c r="AA142" s="462">
        <f t="shared" si="48"/>
        <v>3403.4459999999999</v>
      </c>
      <c r="AB142" s="489">
        <v>1000</v>
      </c>
    </row>
    <row r="143" spans="1:30" s="486" customFormat="1" ht="12">
      <c r="A143" s="456">
        <v>9</v>
      </c>
      <c r="B143" s="466" t="s">
        <v>555</v>
      </c>
      <c r="C143" s="497">
        <v>9901442389</v>
      </c>
      <c r="D143" s="459" t="s">
        <v>556</v>
      </c>
      <c r="E143" s="460" t="s">
        <v>1175</v>
      </c>
      <c r="F143" s="461">
        <v>31</v>
      </c>
      <c r="G143" s="462">
        <v>71.400000000000006</v>
      </c>
      <c r="H143" s="462">
        <f t="shared" si="37"/>
        <v>2213.4</v>
      </c>
      <c r="I143" s="462">
        <f t="shared" si="38"/>
        <v>8568</v>
      </c>
      <c r="J143" s="463">
        <v>4</v>
      </c>
      <c r="K143" s="465">
        <v>50</v>
      </c>
      <c r="L143" s="462">
        <f t="shared" si="39"/>
        <v>1760</v>
      </c>
      <c r="M143" s="462">
        <v>1510</v>
      </c>
      <c r="N143" s="462">
        <v>250</v>
      </c>
      <c r="O143" s="462">
        <f t="shared" si="40"/>
        <v>4023.4</v>
      </c>
      <c r="P143" s="488">
        <f t="shared" si="41"/>
        <v>1234</v>
      </c>
      <c r="Q143" s="489">
        <f t="shared" si="42"/>
        <v>1217.0958904109589</v>
      </c>
      <c r="R143" s="489">
        <f t="shared" si="43"/>
        <v>65.753424657534239</v>
      </c>
      <c r="S143" s="490">
        <f t="shared" si="44"/>
        <v>15808</v>
      </c>
      <c r="T143" s="490">
        <f t="shared" si="45"/>
        <v>18324.849315068492</v>
      </c>
      <c r="U143" s="491">
        <f t="shared" si="46"/>
        <v>182.26</v>
      </c>
      <c r="V143" s="462"/>
      <c r="W143" s="462">
        <v>10</v>
      </c>
      <c r="X143" s="462"/>
      <c r="Y143" s="462">
        <v>1990.7</v>
      </c>
      <c r="Z143" s="462">
        <f t="shared" si="47"/>
        <v>2182.96</v>
      </c>
      <c r="AA143" s="462">
        <f t="shared" si="48"/>
        <v>1840.44</v>
      </c>
      <c r="AB143" s="489">
        <v>1000</v>
      </c>
    </row>
    <row r="144" spans="1:30" s="486" customFormat="1">
      <c r="A144" s="456">
        <v>10</v>
      </c>
      <c r="B144" s="457" t="s">
        <v>557</v>
      </c>
      <c r="C144" s="497">
        <v>9901442368</v>
      </c>
      <c r="D144" s="459" t="s">
        <v>558</v>
      </c>
      <c r="E144" s="460" t="s">
        <v>1175</v>
      </c>
      <c r="F144" s="461">
        <v>31</v>
      </c>
      <c r="G144" s="532">
        <v>71.400000000000006</v>
      </c>
      <c r="H144" s="462">
        <f t="shared" si="37"/>
        <v>2213.4</v>
      </c>
      <c r="I144" s="462">
        <f t="shared" si="38"/>
        <v>8568</v>
      </c>
      <c r="J144" s="463">
        <v>4</v>
      </c>
      <c r="K144" s="465">
        <v>50</v>
      </c>
      <c r="L144" s="462">
        <f t="shared" si="39"/>
        <v>1760</v>
      </c>
      <c r="M144" s="462">
        <v>1510</v>
      </c>
      <c r="N144" s="462">
        <v>250</v>
      </c>
      <c r="O144" s="462">
        <f t="shared" si="40"/>
        <v>4023.4</v>
      </c>
      <c r="P144" s="488">
        <f t="shared" si="41"/>
        <v>1234</v>
      </c>
      <c r="Q144" s="489">
        <f t="shared" si="42"/>
        <v>1217.0958904109589</v>
      </c>
      <c r="R144" s="489">
        <f t="shared" si="43"/>
        <v>65.753424657534239</v>
      </c>
      <c r="S144" s="490">
        <f t="shared" si="44"/>
        <v>15808</v>
      </c>
      <c r="T144" s="490">
        <f t="shared" si="45"/>
        <v>18324.849315068492</v>
      </c>
      <c r="U144" s="491">
        <f t="shared" si="46"/>
        <v>182.26</v>
      </c>
      <c r="V144" s="462"/>
      <c r="W144" s="498">
        <v>10</v>
      </c>
      <c r="X144" s="512">
        <v>930.85</v>
      </c>
      <c r="Y144" s="462">
        <v>1367.68</v>
      </c>
      <c r="Z144" s="462">
        <f t="shared" si="47"/>
        <v>2490.79</v>
      </c>
      <c r="AA144" s="462">
        <f t="shared" si="48"/>
        <v>1532.6100000000001</v>
      </c>
      <c r="AB144" s="489">
        <v>1000</v>
      </c>
    </row>
    <row r="145" spans="1:30" s="486" customFormat="1" ht="12">
      <c r="A145" s="456">
        <v>11</v>
      </c>
      <c r="B145" s="466" t="s">
        <v>559</v>
      </c>
      <c r="C145" s="497">
        <v>9901442366</v>
      </c>
      <c r="D145" s="459" t="s">
        <v>560</v>
      </c>
      <c r="E145" s="460" t="s">
        <v>1175</v>
      </c>
      <c r="F145" s="461">
        <v>31</v>
      </c>
      <c r="G145" s="462">
        <v>71.400000000000006</v>
      </c>
      <c r="H145" s="462">
        <f t="shared" si="37"/>
        <v>2213.4</v>
      </c>
      <c r="I145" s="462">
        <f t="shared" si="38"/>
        <v>8568</v>
      </c>
      <c r="J145" s="463">
        <v>4</v>
      </c>
      <c r="K145" s="464">
        <v>50</v>
      </c>
      <c r="L145" s="462">
        <f t="shared" si="39"/>
        <v>1760</v>
      </c>
      <c r="M145" s="462">
        <v>1510</v>
      </c>
      <c r="N145" s="462">
        <v>250</v>
      </c>
      <c r="O145" s="462">
        <f t="shared" si="40"/>
        <v>4023.4</v>
      </c>
      <c r="P145" s="488">
        <f t="shared" si="41"/>
        <v>1234</v>
      </c>
      <c r="Q145" s="489">
        <f t="shared" si="42"/>
        <v>1217.0958904109589</v>
      </c>
      <c r="R145" s="489">
        <f t="shared" si="43"/>
        <v>65.753424657534239</v>
      </c>
      <c r="S145" s="490">
        <f t="shared" si="44"/>
        <v>15808</v>
      </c>
      <c r="T145" s="490">
        <f t="shared" si="45"/>
        <v>18324.849315068492</v>
      </c>
      <c r="U145" s="491">
        <f t="shared" si="46"/>
        <v>182.26</v>
      </c>
      <c r="V145" s="462"/>
      <c r="W145" s="462"/>
      <c r="X145" s="462"/>
      <c r="Y145" s="462">
        <v>1757.27</v>
      </c>
      <c r="Z145" s="462">
        <f t="shared" si="47"/>
        <v>1939.53</v>
      </c>
      <c r="AA145" s="462">
        <f t="shared" si="48"/>
        <v>2083.87</v>
      </c>
      <c r="AB145" s="489">
        <v>1000</v>
      </c>
    </row>
    <row r="146" spans="1:30" s="486" customFormat="1" ht="12">
      <c r="A146" s="456">
        <v>12</v>
      </c>
      <c r="B146" s="457" t="s">
        <v>561</v>
      </c>
      <c r="C146" s="497">
        <v>9901442448</v>
      </c>
      <c r="D146" s="459" t="s">
        <v>562</v>
      </c>
      <c r="E146" s="460" t="s">
        <v>1175</v>
      </c>
      <c r="F146" s="461">
        <v>31</v>
      </c>
      <c r="G146" s="462">
        <v>71.400000000000006</v>
      </c>
      <c r="H146" s="462">
        <f t="shared" si="37"/>
        <v>2213.4</v>
      </c>
      <c r="I146" s="462">
        <f t="shared" si="38"/>
        <v>8568</v>
      </c>
      <c r="J146" s="463">
        <v>4</v>
      </c>
      <c r="K146" s="464">
        <v>50</v>
      </c>
      <c r="L146" s="462">
        <f t="shared" si="39"/>
        <v>1760</v>
      </c>
      <c r="M146" s="462">
        <v>1510</v>
      </c>
      <c r="N146" s="462">
        <v>250</v>
      </c>
      <c r="O146" s="462">
        <f t="shared" si="40"/>
        <v>4023.4</v>
      </c>
      <c r="P146" s="488">
        <f t="shared" si="41"/>
        <v>1234</v>
      </c>
      <c r="Q146" s="489">
        <f t="shared" si="42"/>
        <v>1217.0958904109589</v>
      </c>
      <c r="R146" s="489">
        <f t="shared" si="43"/>
        <v>65.753424657534239</v>
      </c>
      <c r="S146" s="490">
        <f t="shared" si="44"/>
        <v>15808</v>
      </c>
      <c r="T146" s="490">
        <f t="shared" si="45"/>
        <v>18324.849315068492</v>
      </c>
      <c r="U146" s="491">
        <f t="shared" si="46"/>
        <v>182.26</v>
      </c>
      <c r="V146" s="462"/>
      <c r="W146" s="462">
        <v>10</v>
      </c>
      <c r="X146" s="462"/>
      <c r="Y146" s="462"/>
      <c r="Z146" s="462">
        <f t="shared" si="47"/>
        <v>192.26</v>
      </c>
      <c r="AA146" s="462">
        <f t="shared" si="48"/>
        <v>3831.1400000000003</v>
      </c>
      <c r="AB146" s="489">
        <v>1000</v>
      </c>
    </row>
    <row r="147" spans="1:30" s="486" customFormat="1" ht="12">
      <c r="A147" s="456">
        <v>13</v>
      </c>
      <c r="B147" s="466" t="s">
        <v>563</v>
      </c>
      <c r="C147" s="497">
        <v>9901442584</v>
      </c>
      <c r="D147" s="459" t="s">
        <v>564</v>
      </c>
      <c r="E147" s="460" t="s">
        <v>1175</v>
      </c>
      <c r="F147" s="461">
        <v>31</v>
      </c>
      <c r="G147" s="462">
        <v>71.400000000000006</v>
      </c>
      <c r="H147" s="462">
        <f t="shared" si="37"/>
        <v>2213.4</v>
      </c>
      <c r="I147" s="462">
        <f t="shared" si="38"/>
        <v>8568</v>
      </c>
      <c r="J147" s="463">
        <v>4</v>
      </c>
      <c r="K147" s="511">
        <v>50</v>
      </c>
      <c r="L147" s="462">
        <f t="shared" si="39"/>
        <v>1760</v>
      </c>
      <c r="M147" s="462">
        <v>1510</v>
      </c>
      <c r="N147" s="462">
        <v>250</v>
      </c>
      <c r="O147" s="462">
        <f t="shared" si="40"/>
        <v>4023.4</v>
      </c>
      <c r="P147" s="488">
        <f t="shared" si="41"/>
        <v>1234</v>
      </c>
      <c r="Q147" s="489">
        <f t="shared" si="42"/>
        <v>1217.0958904109589</v>
      </c>
      <c r="R147" s="489">
        <f t="shared" si="43"/>
        <v>65.753424657534239</v>
      </c>
      <c r="S147" s="490">
        <f t="shared" si="44"/>
        <v>15808</v>
      </c>
      <c r="T147" s="490">
        <f t="shared" si="45"/>
        <v>18324.849315068492</v>
      </c>
      <c r="U147" s="491">
        <f t="shared" si="46"/>
        <v>182.26</v>
      </c>
      <c r="V147" s="498">
        <f>(O147-N147)*11%</f>
        <v>415.07400000000001</v>
      </c>
      <c r="W147" s="462">
        <v>10</v>
      </c>
      <c r="X147" s="462"/>
      <c r="Y147" s="462">
        <v>1816.18</v>
      </c>
      <c r="Z147" s="462">
        <f t="shared" si="47"/>
        <v>2423.5140000000001</v>
      </c>
      <c r="AA147" s="462">
        <f t="shared" si="48"/>
        <v>1599.886</v>
      </c>
      <c r="AB147" s="489">
        <v>1000</v>
      </c>
      <c r="AD147" s="486" t="s">
        <v>305</v>
      </c>
    </row>
    <row r="148" spans="1:30" s="486" customFormat="1" ht="12">
      <c r="A148" s="456">
        <v>14</v>
      </c>
      <c r="B148" s="457" t="s">
        <v>565</v>
      </c>
      <c r="C148" s="497">
        <v>9901442896</v>
      </c>
      <c r="D148" s="459" t="s">
        <v>566</v>
      </c>
      <c r="E148" s="460" t="s">
        <v>1175</v>
      </c>
      <c r="F148" s="461">
        <v>31</v>
      </c>
      <c r="G148" s="462">
        <v>71.400000000000006</v>
      </c>
      <c r="H148" s="462">
        <f t="shared" si="37"/>
        <v>2213.4</v>
      </c>
      <c r="I148" s="462">
        <f t="shared" si="38"/>
        <v>8568</v>
      </c>
      <c r="J148" s="463">
        <v>4</v>
      </c>
      <c r="K148" s="464">
        <v>50</v>
      </c>
      <c r="L148" s="462">
        <f t="shared" si="39"/>
        <v>1760</v>
      </c>
      <c r="M148" s="462">
        <v>1510</v>
      </c>
      <c r="N148" s="462">
        <v>250</v>
      </c>
      <c r="O148" s="462">
        <f t="shared" si="40"/>
        <v>4023.4</v>
      </c>
      <c r="P148" s="488">
        <f t="shared" si="41"/>
        <v>1234</v>
      </c>
      <c r="Q148" s="489">
        <f t="shared" si="42"/>
        <v>1217.0958904109589</v>
      </c>
      <c r="R148" s="489">
        <f t="shared" si="43"/>
        <v>65.753424657534239</v>
      </c>
      <c r="S148" s="490">
        <f t="shared" si="44"/>
        <v>15808</v>
      </c>
      <c r="T148" s="490">
        <f t="shared" si="45"/>
        <v>18324.849315068492</v>
      </c>
      <c r="U148" s="491">
        <f t="shared" si="46"/>
        <v>182.26</v>
      </c>
      <c r="V148" s="498">
        <f>(O148-N148)*11%</f>
        <v>415.07400000000001</v>
      </c>
      <c r="W148" s="462">
        <v>10</v>
      </c>
      <c r="X148" s="462"/>
      <c r="Y148" s="462">
        <v>1559.88</v>
      </c>
      <c r="Z148" s="462">
        <f t="shared" si="47"/>
        <v>2167.2139999999999</v>
      </c>
      <c r="AA148" s="462">
        <f t="shared" si="48"/>
        <v>1856.1860000000001</v>
      </c>
      <c r="AB148" s="489">
        <v>1000</v>
      </c>
    </row>
    <row r="149" spans="1:30" s="486" customFormat="1" ht="12">
      <c r="A149" s="456">
        <v>15</v>
      </c>
      <c r="B149" s="457" t="s">
        <v>567</v>
      </c>
      <c r="C149" s="497">
        <v>9901442769</v>
      </c>
      <c r="D149" s="459" t="s">
        <v>568</v>
      </c>
      <c r="E149" s="460" t="s">
        <v>1175</v>
      </c>
      <c r="F149" s="461">
        <v>31</v>
      </c>
      <c r="G149" s="462">
        <v>71.400000000000006</v>
      </c>
      <c r="H149" s="462">
        <f t="shared" si="37"/>
        <v>2213.4</v>
      </c>
      <c r="I149" s="462">
        <f t="shared" si="38"/>
        <v>8568</v>
      </c>
      <c r="J149" s="463">
        <v>4</v>
      </c>
      <c r="K149" s="511">
        <v>50</v>
      </c>
      <c r="L149" s="462">
        <f t="shared" si="39"/>
        <v>1760</v>
      </c>
      <c r="M149" s="462">
        <v>1510</v>
      </c>
      <c r="N149" s="462">
        <v>250</v>
      </c>
      <c r="O149" s="462">
        <f t="shared" si="40"/>
        <v>4023.4</v>
      </c>
      <c r="P149" s="488">
        <f t="shared" si="41"/>
        <v>1234</v>
      </c>
      <c r="Q149" s="489">
        <f t="shared" si="42"/>
        <v>1217.0958904109589</v>
      </c>
      <c r="R149" s="489">
        <f t="shared" si="43"/>
        <v>65.753424657534239</v>
      </c>
      <c r="S149" s="490">
        <f t="shared" si="44"/>
        <v>15808</v>
      </c>
      <c r="T149" s="490">
        <f t="shared" si="45"/>
        <v>18324.849315068492</v>
      </c>
      <c r="U149" s="491">
        <f t="shared" si="46"/>
        <v>182.26</v>
      </c>
      <c r="V149" s="498">
        <f>(O149-N149)*11%</f>
        <v>415.07400000000001</v>
      </c>
      <c r="W149" s="462">
        <v>10</v>
      </c>
      <c r="X149" s="462"/>
      <c r="Y149" s="462">
        <v>1981.78</v>
      </c>
      <c r="Z149" s="462">
        <f t="shared" si="47"/>
        <v>2589.1139999999996</v>
      </c>
      <c r="AA149" s="462">
        <f t="shared" si="48"/>
        <v>1434.2860000000005</v>
      </c>
      <c r="AB149" s="489">
        <v>1000</v>
      </c>
      <c r="AD149" s="486" t="s">
        <v>569</v>
      </c>
    </row>
    <row r="150" spans="1:30" s="486" customFormat="1" ht="12">
      <c r="A150" s="456">
        <v>16</v>
      </c>
      <c r="B150" s="466" t="s">
        <v>570</v>
      </c>
      <c r="C150" s="497">
        <v>9901442271</v>
      </c>
      <c r="D150" s="459" t="s">
        <v>571</v>
      </c>
      <c r="E150" s="460" t="s">
        <v>1175</v>
      </c>
      <c r="F150" s="461">
        <v>31</v>
      </c>
      <c r="G150" s="462">
        <v>71.400000000000006</v>
      </c>
      <c r="H150" s="462">
        <f t="shared" si="37"/>
        <v>2213.4</v>
      </c>
      <c r="I150" s="462">
        <f t="shared" si="38"/>
        <v>8568</v>
      </c>
      <c r="J150" s="463">
        <v>4</v>
      </c>
      <c r="K150" s="465">
        <v>50</v>
      </c>
      <c r="L150" s="462">
        <f t="shared" si="39"/>
        <v>1760</v>
      </c>
      <c r="M150" s="462">
        <v>1510</v>
      </c>
      <c r="N150" s="462">
        <v>250</v>
      </c>
      <c r="O150" s="462">
        <f t="shared" si="40"/>
        <v>4023.4</v>
      </c>
      <c r="P150" s="488">
        <f t="shared" si="41"/>
        <v>1234</v>
      </c>
      <c r="Q150" s="489">
        <f t="shared" si="42"/>
        <v>1217.0958904109589</v>
      </c>
      <c r="R150" s="489">
        <f t="shared" si="43"/>
        <v>65.753424657534239</v>
      </c>
      <c r="S150" s="490">
        <f t="shared" si="44"/>
        <v>15808</v>
      </c>
      <c r="T150" s="490">
        <f t="shared" si="45"/>
        <v>18324.849315068492</v>
      </c>
      <c r="U150" s="491">
        <f t="shared" si="46"/>
        <v>182.26</v>
      </c>
      <c r="V150" s="462"/>
      <c r="W150" s="462"/>
      <c r="X150" s="462"/>
      <c r="Y150" s="462">
        <v>1819.16</v>
      </c>
      <c r="Z150" s="462">
        <f t="shared" si="47"/>
        <v>2001.42</v>
      </c>
      <c r="AA150" s="462">
        <f t="shared" si="48"/>
        <v>2021.98</v>
      </c>
      <c r="AB150" s="489">
        <v>1000</v>
      </c>
    </row>
    <row r="151" spans="1:30" s="486" customFormat="1" ht="12">
      <c r="A151" s="456">
        <v>17</v>
      </c>
      <c r="B151" s="457" t="s">
        <v>572</v>
      </c>
      <c r="C151" s="497">
        <v>9901442937</v>
      </c>
      <c r="D151" s="459" t="s">
        <v>573</v>
      </c>
      <c r="E151" s="460" t="s">
        <v>1175</v>
      </c>
      <c r="F151" s="461">
        <v>31</v>
      </c>
      <c r="G151" s="462">
        <v>71.400000000000006</v>
      </c>
      <c r="H151" s="462">
        <f t="shared" si="37"/>
        <v>2213.4</v>
      </c>
      <c r="I151" s="462">
        <f t="shared" si="38"/>
        <v>8568</v>
      </c>
      <c r="J151" s="463">
        <v>4</v>
      </c>
      <c r="K151" s="464">
        <v>75</v>
      </c>
      <c r="L151" s="462">
        <f t="shared" si="39"/>
        <v>1760</v>
      </c>
      <c r="M151" s="462">
        <v>1510</v>
      </c>
      <c r="N151" s="462">
        <v>250</v>
      </c>
      <c r="O151" s="462">
        <f t="shared" si="40"/>
        <v>4048.4</v>
      </c>
      <c r="P151" s="488">
        <f t="shared" si="41"/>
        <v>1242.3333333333333</v>
      </c>
      <c r="Q151" s="489">
        <f t="shared" si="42"/>
        <v>1225.3150684931506</v>
      </c>
      <c r="R151" s="489">
        <f t="shared" si="43"/>
        <v>65.753424657534239</v>
      </c>
      <c r="S151" s="490">
        <f t="shared" si="44"/>
        <v>15908</v>
      </c>
      <c r="T151" s="490">
        <f t="shared" si="45"/>
        <v>18441.401826484016</v>
      </c>
      <c r="U151" s="491">
        <f t="shared" si="46"/>
        <v>183.46</v>
      </c>
      <c r="V151" s="462"/>
      <c r="W151" s="462">
        <v>10</v>
      </c>
      <c r="X151" s="462"/>
      <c r="Y151" s="462">
        <v>1732.39</v>
      </c>
      <c r="Z151" s="462">
        <f t="shared" si="47"/>
        <v>1925.8500000000001</v>
      </c>
      <c r="AA151" s="462">
        <f t="shared" si="48"/>
        <v>2122.5500000000002</v>
      </c>
      <c r="AB151" s="489">
        <v>1000</v>
      </c>
    </row>
    <row r="152" spans="1:30" s="486" customFormat="1" ht="12">
      <c r="A152" s="456">
        <v>18</v>
      </c>
      <c r="B152" s="466" t="s">
        <v>574</v>
      </c>
      <c r="C152" s="497">
        <v>9901442953</v>
      </c>
      <c r="D152" s="459" t="s">
        <v>575</v>
      </c>
      <c r="E152" s="460" t="s">
        <v>1175</v>
      </c>
      <c r="F152" s="461">
        <v>31</v>
      </c>
      <c r="G152" s="462">
        <v>71.400000000000006</v>
      </c>
      <c r="H152" s="462">
        <f t="shared" si="37"/>
        <v>2213.4</v>
      </c>
      <c r="I152" s="462">
        <f t="shared" si="38"/>
        <v>8568</v>
      </c>
      <c r="J152" s="463">
        <v>4</v>
      </c>
      <c r="K152" s="464">
        <v>75</v>
      </c>
      <c r="L152" s="462">
        <f t="shared" si="39"/>
        <v>1760</v>
      </c>
      <c r="M152" s="462">
        <v>1510</v>
      </c>
      <c r="N152" s="462">
        <v>250</v>
      </c>
      <c r="O152" s="462">
        <f t="shared" si="40"/>
        <v>4048.4</v>
      </c>
      <c r="P152" s="488">
        <f t="shared" si="41"/>
        <v>1242.3333333333333</v>
      </c>
      <c r="Q152" s="489">
        <f t="shared" si="42"/>
        <v>1225.3150684931506</v>
      </c>
      <c r="R152" s="489">
        <f t="shared" si="43"/>
        <v>65.753424657534239</v>
      </c>
      <c r="S152" s="490">
        <f t="shared" si="44"/>
        <v>15908</v>
      </c>
      <c r="T152" s="490">
        <f t="shared" si="45"/>
        <v>18441.401826484016</v>
      </c>
      <c r="U152" s="491">
        <f t="shared" si="46"/>
        <v>183.46</v>
      </c>
      <c r="V152" s="498">
        <f>(O152-N152)*11%</f>
        <v>417.82400000000001</v>
      </c>
      <c r="W152" s="462">
        <v>10</v>
      </c>
      <c r="X152" s="462"/>
      <c r="Y152" s="462"/>
      <c r="Z152" s="462">
        <f t="shared" si="47"/>
        <v>611.28399999999999</v>
      </c>
      <c r="AA152" s="462">
        <f t="shared" si="48"/>
        <v>3437.116</v>
      </c>
      <c r="AB152" s="489">
        <v>1000</v>
      </c>
    </row>
    <row r="153" spans="1:30" s="486" customFormat="1" ht="12">
      <c r="A153" s="456">
        <v>19</v>
      </c>
      <c r="B153" s="466" t="s">
        <v>576</v>
      </c>
      <c r="C153" s="497">
        <v>9901443173</v>
      </c>
      <c r="D153" s="459" t="s">
        <v>577</v>
      </c>
      <c r="E153" s="460" t="s">
        <v>1175</v>
      </c>
      <c r="F153" s="461">
        <v>31</v>
      </c>
      <c r="G153" s="462">
        <v>71.400000000000006</v>
      </c>
      <c r="H153" s="462">
        <f t="shared" si="37"/>
        <v>2213.4</v>
      </c>
      <c r="I153" s="462">
        <f t="shared" si="38"/>
        <v>8568</v>
      </c>
      <c r="J153" s="463">
        <v>4</v>
      </c>
      <c r="K153" s="464">
        <v>50</v>
      </c>
      <c r="L153" s="462">
        <f t="shared" si="39"/>
        <v>1760</v>
      </c>
      <c r="M153" s="462">
        <v>1510</v>
      </c>
      <c r="N153" s="462">
        <v>250</v>
      </c>
      <c r="O153" s="462">
        <f t="shared" si="40"/>
        <v>4023.4</v>
      </c>
      <c r="P153" s="488">
        <f t="shared" si="41"/>
        <v>1234</v>
      </c>
      <c r="Q153" s="489">
        <f t="shared" si="42"/>
        <v>1217.0958904109589</v>
      </c>
      <c r="R153" s="489">
        <f t="shared" si="43"/>
        <v>65.753424657534239</v>
      </c>
      <c r="S153" s="490">
        <f t="shared" si="44"/>
        <v>15808</v>
      </c>
      <c r="T153" s="490">
        <f t="shared" si="45"/>
        <v>18324.849315068492</v>
      </c>
      <c r="U153" s="491">
        <f t="shared" si="46"/>
        <v>182.26</v>
      </c>
      <c r="V153" s="498">
        <f>(O153-N153)*11%</f>
        <v>415.07400000000001</v>
      </c>
      <c r="W153" s="462">
        <v>10</v>
      </c>
      <c r="X153" s="462"/>
      <c r="Y153" s="462">
        <v>1347.17</v>
      </c>
      <c r="Z153" s="462">
        <f t="shared" si="47"/>
        <v>1954.5040000000001</v>
      </c>
      <c r="AA153" s="462">
        <f t="shared" si="48"/>
        <v>2068.8959999999997</v>
      </c>
      <c r="AB153" s="489">
        <v>1000</v>
      </c>
    </row>
    <row r="154" spans="1:30" s="486" customFormat="1" ht="12">
      <c r="A154" s="456">
        <v>20</v>
      </c>
      <c r="B154" s="457" t="s">
        <v>578</v>
      </c>
      <c r="C154" s="497">
        <v>9901443026</v>
      </c>
      <c r="D154" s="459" t="s">
        <v>579</v>
      </c>
      <c r="E154" s="460" t="s">
        <v>1175</v>
      </c>
      <c r="F154" s="461">
        <v>31</v>
      </c>
      <c r="G154" s="462">
        <v>71.400000000000006</v>
      </c>
      <c r="H154" s="462">
        <f t="shared" si="37"/>
        <v>2213.4</v>
      </c>
      <c r="I154" s="462">
        <f t="shared" si="38"/>
        <v>8568</v>
      </c>
      <c r="J154" s="463">
        <v>4</v>
      </c>
      <c r="K154" s="465">
        <v>50</v>
      </c>
      <c r="L154" s="462">
        <f t="shared" si="39"/>
        <v>1760</v>
      </c>
      <c r="M154" s="462">
        <v>1510</v>
      </c>
      <c r="N154" s="462">
        <v>250</v>
      </c>
      <c r="O154" s="462">
        <f t="shared" si="40"/>
        <v>4023.4</v>
      </c>
      <c r="P154" s="488">
        <f t="shared" si="41"/>
        <v>1234</v>
      </c>
      <c r="Q154" s="489">
        <f t="shared" si="42"/>
        <v>1217.0958904109589</v>
      </c>
      <c r="R154" s="489">
        <f t="shared" si="43"/>
        <v>65.753424657534239</v>
      </c>
      <c r="S154" s="490">
        <f t="shared" si="44"/>
        <v>15808</v>
      </c>
      <c r="T154" s="490">
        <f t="shared" si="45"/>
        <v>18324.849315068492</v>
      </c>
      <c r="U154" s="491">
        <f t="shared" si="46"/>
        <v>182.26</v>
      </c>
      <c r="V154" s="462"/>
      <c r="W154" s="462">
        <v>10</v>
      </c>
      <c r="X154" s="462"/>
      <c r="Y154" s="462">
        <v>1434.47</v>
      </c>
      <c r="Z154" s="462">
        <f t="shared" si="47"/>
        <v>1626.73</v>
      </c>
      <c r="AA154" s="462">
        <f t="shared" si="48"/>
        <v>2396.67</v>
      </c>
      <c r="AB154" s="489">
        <v>1000</v>
      </c>
    </row>
    <row r="155" spans="1:30" s="486" customFormat="1" ht="12">
      <c r="A155" s="456">
        <v>21</v>
      </c>
      <c r="B155" s="466" t="s">
        <v>580</v>
      </c>
      <c r="C155" s="497">
        <v>9901442947</v>
      </c>
      <c r="D155" s="459" t="s">
        <v>581</v>
      </c>
      <c r="E155" s="460" t="s">
        <v>1175</v>
      </c>
      <c r="F155" s="461">
        <v>31</v>
      </c>
      <c r="G155" s="462">
        <v>71.400000000000006</v>
      </c>
      <c r="H155" s="462">
        <f t="shared" si="37"/>
        <v>2213.4</v>
      </c>
      <c r="I155" s="462">
        <f t="shared" si="38"/>
        <v>8568</v>
      </c>
      <c r="J155" s="463">
        <v>4</v>
      </c>
      <c r="K155" s="464">
        <v>75</v>
      </c>
      <c r="L155" s="462">
        <f t="shared" si="39"/>
        <v>1760</v>
      </c>
      <c r="M155" s="462">
        <v>1510</v>
      </c>
      <c r="N155" s="462">
        <v>250</v>
      </c>
      <c r="O155" s="462">
        <f t="shared" si="40"/>
        <v>4048.4</v>
      </c>
      <c r="P155" s="488">
        <f t="shared" si="41"/>
        <v>1242.3333333333333</v>
      </c>
      <c r="Q155" s="489">
        <f t="shared" si="42"/>
        <v>1225.3150684931506</v>
      </c>
      <c r="R155" s="489">
        <f t="shared" si="43"/>
        <v>65.753424657534239</v>
      </c>
      <c r="S155" s="490">
        <f t="shared" si="44"/>
        <v>15908</v>
      </c>
      <c r="T155" s="490">
        <f t="shared" si="45"/>
        <v>18441.401826484016</v>
      </c>
      <c r="U155" s="491">
        <f t="shared" si="46"/>
        <v>183.46</v>
      </c>
      <c r="V155" s="462"/>
      <c r="W155" s="462">
        <v>10</v>
      </c>
      <c r="X155" s="462"/>
      <c r="Y155" s="462"/>
      <c r="Z155" s="462">
        <f t="shared" si="47"/>
        <v>193.46</v>
      </c>
      <c r="AA155" s="462">
        <f t="shared" si="48"/>
        <v>3854.94</v>
      </c>
      <c r="AB155" s="489">
        <v>1000</v>
      </c>
    </row>
    <row r="156" spans="1:30" s="486" customFormat="1" ht="12">
      <c r="A156" s="456">
        <v>22</v>
      </c>
      <c r="B156" s="457" t="s">
        <v>582</v>
      </c>
      <c r="C156" s="497">
        <v>9901443177</v>
      </c>
      <c r="D156" s="459" t="s">
        <v>583</v>
      </c>
      <c r="E156" s="460" t="s">
        <v>1175</v>
      </c>
      <c r="F156" s="461">
        <v>31</v>
      </c>
      <c r="G156" s="462">
        <v>71.400000000000006</v>
      </c>
      <c r="H156" s="462">
        <f t="shared" si="37"/>
        <v>2213.4</v>
      </c>
      <c r="I156" s="462">
        <f t="shared" si="38"/>
        <v>8568</v>
      </c>
      <c r="J156" s="463">
        <v>4</v>
      </c>
      <c r="K156" s="464">
        <v>50</v>
      </c>
      <c r="L156" s="462">
        <f t="shared" si="39"/>
        <v>1760</v>
      </c>
      <c r="M156" s="462">
        <v>1510</v>
      </c>
      <c r="N156" s="462">
        <v>250</v>
      </c>
      <c r="O156" s="462">
        <f t="shared" si="40"/>
        <v>4023.4</v>
      </c>
      <c r="P156" s="488">
        <f t="shared" si="41"/>
        <v>1234</v>
      </c>
      <c r="Q156" s="489">
        <f t="shared" si="42"/>
        <v>1217.0958904109589</v>
      </c>
      <c r="R156" s="489">
        <f t="shared" si="43"/>
        <v>65.753424657534239</v>
      </c>
      <c r="S156" s="490">
        <f t="shared" si="44"/>
        <v>15808</v>
      </c>
      <c r="T156" s="490">
        <f t="shared" si="45"/>
        <v>18324.849315068492</v>
      </c>
      <c r="U156" s="491">
        <f t="shared" si="46"/>
        <v>182.26</v>
      </c>
      <c r="V156" s="462"/>
      <c r="W156" s="462"/>
      <c r="X156" s="462"/>
      <c r="Y156" s="462">
        <v>1741.38</v>
      </c>
      <c r="Z156" s="462">
        <f t="shared" si="47"/>
        <v>1923.64</v>
      </c>
      <c r="AA156" s="462">
        <f t="shared" si="48"/>
        <v>2099.7600000000002</v>
      </c>
      <c r="AB156" s="489">
        <v>1000</v>
      </c>
    </row>
    <row r="157" spans="1:30" s="486" customFormat="1" ht="12">
      <c r="A157" s="456">
        <v>23</v>
      </c>
      <c r="B157" s="457" t="s">
        <v>584</v>
      </c>
      <c r="C157" s="497">
        <v>9901442581</v>
      </c>
      <c r="D157" s="459" t="s">
        <v>585</v>
      </c>
      <c r="E157" s="460" t="s">
        <v>1175</v>
      </c>
      <c r="F157" s="461">
        <v>31</v>
      </c>
      <c r="G157" s="462">
        <v>71.400000000000006</v>
      </c>
      <c r="H157" s="462">
        <f t="shared" si="37"/>
        <v>2213.4</v>
      </c>
      <c r="I157" s="462">
        <f t="shared" si="38"/>
        <v>8568</v>
      </c>
      <c r="J157" s="463">
        <v>4</v>
      </c>
      <c r="K157" s="464">
        <v>75</v>
      </c>
      <c r="L157" s="462">
        <f t="shared" si="39"/>
        <v>1760</v>
      </c>
      <c r="M157" s="462">
        <v>1510</v>
      </c>
      <c r="N157" s="462">
        <v>250</v>
      </c>
      <c r="O157" s="462">
        <f t="shared" si="40"/>
        <v>4048.4</v>
      </c>
      <c r="P157" s="488">
        <f t="shared" si="41"/>
        <v>1242.3333333333333</v>
      </c>
      <c r="Q157" s="489">
        <f t="shared" si="42"/>
        <v>1225.3150684931506</v>
      </c>
      <c r="R157" s="489">
        <f t="shared" si="43"/>
        <v>65.753424657534239</v>
      </c>
      <c r="S157" s="490">
        <f t="shared" si="44"/>
        <v>15908</v>
      </c>
      <c r="T157" s="490">
        <f t="shared" si="45"/>
        <v>18441.401826484016</v>
      </c>
      <c r="U157" s="491">
        <f t="shared" si="46"/>
        <v>183.46</v>
      </c>
      <c r="V157" s="498">
        <f>(O157-N157)*11%</f>
        <v>417.82400000000001</v>
      </c>
      <c r="W157" s="462">
        <v>10</v>
      </c>
      <c r="X157" s="462"/>
      <c r="Y157" s="462">
        <v>1342.04</v>
      </c>
      <c r="Z157" s="462">
        <f t="shared" si="47"/>
        <v>1953.3240000000001</v>
      </c>
      <c r="AA157" s="462">
        <f t="shared" si="48"/>
        <v>2095.076</v>
      </c>
      <c r="AB157" s="489">
        <v>1000</v>
      </c>
    </row>
    <row r="158" spans="1:30" s="486" customFormat="1" ht="12">
      <c r="A158" s="456">
        <v>24</v>
      </c>
      <c r="B158" s="457" t="s">
        <v>586</v>
      </c>
      <c r="C158" s="497">
        <v>9901442956</v>
      </c>
      <c r="D158" s="459" t="s">
        <v>587</v>
      </c>
      <c r="E158" s="460" t="s">
        <v>1175</v>
      </c>
      <c r="F158" s="461">
        <v>31</v>
      </c>
      <c r="G158" s="462">
        <v>71.400000000000006</v>
      </c>
      <c r="H158" s="462">
        <f t="shared" si="37"/>
        <v>2213.4</v>
      </c>
      <c r="I158" s="462">
        <f t="shared" si="38"/>
        <v>8568</v>
      </c>
      <c r="J158" s="463">
        <v>4</v>
      </c>
      <c r="K158" s="464">
        <v>75</v>
      </c>
      <c r="L158" s="462">
        <f t="shared" si="39"/>
        <v>1760</v>
      </c>
      <c r="M158" s="462">
        <v>1510</v>
      </c>
      <c r="N158" s="462">
        <v>250</v>
      </c>
      <c r="O158" s="462">
        <f t="shared" si="40"/>
        <v>4048.4</v>
      </c>
      <c r="P158" s="488">
        <f t="shared" si="41"/>
        <v>1242.3333333333333</v>
      </c>
      <c r="Q158" s="489">
        <f t="shared" si="42"/>
        <v>1225.3150684931506</v>
      </c>
      <c r="R158" s="489">
        <f t="shared" si="43"/>
        <v>65.753424657534239</v>
      </c>
      <c r="S158" s="490">
        <f t="shared" si="44"/>
        <v>15908</v>
      </c>
      <c r="T158" s="490">
        <f t="shared" si="45"/>
        <v>18441.401826484016</v>
      </c>
      <c r="U158" s="491">
        <f t="shared" si="46"/>
        <v>183.46</v>
      </c>
      <c r="V158" s="462"/>
      <c r="W158" s="462">
        <v>10</v>
      </c>
      <c r="X158" s="462"/>
      <c r="Y158" s="462"/>
      <c r="Z158" s="462">
        <f t="shared" si="47"/>
        <v>193.46</v>
      </c>
      <c r="AA158" s="462">
        <f t="shared" si="48"/>
        <v>3854.94</v>
      </c>
      <c r="AB158" s="489">
        <v>1000</v>
      </c>
    </row>
    <row r="159" spans="1:30" s="486" customFormat="1" ht="12">
      <c r="A159" s="456">
        <v>25</v>
      </c>
      <c r="B159" s="466" t="s">
        <v>588</v>
      </c>
      <c r="C159" s="497">
        <v>9901442897</v>
      </c>
      <c r="D159" s="459" t="s">
        <v>589</v>
      </c>
      <c r="E159" s="460" t="s">
        <v>1175</v>
      </c>
      <c r="F159" s="461">
        <v>31</v>
      </c>
      <c r="G159" s="462">
        <v>71.400000000000006</v>
      </c>
      <c r="H159" s="462">
        <f t="shared" si="37"/>
        <v>2213.4</v>
      </c>
      <c r="I159" s="462">
        <f t="shared" si="38"/>
        <v>8568</v>
      </c>
      <c r="J159" s="463">
        <v>4</v>
      </c>
      <c r="K159" s="464">
        <v>50</v>
      </c>
      <c r="L159" s="462">
        <f t="shared" si="39"/>
        <v>1760</v>
      </c>
      <c r="M159" s="462">
        <v>1510</v>
      </c>
      <c r="N159" s="462">
        <v>250</v>
      </c>
      <c r="O159" s="462">
        <f t="shared" si="40"/>
        <v>4023.4</v>
      </c>
      <c r="P159" s="488">
        <f t="shared" si="41"/>
        <v>1234</v>
      </c>
      <c r="Q159" s="489">
        <f t="shared" si="42"/>
        <v>1217.0958904109589</v>
      </c>
      <c r="R159" s="489">
        <f t="shared" si="43"/>
        <v>65.753424657534239</v>
      </c>
      <c r="S159" s="490">
        <f t="shared" si="44"/>
        <v>15808</v>
      </c>
      <c r="T159" s="490">
        <f t="shared" si="45"/>
        <v>18324.849315068492</v>
      </c>
      <c r="U159" s="491">
        <f t="shared" si="46"/>
        <v>182.26</v>
      </c>
      <c r="V159" s="462"/>
      <c r="W159" s="462">
        <v>10</v>
      </c>
      <c r="X159" s="462"/>
      <c r="Y159" s="462"/>
      <c r="Z159" s="462">
        <f t="shared" si="47"/>
        <v>192.26</v>
      </c>
      <c r="AA159" s="462">
        <f t="shared" si="48"/>
        <v>3831.1400000000003</v>
      </c>
      <c r="AB159" s="489">
        <v>1000</v>
      </c>
    </row>
    <row r="160" spans="1:30" s="486" customFormat="1" ht="12">
      <c r="A160" s="456">
        <v>26</v>
      </c>
      <c r="B160" s="457" t="s">
        <v>590</v>
      </c>
      <c r="C160" s="497">
        <v>9901442566</v>
      </c>
      <c r="D160" s="459" t="s">
        <v>591</v>
      </c>
      <c r="E160" s="460" t="s">
        <v>1175</v>
      </c>
      <c r="F160" s="461">
        <v>31</v>
      </c>
      <c r="G160" s="462">
        <v>71.400000000000006</v>
      </c>
      <c r="H160" s="462">
        <f t="shared" si="37"/>
        <v>2213.4</v>
      </c>
      <c r="I160" s="462">
        <f t="shared" si="38"/>
        <v>8568</v>
      </c>
      <c r="J160" s="463">
        <v>4</v>
      </c>
      <c r="K160" s="464">
        <v>75</v>
      </c>
      <c r="L160" s="462">
        <f t="shared" si="39"/>
        <v>1760</v>
      </c>
      <c r="M160" s="462">
        <v>1510</v>
      </c>
      <c r="N160" s="462">
        <v>250</v>
      </c>
      <c r="O160" s="462">
        <f t="shared" si="40"/>
        <v>4048.4</v>
      </c>
      <c r="P160" s="488">
        <f t="shared" si="41"/>
        <v>1242.3333333333333</v>
      </c>
      <c r="Q160" s="489">
        <f t="shared" si="42"/>
        <v>1225.3150684931506</v>
      </c>
      <c r="R160" s="489">
        <f t="shared" si="43"/>
        <v>65.753424657534239</v>
      </c>
      <c r="S160" s="490">
        <f t="shared" si="44"/>
        <v>15908</v>
      </c>
      <c r="T160" s="490">
        <f t="shared" si="45"/>
        <v>18441.401826484016</v>
      </c>
      <c r="U160" s="491">
        <f t="shared" si="46"/>
        <v>183.46</v>
      </c>
      <c r="V160" s="462"/>
      <c r="W160" s="462">
        <v>10</v>
      </c>
      <c r="X160" s="462"/>
      <c r="Y160" s="462">
        <v>1913.35</v>
      </c>
      <c r="Z160" s="462">
        <f t="shared" si="47"/>
        <v>2106.81</v>
      </c>
      <c r="AA160" s="462">
        <f t="shared" si="48"/>
        <v>1941.5900000000001</v>
      </c>
      <c r="AB160" s="489">
        <v>1000</v>
      </c>
    </row>
    <row r="161" spans="1:28" s="486" customFormat="1" ht="12">
      <c r="A161" s="456">
        <v>27</v>
      </c>
      <c r="B161" s="457" t="s">
        <v>592</v>
      </c>
      <c r="C161" s="497">
        <v>9901442204</v>
      </c>
      <c r="D161" s="459" t="s">
        <v>593</v>
      </c>
      <c r="E161" s="460" t="s">
        <v>1175</v>
      </c>
      <c r="F161" s="461">
        <v>31</v>
      </c>
      <c r="G161" s="462">
        <v>71.400000000000006</v>
      </c>
      <c r="H161" s="462">
        <f t="shared" si="37"/>
        <v>2213.4</v>
      </c>
      <c r="I161" s="462">
        <f t="shared" si="38"/>
        <v>8568</v>
      </c>
      <c r="J161" s="463">
        <v>4</v>
      </c>
      <c r="K161" s="464">
        <v>50</v>
      </c>
      <c r="L161" s="462">
        <f t="shared" si="39"/>
        <v>1760</v>
      </c>
      <c r="M161" s="462">
        <v>1510</v>
      </c>
      <c r="N161" s="462">
        <v>250</v>
      </c>
      <c r="O161" s="462">
        <f t="shared" si="40"/>
        <v>4023.4</v>
      </c>
      <c r="P161" s="488">
        <f t="shared" si="41"/>
        <v>1234</v>
      </c>
      <c r="Q161" s="489">
        <f t="shared" si="42"/>
        <v>1217.0958904109589</v>
      </c>
      <c r="R161" s="489">
        <f t="shared" si="43"/>
        <v>65.753424657534239</v>
      </c>
      <c r="S161" s="490">
        <f t="shared" si="44"/>
        <v>15808</v>
      </c>
      <c r="T161" s="490">
        <f t="shared" si="45"/>
        <v>18324.849315068492</v>
      </c>
      <c r="U161" s="491">
        <f t="shared" si="46"/>
        <v>182.26</v>
      </c>
      <c r="V161" s="462"/>
      <c r="W161" s="462">
        <v>10</v>
      </c>
      <c r="X161" s="462"/>
      <c r="Y161" s="462">
        <v>1877.52</v>
      </c>
      <c r="Z161" s="462">
        <f t="shared" si="47"/>
        <v>2069.7799999999997</v>
      </c>
      <c r="AA161" s="462">
        <f t="shared" si="48"/>
        <v>1953.6200000000003</v>
      </c>
      <c r="AB161" s="489">
        <v>1000</v>
      </c>
    </row>
    <row r="162" spans="1:28" s="486" customFormat="1" ht="12">
      <c r="A162" s="456">
        <v>28</v>
      </c>
      <c r="B162" s="457" t="s">
        <v>594</v>
      </c>
      <c r="C162" s="497">
        <v>9901442903</v>
      </c>
      <c r="D162" s="459" t="s">
        <v>595</v>
      </c>
      <c r="E162" s="460" t="s">
        <v>1175</v>
      </c>
      <c r="F162" s="461">
        <v>31</v>
      </c>
      <c r="G162" s="462">
        <v>71.400000000000006</v>
      </c>
      <c r="H162" s="462">
        <f t="shared" si="37"/>
        <v>2213.4</v>
      </c>
      <c r="I162" s="462">
        <f t="shared" si="38"/>
        <v>8568</v>
      </c>
      <c r="J162" s="463">
        <v>4</v>
      </c>
      <c r="K162" s="465">
        <v>50</v>
      </c>
      <c r="L162" s="462">
        <f t="shared" si="39"/>
        <v>1760</v>
      </c>
      <c r="M162" s="462">
        <v>1510</v>
      </c>
      <c r="N162" s="462">
        <v>250</v>
      </c>
      <c r="O162" s="462">
        <f t="shared" si="40"/>
        <v>4023.4</v>
      </c>
      <c r="P162" s="488">
        <f t="shared" si="41"/>
        <v>1234</v>
      </c>
      <c r="Q162" s="489">
        <f t="shared" si="42"/>
        <v>1217.0958904109589</v>
      </c>
      <c r="R162" s="489">
        <f t="shared" si="43"/>
        <v>65.753424657534239</v>
      </c>
      <c r="S162" s="490">
        <f t="shared" si="44"/>
        <v>15808</v>
      </c>
      <c r="T162" s="490">
        <f t="shared" si="45"/>
        <v>18324.849315068492</v>
      </c>
      <c r="U162" s="491">
        <f t="shared" si="46"/>
        <v>182.26</v>
      </c>
      <c r="V162" s="462"/>
      <c r="W162" s="462">
        <v>10</v>
      </c>
      <c r="X162" s="462"/>
      <c r="Y162" s="462"/>
      <c r="Z162" s="462">
        <f t="shared" si="47"/>
        <v>192.26</v>
      </c>
      <c r="AA162" s="462">
        <f t="shared" si="48"/>
        <v>3831.1400000000003</v>
      </c>
      <c r="AB162" s="489">
        <v>1000</v>
      </c>
    </row>
    <row r="163" spans="1:28" s="486" customFormat="1" ht="12">
      <c r="A163" s="456">
        <v>29</v>
      </c>
      <c r="B163" s="466" t="s">
        <v>596</v>
      </c>
      <c r="C163" s="497">
        <v>9901443193</v>
      </c>
      <c r="D163" s="459" t="s">
        <v>597</v>
      </c>
      <c r="E163" s="460" t="s">
        <v>1175</v>
      </c>
      <c r="F163" s="461">
        <v>31</v>
      </c>
      <c r="G163" s="462">
        <v>71.400000000000006</v>
      </c>
      <c r="H163" s="462">
        <f t="shared" si="37"/>
        <v>2213.4</v>
      </c>
      <c r="I163" s="462">
        <f t="shared" si="38"/>
        <v>8568</v>
      </c>
      <c r="J163" s="463">
        <v>4</v>
      </c>
      <c r="K163" s="465">
        <v>50</v>
      </c>
      <c r="L163" s="462">
        <f t="shared" si="39"/>
        <v>1760</v>
      </c>
      <c r="M163" s="462">
        <v>1510</v>
      </c>
      <c r="N163" s="462">
        <v>250</v>
      </c>
      <c r="O163" s="462">
        <f t="shared" si="40"/>
        <v>4023.4</v>
      </c>
      <c r="P163" s="488">
        <f t="shared" si="41"/>
        <v>1234</v>
      </c>
      <c r="Q163" s="489">
        <f t="shared" si="42"/>
        <v>1217.0958904109589</v>
      </c>
      <c r="R163" s="489">
        <f t="shared" si="43"/>
        <v>65.753424657534239</v>
      </c>
      <c r="S163" s="490">
        <f t="shared" si="44"/>
        <v>15808</v>
      </c>
      <c r="T163" s="490">
        <f t="shared" si="45"/>
        <v>18324.849315068492</v>
      </c>
      <c r="U163" s="491">
        <f t="shared" si="46"/>
        <v>182.26</v>
      </c>
      <c r="V163" s="462"/>
      <c r="W163" s="462">
        <v>10</v>
      </c>
      <c r="X163" s="462"/>
      <c r="Y163" s="462">
        <v>1728.58</v>
      </c>
      <c r="Z163" s="462">
        <f t="shared" si="47"/>
        <v>1920.84</v>
      </c>
      <c r="AA163" s="462">
        <f t="shared" si="48"/>
        <v>2102.5600000000004</v>
      </c>
      <c r="AB163" s="489">
        <v>1000</v>
      </c>
    </row>
    <row r="164" spans="1:28" s="486" customFormat="1" ht="12">
      <c r="A164" s="456">
        <v>30</v>
      </c>
      <c r="B164" s="466" t="s">
        <v>598</v>
      </c>
      <c r="C164" s="497">
        <v>9901442898</v>
      </c>
      <c r="D164" s="459" t="s">
        <v>599</v>
      </c>
      <c r="E164" s="460" t="s">
        <v>1175</v>
      </c>
      <c r="F164" s="461">
        <v>31</v>
      </c>
      <c r="G164" s="462">
        <v>71.400000000000006</v>
      </c>
      <c r="H164" s="462">
        <f t="shared" si="37"/>
        <v>2213.4</v>
      </c>
      <c r="I164" s="462">
        <f t="shared" si="38"/>
        <v>8568</v>
      </c>
      <c r="J164" s="463">
        <v>4</v>
      </c>
      <c r="K164" s="464">
        <v>50</v>
      </c>
      <c r="L164" s="462">
        <f t="shared" si="39"/>
        <v>1760</v>
      </c>
      <c r="M164" s="462">
        <v>1510</v>
      </c>
      <c r="N164" s="462">
        <v>250</v>
      </c>
      <c r="O164" s="462">
        <f t="shared" si="40"/>
        <v>4023.4</v>
      </c>
      <c r="P164" s="488">
        <f t="shared" si="41"/>
        <v>1234</v>
      </c>
      <c r="Q164" s="489">
        <f t="shared" si="42"/>
        <v>1217.0958904109589</v>
      </c>
      <c r="R164" s="489">
        <f t="shared" si="43"/>
        <v>65.753424657534239</v>
      </c>
      <c r="S164" s="490">
        <f t="shared" si="44"/>
        <v>15808</v>
      </c>
      <c r="T164" s="490">
        <f t="shared" si="45"/>
        <v>18324.849315068492</v>
      </c>
      <c r="U164" s="491">
        <f t="shared" si="46"/>
        <v>182.26</v>
      </c>
      <c r="V164" s="462"/>
      <c r="W164" s="462">
        <v>10</v>
      </c>
      <c r="X164" s="462"/>
      <c r="Y164" s="462"/>
      <c r="Z164" s="462">
        <f t="shared" si="47"/>
        <v>192.26</v>
      </c>
      <c r="AA164" s="462">
        <f t="shared" si="48"/>
        <v>3831.1400000000003</v>
      </c>
      <c r="AB164" s="489">
        <v>1000</v>
      </c>
    </row>
    <row r="165" spans="1:28" s="486" customFormat="1" ht="12">
      <c r="A165" s="456">
        <v>31</v>
      </c>
      <c r="B165" s="457" t="s">
        <v>600</v>
      </c>
      <c r="C165" s="497">
        <v>9901443021</v>
      </c>
      <c r="D165" s="459" t="s">
        <v>601</v>
      </c>
      <c r="E165" s="460" t="s">
        <v>1175</v>
      </c>
      <c r="F165" s="461">
        <v>31</v>
      </c>
      <c r="G165" s="462">
        <v>71.400000000000006</v>
      </c>
      <c r="H165" s="462">
        <f t="shared" si="37"/>
        <v>2213.4</v>
      </c>
      <c r="I165" s="462">
        <f t="shared" si="38"/>
        <v>8568</v>
      </c>
      <c r="J165" s="463">
        <v>4</v>
      </c>
      <c r="K165" s="465">
        <v>50</v>
      </c>
      <c r="L165" s="462">
        <f t="shared" si="39"/>
        <v>1760</v>
      </c>
      <c r="M165" s="462">
        <v>1510</v>
      </c>
      <c r="N165" s="462">
        <v>250</v>
      </c>
      <c r="O165" s="462">
        <f t="shared" si="40"/>
        <v>4023.4</v>
      </c>
      <c r="P165" s="488">
        <f t="shared" si="41"/>
        <v>1234</v>
      </c>
      <c r="Q165" s="489">
        <f t="shared" si="42"/>
        <v>1217.0958904109589</v>
      </c>
      <c r="R165" s="489">
        <f t="shared" si="43"/>
        <v>65.753424657534239</v>
      </c>
      <c r="S165" s="490">
        <f t="shared" si="44"/>
        <v>15808</v>
      </c>
      <c r="T165" s="490">
        <f t="shared" si="45"/>
        <v>18324.849315068492</v>
      </c>
      <c r="U165" s="491">
        <f t="shared" si="46"/>
        <v>182.26</v>
      </c>
      <c r="V165" s="462"/>
      <c r="W165" s="498">
        <v>10</v>
      </c>
      <c r="X165" s="462"/>
      <c r="Y165" s="462">
        <v>1192.67</v>
      </c>
      <c r="Z165" s="462">
        <f t="shared" si="47"/>
        <v>1384.93</v>
      </c>
      <c r="AA165" s="462">
        <f t="shared" si="48"/>
        <v>2638.4700000000003</v>
      </c>
      <c r="AB165" s="489">
        <v>1000</v>
      </c>
    </row>
    <row r="166" spans="1:28" s="486" customFormat="1" ht="12">
      <c r="A166" s="456">
        <v>32</v>
      </c>
      <c r="B166" s="457" t="s">
        <v>602</v>
      </c>
      <c r="C166" s="497">
        <v>9901442307</v>
      </c>
      <c r="D166" s="459" t="s">
        <v>603</v>
      </c>
      <c r="E166" s="460" t="s">
        <v>1175</v>
      </c>
      <c r="F166" s="461">
        <v>31</v>
      </c>
      <c r="G166" s="462">
        <v>71.400000000000006</v>
      </c>
      <c r="H166" s="462">
        <f t="shared" si="37"/>
        <v>2213.4</v>
      </c>
      <c r="I166" s="462">
        <f t="shared" si="38"/>
        <v>8568</v>
      </c>
      <c r="J166" s="463">
        <v>4</v>
      </c>
      <c r="K166" s="465">
        <v>50</v>
      </c>
      <c r="L166" s="462">
        <f t="shared" si="39"/>
        <v>1760</v>
      </c>
      <c r="M166" s="462">
        <v>1510</v>
      </c>
      <c r="N166" s="462">
        <v>250</v>
      </c>
      <c r="O166" s="462">
        <f t="shared" si="40"/>
        <v>4023.4</v>
      </c>
      <c r="P166" s="488">
        <f t="shared" si="41"/>
        <v>1234</v>
      </c>
      <c r="Q166" s="489">
        <f t="shared" si="42"/>
        <v>1217.0958904109589</v>
      </c>
      <c r="R166" s="489">
        <f t="shared" si="43"/>
        <v>65.753424657534239</v>
      </c>
      <c r="S166" s="490">
        <f t="shared" si="44"/>
        <v>15808</v>
      </c>
      <c r="T166" s="490">
        <f t="shared" si="45"/>
        <v>18324.849315068492</v>
      </c>
      <c r="U166" s="491">
        <f t="shared" si="46"/>
        <v>182.26</v>
      </c>
      <c r="V166" s="498">
        <f>(O166-N166)*11%</f>
        <v>415.07400000000001</v>
      </c>
      <c r="W166" s="462">
        <v>10</v>
      </c>
      <c r="X166" s="462"/>
      <c r="Y166" s="462">
        <v>1527.84</v>
      </c>
      <c r="Z166" s="462">
        <f t="shared" si="47"/>
        <v>2135.174</v>
      </c>
      <c r="AA166" s="462">
        <f t="shared" si="48"/>
        <v>1888.2260000000001</v>
      </c>
      <c r="AB166" s="489">
        <v>1000</v>
      </c>
    </row>
    <row r="167" spans="1:28" s="486" customFormat="1" ht="12">
      <c r="A167" s="456">
        <v>33</v>
      </c>
      <c r="B167" s="466" t="s">
        <v>604</v>
      </c>
      <c r="C167" s="497">
        <v>9901443882</v>
      </c>
      <c r="D167" s="459" t="s">
        <v>605</v>
      </c>
      <c r="E167" s="460" t="s">
        <v>1175</v>
      </c>
      <c r="F167" s="461">
        <v>31</v>
      </c>
      <c r="G167" s="462">
        <v>71.400000000000006</v>
      </c>
      <c r="H167" s="462">
        <f t="shared" si="37"/>
        <v>2213.4</v>
      </c>
      <c r="I167" s="462">
        <f t="shared" si="38"/>
        <v>8568</v>
      </c>
      <c r="J167" s="463">
        <v>4</v>
      </c>
      <c r="K167" s="464">
        <v>50</v>
      </c>
      <c r="L167" s="462">
        <f t="shared" si="39"/>
        <v>1760</v>
      </c>
      <c r="M167" s="462">
        <v>1510</v>
      </c>
      <c r="N167" s="462">
        <v>250</v>
      </c>
      <c r="O167" s="462">
        <f t="shared" si="40"/>
        <v>4023.4</v>
      </c>
      <c r="P167" s="488">
        <f t="shared" si="41"/>
        <v>1234</v>
      </c>
      <c r="Q167" s="489">
        <f t="shared" si="42"/>
        <v>1217.0958904109589</v>
      </c>
      <c r="R167" s="489">
        <f t="shared" si="43"/>
        <v>65.753424657534239</v>
      </c>
      <c r="S167" s="490">
        <f t="shared" si="44"/>
        <v>15808</v>
      </c>
      <c r="T167" s="490">
        <f t="shared" si="45"/>
        <v>18324.849315068492</v>
      </c>
      <c r="U167" s="491">
        <f t="shared" si="46"/>
        <v>182.26</v>
      </c>
      <c r="V167" s="462"/>
      <c r="W167" s="462"/>
      <c r="X167" s="462"/>
      <c r="Y167" s="462">
        <v>1649.18</v>
      </c>
      <c r="Z167" s="462">
        <f t="shared" si="47"/>
        <v>1831.44</v>
      </c>
      <c r="AA167" s="462">
        <f t="shared" si="48"/>
        <v>2191.96</v>
      </c>
      <c r="AB167" s="489">
        <v>1000</v>
      </c>
    </row>
    <row r="168" spans="1:28" s="486" customFormat="1" ht="12">
      <c r="A168" s="456">
        <v>34</v>
      </c>
      <c r="B168" s="457" t="s">
        <v>606</v>
      </c>
      <c r="C168" s="497">
        <v>9901451053</v>
      </c>
      <c r="D168" s="459" t="s">
        <v>607</v>
      </c>
      <c r="E168" s="460" t="s">
        <v>32</v>
      </c>
      <c r="F168" s="461">
        <v>31</v>
      </c>
      <c r="G168" s="462">
        <v>71.400000000000006</v>
      </c>
      <c r="H168" s="462">
        <f t="shared" si="37"/>
        <v>2213.4</v>
      </c>
      <c r="I168" s="462">
        <f t="shared" si="38"/>
        <v>8568</v>
      </c>
      <c r="J168" s="463">
        <v>4</v>
      </c>
      <c r="K168" s="464">
        <v>0</v>
      </c>
      <c r="L168" s="462">
        <f t="shared" si="39"/>
        <v>1760</v>
      </c>
      <c r="M168" s="462">
        <v>1510</v>
      </c>
      <c r="N168" s="462">
        <v>250</v>
      </c>
      <c r="O168" s="462">
        <f t="shared" si="40"/>
        <v>3973.4</v>
      </c>
      <c r="P168" s="488">
        <f t="shared" si="41"/>
        <v>1217.3333333333333</v>
      </c>
      <c r="Q168" s="489">
        <f t="shared" si="42"/>
        <v>1200.6575342465753</v>
      </c>
      <c r="R168" s="489">
        <f t="shared" si="43"/>
        <v>65.753424657534239</v>
      </c>
      <c r="S168" s="490">
        <f t="shared" si="44"/>
        <v>15608</v>
      </c>
      <c r="T168" s="490">
        <f t="shared" si="45"/>
        <v>18091.744292237443</v>
      </c>
      <c r="U168" s="491">
        <f t="shared" si="46"/>
        <v>179.84</v>
      </c>
      <c r="V168" s="498">
        <f>(O168-N168)*11%</f>
        <v>409.57400000000001</v>
      </c>
      <c r="W168" s="462">
        <v>10</v>
      </c>
      <c r="X168" s="462"/>
      <c r="Y168" s="462"/>
      <c r="Z168" s="462">
        <f t="shared" si="47"/>
        <v>599.41399999999999</v>
      </c>
      <c r="AA168" s="462">
        <f t="shared" si="48"/>
        <v>3373.9859999999999</v>
      </c>
      <c r="AB168" s="489">
        <v>1000</v>
      </c>
    </row>
    <row r="169" spans="1:28" s="486" customFormat="1" ht="12">
      <c r="A169" s="456">
        <v>35</v>
      </c>
      <c r="B169" s="457" t="s">
        <v>608</v>
      </c>
      <c r="C169" s="497">
        <v>9901442360</v>
      </c>
      <c r="D169" s="459" t="s">
        <v>609</v>
      </c>
      <c r="E169" s="460" t="s">
        <v>1175</v>
      </c>
      <c r="F169" s="461">
        <v>31</v>
      </c>
      <c r="G169" s="462">
        <v>71.400000000000006</v>
      </c>
      <c r="H169" s="462">
        <f t="shared" si="37"/>
        <v>2213.4</v>
      </c>
      <c r="I169" s="462">
        <f t="shared" si="38"/>
        <v>8568</v>
      </c>
      <c r="J169" s="463">
        <v>4</v>
      </c>
      <c r="K169" s="465">
        <v>50</v>
      </c>
      <c r="L169" s="462">
        <f t="shared" si="39"/>
        <v>1760</v>
      </c>
      <c r="M169" s="462">
        <v>1510</v>
      </c>
      <c r="N169" s="462">
        <v>250</v>
      </c>
      <c r="O169" s="462">
        <f t="shared" si="40"/>
        <v>4023.4</v>
      </c>
      <c r="P169" s="488">
        <f t="shared" si="41"/>
        <v>1234</v>
      </c>
      <c r="Q169" s="489">
        <f t="shared" si="42"/>
        <v>1217.0958904109589</v>
      </c>
      <c r="R169" s="489">
        <f t="shared" si="43"/>
        <v>65.753424657534239</v>
      </c>
      <c r="S169" s="490">
        <f t="shared" si="44"/>
        <v>15808</v>
      </c>
      <c r="T169" s="490">
        <f t="shared" si="45"/>
        <v>18324.849315068492</v>
      </c>
      <c r="U169" s="491">
        <f t="shared" si="46"/>
        <v>182.26</v>
      </c>
      <c r="V169" s="462"/>
      <c r="W169" s="462">
        <v>10</v>
      </c>
      <c r="X169" s="462"/>
      <c r="Y169" s="462"/>
      <c r="Z169" s="462">
        <f t="shared" si="47"/>
        <v>192.26</v>
      </c>
      <c r="AA169" s="462">
        <f t="shared" si="48"/>
        <v>3831.1400000000003</v>
      </c>
      <c r="AB169" s="489">
        <v>1000</v>
      </c>
    </row>
    <row r="170" spans="1:28" s="486" customFormat="1" ht="12">
      <c r="A170" s="456">
        <v>36</v>
      </c>
      <c r="B170" s="466" t="s">
        <v>610</v>
      </c>
      <c r="C170" s="497">
        <v>9901443380</v>
      </c>
      <c r="D170" s="459" t="s">
        <v>611</v>
      </c>
      <c r="E170" s="460" t="s">
        <v>1175</v>
      </c>
      <c r="F170" s="461">
        <v>31</v>
      </c>
      <c r="G170" s="532">
        <v>71.400000000000006</v>
      </c>
      <c r="H170" s="462">
        <f t="shared" si="37"/>
        <v>2213.4</v>
      </c>
      <c r="I170" s="462">
        <f t="shared" si="38"/>
        <v>8568</v>
      </c>
      <c r="J170" s="463">
        <v>4</v>
      </c>
      <c r="K170" s="464">
        <v>75</v>
      </c>
      <c r="L170" s="462">
        <f t="shared" si="39"/>
        <v>1760</v>
      </c>
      <c r="M170" s="462">
        <v>1510</v>
      </c>
      <c r="N170" s="462">
        <v>250</v>
      </c>
      <c r="O170" s="462">
        <f t="shared" si="40"/>
        <v>4048.4</v>
      </c>
      <c r="P170" s="488">
        <f t="shared" si="41"/>
        <v>1242.3333333333333</v>
      </c>
      <c r="Q170" s="489">
        <f t="shared" si="42"/>
        <v>1225.3150684931506</v>
      </c>
      <c r="R170" s="489">
        <f t="shared" si="43"/>
        <v>65.753424657534239</v>
      </c>
      <c r="S170" s="490">
        <f t="shared" si="44"/>
        <v>15908</v>
      </c>
      <c r="T170" s="490">
        <f t="shared" si="45"/>
        <v>18441.401826484016</v>
      </c>
      <c r="U170" s="491">
        <f t="shared" si="46"/>
        <v>183.46</v>
      </c>
      <c r="V170" s="462"/>
      <c r="W170" s="462">
        <v>10</v>
      </c>
      <c r="X170" s="462"/>
      <c r="Y170" s="462"/>
      <c r="Z170" s="462">
        <f t="shared" si="47"/>
        <v>193.46</v>
      </c>
      <c r="AA170" s="462">
        <f t="shared" si="48"/>
        <v>3854.94</v>
      </c>
      <c r="AB170" s="489">
        <v>1000</v>
      </c>
    </row>
    <row r="171" spans="1:28" s="486" customFormat="1" ht="12">
      <c r="A171" s="456">
        <v>37</v>
      </c>
      <c r="B171" s="457" t="s">
        <v>612</v>
      </c>
      <c r="C171" s="497">
        <v>9901442936</v>
      </c>
      <c r="D171" s="459" t="s">
        <v>613</v>
      </c>
      <c r="E171" s="460" t="s">
        <v>1175</v>
      </c>
      <c r="F171" s="461">
        <v>31</v>
      </c>
      <c r="G171" s="462">
        <v>71.400000000000006</v>
      </c>
      <c r="H171" s="462">
        <f t="shared" si="37"/>
        <v>2213.4</v>
      </c>
      <c r="I171" s="462">
        <f t="shared" si="38"/>
        <v>8568</v>
      </c>
      <c r="J171" s="463">
        <v>4</v>
      </c>
      <c r="K171" s="464">
        <v>75</v>
      </c>
      <c r="L171" s="462">
        <f t="shared" si="39"/>
        <v>1760</v>
      </c>
      <c r="M171" s="462">
        <v>1510</v>
      </c>
      <c r="N171" s="462">
        <v>250</v>
      </c>
      <c r="O171" s="462">
        <f t="shared" si="40"/>
        <v>4048.4</v>
      </c>
      <c r="P171" s="488">
        <f t="shared" si="41"/>
        <v>1242.3333333333333</v>
      </c>
      <c r="Q171" s="489">
        <f t="shared" si="42"/>
        <v>1225.3150684931506</v>
      </c>
      <c r="R171" s="489">
        <f t="shared" si="43"/>
        <v>65.753424657534239</v>
      </c>
      <c r="S171" s="490">
        <f t="shared" si="44"/>
        <v>15908</v>
      </c>
      <c r="T171" s="490">
        <f t="shared" si="45"/>
        <v>18441.401826484016</v>
      </c>
      <c r="U171" s="491">
        <f t="shared" si="46"/>
        <v>183.46</v>
      </c>
      <c r="V171" s="498">
        <f>(O171-N171)*11%</f>
        <v>417.82400000000001</v>
      </c>
      <c r="W171" s="462">
        <v>10</v>
      </c>
      <c r="X171" s="462"/>
      <c r="Y171" s="462">
        <v>1935.31</v>
      </c>
      <c r="Z171" s="462">
        <f t="shared" si="47"/>
        <v>2546.5940000000001</v>
      </c>
      <c r="AA171" s="462">
        <f t="shared" si="48"/>
        <v>1501.806</v>
      </c>
      <c r="AB171" s="489">
        <v>1000</v>
      </c>
    </row>
    <row r="172" spans="1:28" s="486" customFormat="1" ht="12">
      <c r="A172" s="456">
        <v>38</v>
      </c>
      <c r="B172" s="466" t="s">
        <v>614</v>
      </c>
      <c r="C172" s="497">
        <v>9901442299</v>
      </c>
      <c r="D172" s="459" t="s">
        <v>615</v>
      </c>
      <c r="E172" s="460" t="s">
        <v>1175</v>
      </c>
      <c r="F172" s="461">
        <v>31</v>
      </c>
      <c r="G172" s="462">
        <v>71.400000000000006</v>
      </c>
      <c r="H172" s="462">
        <f t="shared" si="37"/>
        <v>2213.4</v>
      </c>
      <c r="I172" s="462">
        <f t="shared" si="38"/>
        <v>8568</v>
      </c>
      <c r="J172" s="463">
        <v>4</v>
      </c>
      <c r="K172" s="464">
        <v>50</v>
      </c>
      <c r="L172" s="462">
        <f t="shared" si="39"/>
        <v>1760</v>
      </c>
      <c r="M172" s="462">
        <v>1510</v>
      </c>
      <c r="N172" s="462">
        <v>250</v>
      </c>
      <c r="O172" s="462">
        <f t="shared" si="40"/>
        <v>4023.4</v>
      </c>
      <c r="P172" s="488">
        <f t="shared" si="41"/>
        <v>1234</v>
      </c>
      <c r="Q172" s="489">
        <f t="shared" si="42"/>
        <v>1217.0958904109589</v>
      </c>
      <c r="R172" s="489">
        <f t="shared" si="43"/>
        <v>65.753424657534239</v>
      </c>
      <c r="S172" s="490">
        <f t="shared" si="44"/>
        <v>15808</v>
      </c>
      <c r="T172" s="490">
        <f t="shared" si="45"/>
        <v>18324.849315068492</v>
      </c>
      <c r="U172" s="491">
        <f t="shared" si="46"/>
        <v>182.26</v>
      </c>
      <c r="V172" s="462"/>
      <c r="W172" s="462">
        <v>10</v>
      </c>
      <c r="X172" s="462"/>
      <c r="Y172" s="462">
        <v>1421.06</v>
      </c>
      <c r="Z172" s="462">
        <f t="shared" si="47"/>
        <v>1613.32</v>
      </c>
      <c r="AA172" s="462">
        <f t="shared" si="48"/>
        <v>2410.08</v>
      </c>
      <c r="AB172" s="489">
        <v>1000</v>
      </c>
    </row>
    <row r="173" spans="1:28" s="486" customFormat="1" ht="12">
      <c r="A173" s="456">
        <v>39</v>
      </c>
      <c r="B173" s="457" t="s">
        <v>616</v>
      </c>
      <c r="C173" s="497">
        <v>9901442958</v>
      </c>
      <c r="D173" s="459" t="s">
        <v>617</v>
      </c>
      <c r="E173" s="460" t="s">
        <v>1175</v>
      </c>
      <c r="F173" s="461">
        <v>31</v>
      </c>
      <c r="G173" s="462">
        <v>71.400000000000006</v>
      </c>
      <c r="H173" s="462">
        <f t="shared" si="37"/>
        <v>2213.4</v>
      </c>
      <c r="I173" s="462">
        <f t="shared" si="38"/>
        <v>8568</v>
      </c>
      <c r="J173" s="463">
        <v>4</v>
      </c>
      <c r="K173" s="464">
        <v>75</v>
      </c>
      <c r="L173" s="462">
        <f t="shared" si="39"/>
        <v>1760</v>
      </c>
      <c r="M173" s="462">
        <v>1510</v>
      </c>
      <c r="N173" s="462">
        <v>250</v>
      </c>
      <c r="O173" s="462">
        <f t="shared" si="40"/>
        <v>4048.4</v>
      </c>
      <c r="P173" s="488">
        <f t="shared" si="41"/>
        <v>1242.3333333333333</v>
      </c>
      <c r="Q173" s="489">
        <f t="shared" si="42"/>
        <v>1225.3150684931506</v>
      </c>
      <c r="R173" s="489">
        <f t="shared" si="43"/>
        <v>65.753424657534239</v>
      </c>
      <c r="S173" s="490">
        <f t="shared" si="44"/>
        <v>15908</v>
      </c>
      <c r="T173" s="490">
        <f t="shared" si="45"/>
        <v>18441.401826484016</v>
      </c>
      <c r="U173" s="491">
        <f t="shared" si="46"/>
        <v>183.46</v>
      </c>
      <c r="V173" s="498">
        <f>(O173-N173)*11%</f>
        <v>417.82400000000001</v>
      </c>
      <c r="W173" s="462">
        <v>10</v>
      </c>
      <c r="X173" s="462"/>
      <c r="Y173" s="462">
        <v>1816.18</v>
      </c>
      <c r="Z173" s="462">
        <f t="shared" si="47"/>
        <v>2427.4639999999999</v>
      </c>
      <c r="AA173" s="462">
        <f t="shared" si="48"/>
        <v>1620.9360000000001</v>
      </c>
      <c r="AB173" s="489">
        <v>1000</v>
      </c>
    </row>
    <row r="174" spans="1:28" s="486" customFormat="1" ht="12">
      <c r="A174" s="456">
        <v>40</v>
      </c>
      <c r="B174" s="466" t="s">
        <v>618</v>
      </c>
      <c r="C174" s="497">
        <v>9901442364</v>
      </c>
      <c r="D174" s="459" t="s">
        <v>619</v>
      </c>
      <c r="E174" s="460" t="s">
        <v>1175</v>
      </c>
      <c r="F174" s="461">
        <v>31</v>
      </c>
      <c r="G174" s="462">
        <v>71.400000000000006</v>
      </c>
      <c r="H174" s="462">
        <f t="shared" si="37"/>
        <v>2213.4</v>
      </c>
      <c r="I174" s="462">
        <f t="shared" si="38"/>
        <v>8568</v>
      </c>
      <c r="J174" s="463">
        <v>4</v>
      </c>
      <c r="K174" s="465">
        <v>50</v>
      </c>
      <c r="L174" s="462">
        <f t="shared" si="39"/>
        <v>1760</v>
      </c>
      <c r="M174" s="462">
        <v>1510</v>
      </c>
      <c r="N174" s="462">
        <v>250</v>
      </c>
      <c r="O174" s="462">
        <f t="shared" si="40"/>
        <v>4023.4</v>
      </c>
      <c r="P174" s="488">
        <f t="shared" si="41"/>
        <v>1234</v>
      </c>
      <c r="Q174" s="489">
        <f t="shared" si="42"/>
        <v>1217.0958904109589</v>
      </c>
      <c r="R174" s="489">
        <f t="shared" si="43"/>
        <v>65.753424657534239</v>
      </c>
      <c r="S174" s="490">
        <f t="shared" si="44"/>
        <v>15808</v>
      </c>
      <c r="T174" s="490">
        <f t="shared" si="45"/>
        <v>18324.849315068492</v>
      </c>
      <c r="U174" s="491">
        <f t="shared" si="46"/>
        <v>182.26</v>
      </c>
      <c r="V174" s="462"/>
      <c r="W174" s="462"/>
      <c r="X174" s="462"/>
      <c r="Y174" s="462"/>
      <c r="Z174" s="462">
        <f t="shared" si="47"/>
        <v>182.26</v>
      </c>
      <c r="AA174" s="462">
        <f t="shared" si="48"/>
        <v>3841.1400000000003</v>
      </c>
      <c r="AB174" s="489">
        <v>1000</v>
      </c>
    </row>
    <row r="175" spans="1:28" s="486" customFormat="1" ht="12">
      <c r="A175" s="456">
        <v>41</v>
      </c>
      <c r="B175" s="466" t="s">
        <v>620</v>
      </c>
      <c r="C175" s="497">
        <v>9901442449</v>
      </c>
      <c r="D175" s="459" t="s">
        <v>621</v>
      </c>
      <c r="E175" s="460" t="s">
        <v>1175</v>
      </c>
      <c r="F175" s="461">
        <v>31</v>
      </c>
      <c r="G175" s="462">
        <v>71.400000000000006</v>
      </c>
      <c r="H175" s="462">
        <f t="shared" si="37"/>
        <v>2213.4</v>
      </c>
      <c r="I175" s="462">
        <f t="shared" si="38"/>
        <v>8568</v>
      </c>
      <c r="J175" s="463">
        <v>4</v>
      </c>
      <c r="K175" s="465">
        <v>50</v>
      </c>
      <c r="L175" s="462">
        <f t="shared" si="39"/>
        <v>1760</v>
      </c>
      <c r="M175" s="462">
        <v>1510</v>
      </c>
      <c r="N175" s="462">
        <v>250</v>
      </c>
      <c r="O175" s="462">
        <f t="shared" si="40"/>
        <v>4023.4</v>
      </c>
      <c r="P175" s="488">
        <f t="shared" si="41"/>
        <v>1234</v>
      </c>
      <c r="Q175" s="489">
        <f t="shared" si="42"/>
        <v>1217.0958904109589</v>
      </c>
      <c r="R175" s="489">
        <f t="shared" si="43"/>
        <v>65.753424657534239</v>
      </c>
      <c r="S175" s="490">
        <f t="shared" si="44"/>
        <v>15808</v>
      </c>
      <c r="T175" s="490">
        <f t="shared" si="45"/>
        <v>18324.849315068492</v>
      </c>
      <c r="U175" s="491">
        <f t="shared" si="46"/>
        <v>182.26</v>
      </c>
      <c r="V175" s="462"/>
      <c r="W175" s="462">
        <v>10</v>
      </c>
      <c r="X175" s="462"/>
      <c r="Y175" s="462"/>
      <c r="Z175" s="462">
        <f t="shared" si="47"/>
        <v>192.26</v>
      </c>
      <c r="AA175" s="462">
        <f t="shared" si="48"/>
        <v>3831.1400000000003</v>
      </c>
      <c r="AB175" s="489">
        <v>1000</v>
      </c>
    </row>
    <row r="176" spans="1:28" s="486" customFormat="1" ht="12">
      <c r="A176" s="456">
        <v>42</v>
      </c>
      <c r="B176" s="457" t="s">
        <v>622</v>
      </c>
      <c r="C176" s="497">
        <v>9901443751</v>
      </c>
      <c r="D176" s="459" t="s">
        <v>623</v>
      </c>
      <c r="E176" s="460" t="s">
        <v>1175</v>
      </c>
      <c r="F176" s="461">
        <v>31</v>
      </c>
      <c r="G176" s="462">
        <v>71.400000000000006</v>
      </c>
      <c r="H176" s="462">
        <f t="shared" si="37"/>
        <v>2213.4</v>
      </c>
      <c r="I176" s="462">
        <f t="shared" si="38"/>
        <v>8568</v>
      </c>
      <c r="J176" s="463">
        <v>4</v>
      </c>
      <c r="K176" s="464">
        <v>50</v>
      </c>
      <c r="L176" s="462">
        <f t="shared" si="39"/>
        <v>1760</v>
      </c>
      <c r="M176" s="462">
        <v>1510</v>
      </c>
      <c r="N176" s="462">
        <v>250</v>
      </c>
      <c r="O176" s="462">
        <f t="shared" si="40"/>
        <v>4023.4</v>
      </c>
      <c r="P176" s="488">
        <f t="shared" si="41"/>
        <v>1234</v>
      </c>
      <c r="Q176" s="489">
        <f t="shared" si="42"/>
        <v>1217.0958904109589</v>
      </c>
      <c r="R176" s="489">
        <f t="shared" si="43"/>
        <v>65.753424657534239</v>
      </c>
      <c r="S176" s="490">
        <f t="shared" si="44"/>
        <v>15808</v>
      </c>
      <c r="T176" s="490">
        <f t="shared" si="45"/>
        <v>18324.849315068492</v>
      </c>
      <c r="U176" s="491">
        <f t="shared" si="46"/>
        <v>182.26</v>
      </c>
      <c r="V176" s="462"/>
      <c r="W176" s="462"/>
      <c r="X176" s="462"/>
      <c r="Y176" s="462"/>
      <c r="Z176" s="462">
        <f t="shared" si="47"/>
        <v>182.26</v>
      </c>
      <c r="AA176" s="462">
        <f t="shared" si="48"/>
        <v>3841.1400000000003</v>
      </c>
      <c r="AB176" s="489">
        <v>1000</v>
      </c>
    </row>
    <row r="177" spans="1:28" s="486" customFormat="1" ht="12">
      <c r="A177" s="456">
        <v>43</v>
      </c>
      <c r="B177" s="457" t="s">
        <v>624</v>
      </c>
      <c r="C177" s="497">
        <v>9901442942</v>
      </c>
      <c r="D177" s="459" t="s">
        <v>625</v>
      </c>
      <c r="E177" s="460" t="s">
        <v>1175</v>
      </c>
      <c r="F177" s="461">
        <v>31</v>
      </c>
      <c r="G177" s="462">
        <v>71.400000000000006</v>
      </c>
      <c r="H177" s="462">
        <f t="shared" si="37"/>
        <v>2213.4</v>
      </c>
      <c r="I177" s="462">
        <f t="shared" si="38"/>
        <v>8568</v>
      </c>
      <c r="J177" s="463">
        <v>4</v>
      </c>
      <c r="K177" s="464">
        <v>75</v>
      </c>
      <c r="L177" s="462">
        <f t="shared" si="39"/>
        <v>1760</v>
      </c>
      <c r="M177" s="462">
        <v>1510</v>
      </c>
      <c r="N177" s="462">
        <v>250</v>
      </c>
      <c r="O177" s="462">
        <f t="shared" si="40"/>
        <v>4048.4</v>
      </c>
      <c r="P177" s="488">
        <f t="shared" si="41"/>
        <v>1242.3333333333333</v>
      </c>
      <c r="Q177" s="489">
        <f t="shared" si="42"/>
        <v>1225.3150684931506</v>
      </c>
      <c r="R177" s="489">
        <f t="shared" si="43"/>
        <v>65.753424657534239</v>
      </c>
      <c r="S177" s="490">
        <f t="shared" si="44"/>
        <v>15908</v>
      </c>
      <c r="T177" s="490">
        <f t="shared" si="45"/>
        <v>18441.401826484016</v>
      </c>
      <c r="U177" s="491">
        <f t="shared" si="46"/>
        <v>183.46</v>
      </c>
      <c r="V177" s="462"/>
      <c r="W177" s="462">
        <v>10</v>
      </c>
      <c r="X177" s="462"/>
      <c r="Y177" s="462">
        <v>1399.72</v>
      </c>
      <c r="Z177" s="462">
        <f t="shared" si="47"/>
        <v>1593.18</v>
      </c>
      <c r="AA177" s="462">
        <f t="shared" si="48"/>
        <v>2455.2200000000003</v>
      </c>
      <c r="AB177" s="489">
        <v>1000</v>
      </c>
    </row>
    <row r="178" spans="1:28" s="486" customFormat="1" ht="12">
      <c r="A178" s="456">
        <v>44</v>
      </c>
      <c r="B178" s="466" t="s">
        <v>626</v>
      </c>
      <c r="C178" s="497">
        <v>9901443174</v>
      </c>
      <c r="D178" s="459" t="s">
        <v>627</v>
      </c>
      <c r="E178" s="460" t="s">
        <v>1175</v>
      </c>
      <c r="F178" s="461">
        <v>31</v>
      </c>
      <c r="G178" s="462">
        <v>71.400000000000006</v>
      </c>
      <c r="H178" s="462">
        <f t="shared" si="37"/>
        <v>2213.4</v>
      </c>
      <c r="I178" s="462">
        <f t="shared" si="38"/>
        <v>8568</v>
      </c>
      <c r="J178" s="463">
        <v>4</v>
      </c>
      <c r="K178" s="465">
        <v>50</v>
      </c>
      <c r="L178" s="462">
        <f t="shared" si="39"/>
        <v>1760</v>
      </c>
      <c r="M178" s="462">
        <v>1510</v>
      </c>
      <c r="N178" s="462">
        <v>250</v>
      </c>
      <c r="O178" s="462">
        <f t="shared" si="40"/>
        <v>4023.4</v>
      </c>
      <c r="P178" s="488">
        <f t="shared" si="41"/>
        <v>1234</v>
      </c>
      <c r="Q178" s="489">
        <f t="shared" si="42"/>
        <v>1217.0958904109589</v>
      </c>
      <c r="R178" s="489">
        <f t="shared" si="43"/>
        <v>65.753424657534239</v>
      </c>
      <c r="S178" s="490">
        <f t="shared" si="44"/>
        <v>15808</v>
      </c>
      <c r="T178" s="490">
        <f t="shared" si="45"/>
        <v>18324.849315068492</v>
      </c>
      <c r="U178" s="491">
        <f t="shared" si="46"/>
        <v>182.26</v>
      </c>
      <c r="V178" s="498">
        <f>(O178-N178)*11%</f>
        <v>415.07400000000001</v>
      </c>
      <c r="W178" s="462">
        <v>10</v>
      </c>
      <c r="X178" s="462"/>
      <c r="Y178" s="462">
        <v>1388.61</v>
      </c>
      <c r="Z178" s="462">
        <f t="shared" si="47"/>
        <v>1995.944</v>
      </c>
      <c r="AA178" s="462">
        <f t="shared" si="48"/>
        <v>2027.4560000000001</v>
      </c>
      <c r="AB178" s="489">
        <v>1000</v>
      </c>
    </row>
    <row r="179" spans="1:28" s="486" customFormat="1" ht="12">
      <c r="A179" s="456">
        <v>45</v>
      </c>
      <c r="B179" s="457" t="s">
        <v>628</v>
      </c>
      <c r="C179" s="497">
        <v>9901442860</v>
      </c>
      <c r="D179" s="459" t="s">
        <v>629</v>
      </c>
      <c r="E179" s="460" t="s">
        <v>1175</v>
      </c>
      <c r="F179" s="461">
        <v>31</v>
      </c>
      <c r="G179" s="462">
        <v>71.400000000000006</v>
      </c>
      <c r="H179" s="462">
        <f t="shared" si="37"/>
        <v>2213.4</v>
      </c>
      <c r="I179" s="462">
        <f t="shared" si="38"/>
        <v>8568</v>
      </c>
      <c r="J179" s="463">
        <v>4</v>
      </c>
      <c r="K179" s="464">
        <v>50</v>
      </c>
      <c r="L179" s="462">
        <f t="shared" si="39"/>
        <v>1760</v>
      </c>
      <c r="M179" s="462">
        <v>1510</v>
      </c>
      <c r="N179" s="462">
        <v>250</v>
      </c>
      <c r="O179" s="462">
        <f t="shared" si="40"/>
        <v>4023.4</v>
      </c>
      <c r="P179" s="488">
        <f t="shared" si="41"/>
        <v>1234</v>
      </c>
      <c r="Q179" s="489">
        <f t="shared" si="42"/>
        <v>1217.0958904109589</v>
      </c>
      <c r="R179" s="489">
        <f t="shared" si="43"/>
        <v>65.753424657534239</v>
      </c>
      <c r="S179" s="490">
        <f t="shared" si="44"/>
        <v>15808</v>
      </c>
      <c r="T179" s="490">
        <f t="shared" si="45"/>
        <v>18324.849315068492</v>
      </c>
      <c r="U179" s="491">
        <f t="shared" si="46"/>
        <v>182.26</v>
      </c>
      <c r="V179" s="498">
        <f>(O179-N179)*11%</f>
        <v>415.07400000000001</v>
      </c>
      <c r="W179" s="462">
        <v>10</v>
      </c>
      <c r="X179" s="462"/>
      <c r="Y179" s="462"/>
      <c r="Z179" s="462">
        <f t="shared" si="47"/>
        <v>607.33400000000006</v>
      </c>
      <c r="AA179" s="462">
        <f t="shared" si="48"/>
        <v>3416.0659999999998</v>
      </c>
      <c r="AB179" s="489">
        <v>1000</v>
      </c>
    </row>
    <row r="180" spans="1:28" s="486" customFormat="1" ht="12">
      <c r="A180" s="456">
        <v>46</v>
      </c>
      <c r="B180" s="466" t="s">
        <v>630</v>
      </c>
      <c r="C180" s="497">
        <v>9901442303</v>
      </c>
      <c r="D180" s="459" t="s">
        <v>631</v>
      </c>
      <c r="E180" s="460" t="s">
        <v>1175</v>
      </c>
      <c r="F180" s="461">
        <v>31</v>
      </c>
      <c r="G180" s="462">
        <v>71.400000000000006</v>
      </c>
      <c r="H180" s="462">
        <f t="shared" si="37"/>
        <v>2213.4</v>
      </c>
      <c r="I180" s="462">
        <f t="shared" si="38"/>
        <v>8568</v>
      </c>
      <c r="J180" s="463">
        <v>4</v>
      </c>
      <c r="K180" s="464">
        <v>50</v>
      </c>
      <c r="L180" s="462">
        <f t="shared" si="39"/>
        <v>1760</v>
      </c>
      <c r="M180" s="462">
        <v>1510</v>
      </c>
      <c r="N180" s="462">
        <v>250</v>
      </c>
      <c r="O180" s="462">
        <f t="shared" si="40"/>
        <v>4023.4</v>
      </c>
      <c r="P180" s="488">
        <f t="shared" si="41"/>
        <v>1234</v>
      </c>
      <c r="Q180" s="489">
        <f t="shared" si="42"/>
        <v>1217.0958904109589</v>
      </c>
      <c r="R180" s="489">
        <f t="shared" si="43"/>
        <v>65.753424657534239</v>
      </c>
      <c r="S180" s="490">
        <f t="shared" si="44"/>
        <v>15808</v>
      </c>
      <c r="T180" s="490">
        <f t="shared" si="45"/>
        <v>18324.849315068492</v>
      </c>
      <c r="U180" s="491">
        <f t="shared" si="46"/>
        <v>182.26</v>
      </c>
      <c r="V180" s="498">
        <f>(O180-N180)*11%</f>
        <v>415.07400000000001</v>
      </c>
      <c r="W180" s="462">
        <v>10</v>
      </c>
      <c r="X180" s="462"/>
      <c r="Y180" s="462">
        <v>1423.21</v>
      </c>
      <c r="Z180" s="462">
        <f t="shared" si="47"/>
        <v>2030.5440000000001</v>
      </c>
      <c r="AA180" s="462">
        <f t="shared" si="48"/>
        <v>1992.856</v>
      </c>
      <c r="AB180" s="489">
        <v>1000</v>
      </c>
    </row>
    <row r="181" spans="1:28" s="486" customFormat="1" ht="12">
      <c r="A181" s="456">
        <v>47</v>
      </c>
      <c r="B181" s="457" t="s">
        <v>632</v>
      </c>
      <c r="C181" s="497">
        <v>9901442370</v>
      </c>
      <c r="D181" s="459" t="s">
        <v>633</v>
      </c>
      <c r="E181" s="460" t="s">
        <v>1175</v>
      </c>
      <c r="F181" s="461">
        <v>31</v>
      </c>
      <c r="G181" s="462">
        <v>71.400000000000006</v>
      </c>
      <c r="H181" s="462">
        <f t="shared" si="37"/>
        <v>2213.4</v>
      </c>
      <c r="I181" s="462">
        <f t="shared" si="38"/>
        <v>8568</v>
      </c>
      <c r="J181" s="463">
        <v>4</v>
      </c>
      <c r="K181" s="465">
        <v>50</v>
      </c>
      <c r="L181" s="462">
        <f t="shared" si="39"/>
        <v>1760</v>
      </c>
      <c r="M181" s="462">
        <v>1510</v>
      </c>
      <c r="N181" s="462">
        <v>250</v>
      </c>
      <c r="O181" s="462">
        <f t="shared" si="40"/>
        <v>4023.4</v>
      </c>
      <c r="P181" s="488">
        <f t="shared" si="41"/>
        <v>1234</v>
      </c>
      <c r="Q181" s="489">
        <f t="shared" si="42"/>
        <v>1217.0958904109589</v>
      </c>
      <c r="R181" s="489">
        <f t="shared" si="43"/>
        <v>65.753424657534239</v>
      </c>
      <c r="S181" s="490">
        <f t="shared" si="44"/>
        <v>15808</v>
      </c>
      <c r="T181" s="490">
        <f t="shared" si="45"/>
        <v>18324.849315068492</v>
      </c>
      <c r="U181" s="491">
        <f t="shared" si="46"/>
        <v>182.26</v>
      </c>
      <c r="V181" s="498">
        <f>(O181-N181)*11%</f>
        <v>415.07400000000001</v>
      </c>
      <c r="W181" s="462">
        <v>10</v>
      </c>
      <c r="X181" s="462"/>
      <c r="Y181" s="462">
        <v>1527.84</v>
      </c>
      <c r="Z181" s="462">
        <f t="shared" si="47"/>
        <v>2135.174</v>
      </c>
      <c r="AA181" s="462">
        <f t="shared" si="48"/>
        <v>1888.2260000000001</v>
      </c>
      <c r="AB181" s="489">
        <v>1000</v>
      </c>
    </row>
    <row r="182" spans="1:28" s="486" customFormat="1" ht="12">
      <c r="A182" s="456">
        <v>48</v>
      </c>
      <c r="B182" s="466" t="s">
        <v>634</v>
      </c>
      <c r="C182" s="497">
        <v>9901442306</v>
      </c>
      <c r="D182" s="459" t="s">
        <v>635</v>
      </c>
      <c r="E182" s="460" t="s">
        <v>1175</v>
      </c>
      <c r="F182" s="461">
        <v>31</v>
      </c>
      <c r="G182" s="462">
        <v>71.400000000000006</v>
      </c>
      <c r="H182" s="462">
        <f t="shared" si="37"/>
        <v>2213.4</v>
      </c>
      <c r="I182" s="462">
        <f t="shared" si="38"/>
        <v>8568</v>
      </c>
      <c r="J182" s="463">
        <v>4</v>
      </c>
      <c r="K182" s="465">
        <v>50</v>
      </c>
      <c r="L182" s="462">
        <f t="shared" si="39"/>
        <v>1760</v>
      </c>
      <c r="M182" s="462">
        <v>1510</v>
      </c>
      <c r="N182" s="462">
        <v>250</v>
      </c>
      <c r="O182" s="462">
        <f t="shared" si="40"/>
        <v>4023.4</v>
      </c>
      <c r="P182" s="488">
        <f t="shared" si="41"/>
        <v>1234</v>
      </c>
      <c r="Q182" s="489">
        <f t="shared" si="42"/>
        <v>1217.0958904109589</v>
      </c>
      <c r="R182" s="489">
        <f t="shared" si="43"/>
        <v>65.753424657534239</v>
      </c>
      <c r="S182" s="490">
        <f t="shared" si="44"/>
        <v>15808</v>
      </c>
      <c r="T182" s="490">
        <f t="shared" si="45"/>
        <v>18324.849315068492</v>
      </c>
      <c r="U182" s="491">
        <f t="shared" si="46"/>
        <v>182.26</v>
      </c>
      <c r="V182" s="498">
        <f>(O182-N182)*11%</f>
        <v>415.07400000000001</v>
      </c>
      <c r="W182" s="462">
        <v>10</v>
      </c>
      <c r="X182" s="462"/>
      <c r="Y182" s="462">
        <v>1326.51</v>
      </c>
      <c r="Z182" s="462">
        <f t="shared" si="47"/>
        <v>1933.8440000000001</v>
      </c>
      <c r="AA182" s="462">
        <f t="shared" si="48"/>
        <v>2089.556</v>
      </c>
      <c r="AB182" s="489">
        <v>1000</v>
      </c>
    </row>
    <row r="183" spans="1:28" s="486" customFormat="1" ht="12">
      <c r="A183" s="456">
        <v>49</v>
      </c>
      <c r="B183" s="457" t="s">
        <v>636</v>
      </c>
      <c r="C183" s="497">
        <v>9901443099</v>
      </c>
      <c r="D183" s="459" t="s">
        <v>637</v>
      </c>
      <c r="E183" s="460" t="s">
        <v>1175</v>
      </c>
      <c r="F183" s="461">
        <v>31</v>
      </c>
      <c r="G183" s="462">
        <v>71.400000000000006</v>
      </c>
      <c r="H183" s="462">
        <f t="shared" si="37"/>
        <v>2213.4</v>
      </c>
      <c r="I183" s="462">
        <f t="shared" si="38"/>
        <v>8568</v>
      </c>
      <c r="J183" s="463">
        <v>4</v>
      </c>
      <c r="K183" s="465">
        <v>50</v>
      </c>
      <c r="L183" s="462">
        <f t="shared" si="39"/>
        <v>1760</v>
      </c>
      <c r="M183" s="462">
        <v>1510</v>
      </c>
      <c r="N183" s="462">
        <v>250</v>
      </c>
      <c r="O183" s="462">
        <f t="shared" si="40"/>
        <v>4023.4</v>
      </c>
      <c r="P183" s="488">
        <f t="shared" si="41"/>
        <v>1234</v>
      </c>
      <c r="Q183" s="489">
        <f t="shared" si="42"/>
        <v>1217.0958904109589</v>
      </c>
      <c r="R183" s="489">
        <f t="shared" si="43"/>
        <v>65.753424657534239</v>
      </c>
      <c r="S183" s="490">
        <f t="shared" si="44"/>
        <v>15808</v>
      </c>
      <c r="T183" s="490">
        <f t="shared" si="45"/>
        <v>18324.849315068492</v>
      </c>
      <c r="U183" s="491">
        <f t="shared" si="46"/>
        <v>182.26</v>
      </c>
      <c r="V183" s="462"/>
      <c r="W183" s="462">
        <v>10</v>
      </c>
      <c r="X183" s="462"/>
      <c r="Y183" s="462">
        <v>1760.06</v>
      </c>
      <c r="Z183" s="462">
        <f t="shared" si="47"/>
        <v>1952.32</v>
      </c>
      <c r="AA183" s="462">
        <f t="shared" si="48"/>
        <v>2071.08</v>
      </c>
      <c r="AB183" s="489">
        <v>1000</v>
      </c>
    </row>
    <row r="184" spans="1:28" s="486" customFormat="1" ht="12">
      <c r="A184" s="456">
        <v>50</v>
      </c>
      <c r="B184" s="466" t="s">
        <v>638</v>
      </c>
      <c r="C184" s="497">
        <v>9901442895</v>
      </c>
      <c r="D184" s="459" t="s">
        <v>639</v>
      </c>
      <c r="E184" s="460" t="s">
        <v>1175</v>
      </c>
      <c r="F184" s="461">
        <v>31</v>
      </c>
      <c r="G184" s="462">
        <v>71.400000000000006</v>
      </c>
      <c r="H184" s="462">
        <f t="shared" si="37"/>
        <v>2213.4</v>
      </c>
      <c r="I184" s="462">
        <f t="shared" si="38"/>
        <v>8568</v>
      </c>
      <c r="J184" s="463">
        <v>4</v>
      </c>
      <c r="K184" s="465">
        <v>50</v>
      </c>
      <c r="L184" s="462">
        <f t="shared" si="39"/>
        <v>1760</v>
      </c>
      <c r="M184" s="462">
        <v>1510</v>
      </c>
      <c r="N184" s="462">
        <v>250</v>
      </c>
      <c r="O184" s="462">
        <f t="shared" si="40"/>
        <v>4023.4</v>
      </c>
      <c r="P184" s="488">
        <f t="shared" si="41"/>
        <v>1234</v>
      </c>
      <c r="Q184" s="489">
        <f t="shared" si="42"/>
        <v>1217.0958904109589</v>
      </c>
      <c r="R184" s="489">
        <f t="shared" si="43"/>
        <v>65.753424657534239</v>
      </c>
      <c r="S184" s="490">
        <f t="shared" si="44"/>
        <v>15808</v>
      </c>
      <c r="T184" s="490">
        <f t="shared" si="45"/>
        <v>18324.849315068492</v>
      </c>
      <c r="U184" s="491">
        <f t="shared" si="46"/>
        <v>182.26</v>
      </c>
      <c r="V184" s="462"/>
      <c r="W184" s="462">
        <v>10</v>
      </c>
      <c r="X184" s="462"/>
      <c r="Y184" s="462"/>
      <c r="Z184" s="462">
        <f t="shared" si="47"/>
        <v>192.26</v>
      </c>
      <c r="AA184" s="462">
        <f t="shared" si="48"/>
        <v>3831.1400000000003</v>
      </c>
      <c r="AB184" s="489">
        <v>1000</v>
      </c>
    </row>
    <row r="185" spans="1:28" s="486" customFormat="1" ht="12">
      <c r="A185" s="456">
        <v>51</v>
      </c>
      <c r="B185" s="457" t="s">
        <v>640</v>
      </c>
      <c r="C185" s="497">
        <v>9901442899</v>
      </c>
      <c r="D185" s="459" t="s">
        <v>641</v>
      </c>
      <c r="E185" s="460" t="s">
        <v>1175</v>
      </c>
      <c r="F185" s="461">
        <v>31</v>
      </c>
      <c r="G185" s="462">
        <v>71.400000000000006</v>
      </c>
      <c r="H185" s="462">
        <f t="shared" si="37"/>
        <v>2213.4</v>
      </c>
      <c r="I185" s="462">
        <f t="shared" si="38"/>
        <v>8568</v>
      </c>
      <c r="J185" s="463">
        <v>4</v>
      </c>
      <c r="K185" s="464">
        <v>50</v>
      </c>
      <c r="L185" s="462">
        <f t="shared" si="39"/>
        <v>1760</v>
      </c>
      <c r="M185" s="462">
        <v>1510</v>
      </c>
      <c r="N185" s="462">
        <v>250</v>
      </c>
      <c r="O185" s="462">
        <f t="shared" si="40"/>
        <v>4023.4</v>
      </c>
      <c r="P185" s="488">
        <f t="shared" si="41"/>
        <v>1234</v>
      </c>
      <c r="Q185" s="489">
        <f t="shared" si="42"/>
        <v>1217.0958904109589</v>
      </c>
      <c r="R185" s="489">
        <f t="shared" si="43"/>
        <v>65.753424657534239</v>
      </c>
      <c r="S185" s="490">
        <f t="shared" si="44"/>
        <v>15808</v>
      </c>
      <c r="T185" s="490">
        <f t="shared" si="45"/>
        <v>18324.849315068492</v>
      </c>
      <c r="U185" s="491">
        <f t="shared" si="46"/>
        <v>182.26</v>
      </c>
      <c r="V185" s="462"/>
      <c r="W185" s="462">
        <v>10</v>
      </c>
      <c r="X185" s="462"/>
      <c r="Y185" s="462"/>
      <c r="Z185" s="462">
        <f t="shared" si="47"/>
        <v>192.26</v>
      </c>
      <c r="AA185" s="462">
        <f t="shared" si="48"/>
        <v>3831.1400000000003</v>
      </c>
      <c r="AB185" s="489">
        <v>1000</v>
      </c>
    </row>
    <row r="186" spans="1:28" s="486" customFormat="1" ht="12">
      <c r="A186" s="456">
        <v>52</v>
      </c>
      <c r="B186" s="457" t="s">
        <v>642</v>
      </c>
      <c r="C186" s="497">
        <v>9901442862</v>
      </c>
      <c r="D186" s="459" t="s">
        <v>643</v>
      </c>
      <c r="E186" s="460" t="s">
        <v>1175</v>
      </c>
      <c r="F186" s="461">
        <v>31</v>
      </c>
      <c r="G186" s="462">
        <v>71.400000000000006</v>
      </c>
      <c r="H186" s="462">
        <f t="shared" si="37"/>
        <v>2213.4</v>
      </c>
      <c r="I186" s="462">
        <f t="shared" si="38"/>
        <v>8568</v>
      </c>
      <c r="J186" s="463">
        <v>4</v>
      </c>
      <c r="K186" s="464">
        <v>50</v>
      </c>
      <c r="L186" s="462">
        <f t="shared" si="39"/>
        <v>1760</v>
      </c>
      <c r="M186" s="462">
        <v>1510</v>
      </c>
      <c r="N186" s="462">
        <v>250</v>
      </c>
      <c r="O186" s="462">
        <f t="shared" si="40"/>
        <v>4023.4</v>
      </c>
      <c r="P186" s="488">
        <f t="shared" si="41"/>
        <v>1234</v>
      </c>
      <c r="Q186" s="489">
        <f t="shared" si="42"/>
        <v>1217.0958904109589</v>
      </c>
      <c r="R186" s="489">
        <f t="shared" si="43"/>
        <v>65.753424657534239</v>
      </c>
      <c r="S186" s="490">
        <f t="shared" si="44"/>
        <v>15808</v>
      </c>
      <c r="T186" s="490">
        <f t="shared" si="45"/>
        <v>18324.849315068492</v>
      </c>
      <c r="U186" s="491">
        <f t="shared" si="46"/>
        <v>182.26</v>
      </c>
      <c r="V186" s="498">
        <f>(O209-N209)*11%</f>
        <v>417.82400000000001</v>
      </c>
      <c r="W186" s="462">
        <v>10</v>
      </c>
      <c r="X186" s="462"/>
      <c r="Y186" s="462">
        <v>1611.71</v>
      </c>
      <c r="Z186" s="462">
        <f t="shared" si="47"/>
        <v>2221.7939999999999</v>
      </c>
      <c r="AA186" s="462">
        <f t="shared" si="48"/>
        <v>1801.6060000000002</v>
      </c>
      <c r="AB186" s="489">
        <v>1000</v>
      </c>
    </row>
    <row r="187" spans="1:28" s="486" customFormat="1" ht="12">
      <c r="A187" s="456">
        <v>53</v>
      </c>
      <c r="B187" s="466" t="s">
        <v>644</v>
      </c>
      <c r="C187" s="497">
        <v>9901442272</v>
      </c>
      <c r="D187" s="459" t="s">
        <v>645</v>
      </c>
      <c r="E187" s="460" t="s">
        <v>1175</v>
      </c>
      <c r="F187" s="461">
        <v>31</v>
      </c>
      <c r="G187" s="532">
        <v>71.400000000000006</v>
      </c>
      <c r="H187" s="462">
        <f t="shared" si="37"/>
        <v>2213.4</v>
      </c>
      <c r="I187" s="462">
        <f t="shared" si="38"/>
        <v>8568</v>
      </c>
      <c r="J187" s="463">
        <v>4</v>
      </c>
      <c r="K187" s="465">
        <v>50</v>
      </c>
      <c r="L187" s="462">
        <f t="shared" si="39"/>
        <v>1760</v>
      </c>
      <c r="M187" s="462">
        <v>1510</v>
      </c>
      <c r="N187" s="462">
        <v>250</v>
      </c>
      <c r="O187" s="462">
        <f t="shared" si="40"/>
        <v>4023.4</v>
      </c>
      <c r="P187" s="488">
        <f t="shared" si="41"/>
        <v>1234</v>
      </c>
      <c r="Q187" s="489">
        <f t="shared" si="42"/>
        <v>1217.0958904109589</v>
      </c>
      <c r="R187" s="489">
        <f t="shared" si="43"/>
        <v>65.753424657534239</v>
      </c>
      <c r="S187" s="490">
        <f t="shared" si="44"/>
        <v>15808</v>
      </c>
      <c r="T187" s="490">
        <f t="shared" si="45"/>
        <v>18324.849315068492</v>
      </c>
      <c r="U187" s="491">
        <f t="shared" si="46"/>
        <v>182.26</v>
      </c>
      <c r="V187" s="462"/>
      <c r="W187" s="462">
        <v>10</v>
      </c>
      <c r="X187" s="462"/>
      <c r="Y187" s="462">
        <v>1695.26</v>
      </c>
      <c r="Z187" s="462">
        <f t="shared" si="47"/>
        <v>1887.52</v>
      </c>
      <c r="AA187" s="462">
        <f t="shared" si="48"/>
        <v>2135.88</v>
      </c>
      <c r="AB187" s="489">
        <v>1000</v>
      </c>
    </row>
    <row r="188" spans="1:28" s="486" customFormat="1" ht="12">
      <c r="A188" s="456">
        <v>54</v>
      </c>
      <c r="B188" s="466" t="s">
        <v>646</v>
      </c>
      <c r="C188" s="497">
        <v>9901442949</v>
      </c>
      <c r="D188" s="459" t="s">
        <v>647</v>
      </c>
      <c r="E188" s="460" t="s">
        <v>1175</v>
      </c>
      <c r="F188" s="461">
        <v>31</v>
      </c>
      <c r="G188" s="462">
        <v>71.400000000000006</v>
      </c>
      <c r="H188" s="462">
        <f t="shared" si="37"/>
        <v>2213.4</v>
      </c>
      <c r="I188" s="462">
        <f t="shared" si="38"/>
        <v>8568</v>
      </c>
      <c r="J188" s="463">
        <v>4</v>
      </c>
      <c r="K188" s="464">
        <v>75</v>
      </c>
      <c r="L188" s="462">
        <f t="shared" si="39"/>
        <v>1760</v>
      </c>
      <c r="M188" s="462">
        <v>1510</v>
      </c>
      <c r="N188" s="462">
        <v>250</v>
      </c>
      <c r="O188" s="462">
        <f t="shared" si="40"/>
        <v>4048.4</v>
      </c>
      <c r="P188" s="488">
        <f t="shared" si="41"/>
        <v>1242.3333333333333</v>
      </c>
      <c r="Q188" s="489">
        <f t="shared" si="42"/>
        <v>1225.3150684931506</v>
      </c>
      <c r="R188" s="489">
        <f t="shared" si="43"/>
        <v>65.753424657534239</v>
      </c>
      <c r="S188" s="490">
        <f t="shared" si="44"/>
        <v>15908</v>
      </c>
      <c r="T188" s="490">
        <f t="shared" si="45"/>
        <v>18441.401826484016</v>
      </c>
      <c r="U188" s="491">
        <f t="shared" si="46"/>
        <v>183.46</v>
      </c>
      <c r="V188" s="498">
        <f>(O211-N211)*11%</f>
        <v>417.82400000000001</v>
      </c>
      <c r="W188" s="462"/>
      <c r="X188" s="462"/>
      <c r="Y188" s="462"/>
      <c r="Z188" s="462">
        <f t="shared" si="47"/>
        <v>601.28399999999999</v>
      </c>
      <c r="AA188" s="462">
        <f t="shared" si="48"/>
        <v>3447.116</v>
      </c>
      <c r="AB188" s="489">
        <v>1000</v>
      </c>
    </row>
    <row r="189" spans="1:28" s="486" customFormat="1" ht="12">
      <c r="A189" s="456">
        <v>55</v>
      </c>
      <c r="B189" s="457" t="s">
        <v>648</v>
      </c>
      <c r="C189" s="497">
        <v>9901451566</v>
      </c>
      <c r="D189" s="459" t="s">
        <v>649</v>
      </c>
      <c r="E189" s="460" t="s">
        <v>32</v>
      </c>
      <c r="F189" s="461">
        <v>31</v>
      </c>
      <c r="G189" s="462">
        <v>71.400000000000006</v>
      </c>
      <c r="H189" s="462">
        <f t="shared" si="37"/>
        <v>2213.4</v>
      </c>
      <c r="I189" s="462">
        <f t="shared" si="38"/>
        <v>8568</v>
      </c>
      <c r="J189" s="463">
        <v>4</v>
      </c>
      <c r="K189" s="464">
        <v>0</v>
      </c>
      <c r="L189" s="462">
        <f t="shared" si="39"/>
        <v>1760</v>
      </c>
      <c r="M189" s="462">
        <v>1510</v>
      </c>
      <c r="N189" s="462">
        <v>250</v>
      </c>
      <c r="O189" s="462">
        <f t="shared" si="40"/>
        <v>3973.4</v>
      </c>
      <c r="P189" s="488">
        <f t="shared" si="41"/>
        <v>1217.3333333333333</v>
      </c>
      <c r="Q189" s="489">
        <f t="shared" si="42"/>
        <v>1200.6575342465753</v>
      </c>
      <c r="R189" s="489">
        <f t="shared" si="43"/>
        <v>65.753424657534239</v>
      </c>
      <c r="S189" s="490">
        <f t="shared" si="44"/>
        <v>15608</v>
      </c>
      <c r="T189" s="490">
        <f t="shared" si="45"/>
        <v>18091.744292237443</v>
      </c>
      <c r="U189" s="491">
        <f t="shared" si="46"/>
        <v>179.84</v>
      </c>
      <c r="V189" s="498">
        <f>(O212-N212)*11%</f>
        <v>417.82400000000001</v>
      </c>
      <c r="W189" s="462">
        <v>10</v>
      </c>
      <c r="X189" s="462"/>
      <c r="Y189" s="462"/>
      <c r="Z189" s="462">
        <f t="shared" si="47"/>
        <v>607.66399999999999</v>
      </c>
      <c r="AA189" s="462">
        <f t="shared" si="48"/>
        <v>3365.7359999999999</v>
      </c>
      <c r="AB189" s="489">
        <v>1000</v>
      </c>
    </row>
    <row r="190" spans="1:28" s="486" customFormat="1" ht="12">
      <c r="A190" s="456">
        <v>56</v>
      </c>
      <c r="B190" s="457" t="s">
        <v>650</v>
      </c>
      <c r="C190" s="497">
        <v>9901442861</v>
      </c>
      <c r="D190" s="459" t="s">
        <v>651</v>
      </c>
      <c r="E190" s="460" t="s">
        <v>1175</v>
      </c>
      <c r="F190" s="461">
        <v>31</v>
      </c>
      <c r="G190" s="462">
        <v>71.400000000000006</v>
      </c>
      <c r="H190" s="462">
        <f t="shared" si="37"/>
        <v>2213.4</v>
      </c>
      <c r="I190" s="462">
        <f t="shared" si="38"/>
        <v>8568</v>
      </c>
      <c r="J190" s="463">
        <v>4</v>
      </c>
      <c r="K190" s="464">
        <v>50</v>
      </c>
      <c r="L190" s="462">
        <f t="shared" si="39"/>
        <v>1760</v>
      </c>
      <c r="M190" s="462">
        <v>1510</v>
      </c>
      <c r="N190" s="462">
        <v>250</v>
      </c>
      <c r="O190" s="462">
        <f t="shared" si="40"/>
        <v>4023.4</v>
      </c>
      <c r="P190" s="488">
        <f t="shared" si="41"/>
        <v>1234</v>
      </c>
      <c r="Q190" s="489">
        <f t="shared" si="42"/>
        <v>1217.0958904109589</v>
      </c>
      <c r="R190" s="489">
        <f t="shared" si="43"/>
        <v>65.753424657534239</v>
      </c>
      <c r="S190" s="490">
        <f t="shared" si="44"/>
        <v>15808</v>
      </c>
      <c r="T190" s="490">
        <f t="shared" si="45"/>
        <v>18324.849315068492</v>
      </c>
      <c r="U190" s="491">
        <f t="shared" si="46"/>
        <v>182.26</v>
      </c>
      <c r="V190" s="462"/>
      <c r="W190" s="462">
        <v>10</v>
      </c>
      <c r="X190" s="462"/>
      <c r="Y190" s="462">
        <v>1533.69</v>
      </c>
      <c r="Z190" s="462">
        <f t="shared" si="47"/>
        <v>1725.95</v>
      </c>
      <c r="AA190" s="462">
        <f t="shared" si="48"/>
        <v>2297.4499999999998</v>
      </c>
      <c r="AB190" s="489">
        <v>1000</v>
      </c>
    </row>
    <row r="191" spans="1:28" s="486" customFormat="1" ht="12">
      <c r="A191" s="456">
        <v>57</v>
      </c>
      <c r="B191" s="466" t="s">
        <v>652</v>
      </c>
      <c r="C191" s="497">
        <v>9901442585</v>
      </c>
      <c r="D191" s="459" t="s">
        <v>653</v>
      </c>
      <c r="E191" s="460" t="s">
        <v>1175</v>
      </c>
      <c r="F191" s="461">
        <v>31</v>
      </c>
      <c r="G191" s="462">
        <v>71.400000000000006</v>
      </c>
      <c r="H191" s="462">
        <f t="shared" si="37"/>
        <v>2213.4</v>
      </c>
      <c r="I191" s="462">
        <f t="shared" si="38"/>
        <v>8568</v>
      </c>
      <c r="J191" s="463">
        <v>4</v>
      </c>
      <c r="K191" s="464">
        <v>50</v>
      </c>
      <c r="L191" s="462">
        <f t="shared" si="39"/>
        <v>1760</v>
      </c>
      <c r="M191" s="462">
        <v>1510</v>
      </c>
      <c r="N191" s="462">
        <v>250</v>
      </c>
      <c r="O191" s="462">
        <f t="shared" si="40"/>
        <v>4023.4</v>
      </c>
      <c r="P191" s="488">
        <f t="shared" si="41"/>
        <v>1234</v>
      </c>
      <c r="Q191" s="489">
        <f t="shared" si="42"/>
        <v>1217.0958904109589</v>
      </c>
      <c r="R191" s="489">
        <f t="shared" si="43"/>
        <v>65.753424657534239</v>
      </c>
      <c r="S191" s="490">
        <f t="shared" si="44"/>
        <v>15808</v>
      </c>
      <c r="T191" s="490">
        <f t="shared" si="45"/>
        <v>18324.849315068492</v>
      </c>
      <c r="U191" s="491">
        <f t="shared" si="46"/>
        <v>182.26</v>
      </c>
      <c r="V191" s="462"/>
      <c r="W191" s="462">
        <v>10</v>
      </c>
      <c r="X191" s="462"/>
      <c r="Y191" s="462">
        <v>1826.88</v>
      </c>
      <c r="Z191" s="462">
        <f t="shared" si="47"/>
        <v>2019.14</v>
      </c>
      <c r="AA191" s="462">
        <f t="shared" si="48"/>
        <v>2004.26</v>
      </c>
      <c r="AB191" s="489">
        <v>1000</v>
      </c>
    </row>
    <row r="192" spans="1:28" s="486" customFormat="1" ht="12">
      <c r="A192" s="456">
        <v>58</v>
      </c>
      <c r="B192" s="457" t="s">
        <v>654</v>
      </c>
      <c r="C192" s="497">
        <v>9901442320</v>
      </c>
      <c r="D192" s="459" t="s">
        <v>655</v>
      </c>
      <c r="E192" s="460" t="s">
        <v>1175</v>
      </c>
      <c r="F192" s="461">
        <v>31</v>
      </c>
      <c r="G192" s="462">
        <v>71.400000000000006</v>
      </c>
      <c r="H192" s="462">
        <f t="shared" si="37"/>
        <v>2213.4</v>
      </c>
      <c r="I192" s="462">
        <f t="shared" si="38"/>
        <v>8568</v>
      </c>
      <c r="J192" s="463">
        <v>4</v>
      </c>
      <c r="K192" s="464">
        <v>75</v>
      </c>
      <c r="L192" s="462">
        <f t="shared" si="39"/>
        <v>1760</v>
      </c>
      <c r="M192" s="462">
        <v>1510</v>
      </c>
      <c r="N192" s="462">
        <v>250</v>
      </c>
      <c r="O192" s="462">
        <f t="shared" si="40"/>
        <v>4048.4</v>
      </c>
      <c r="P192" s="488">
        <f t="shared" si="41"/>
        <v>1242.3333333333333</v>
      </c>
      <c r="Q192" s="489">
        <f t="shared" si="42"/>
        <v>1225.3150684931506</v>
      </c>
      <c r="R192" s="489">
        <f t="shared" si="43"/>
        <v>65.753424657534239</v>
      </c>
      <c r="S192" s="490">
        <f t="shared" si="44"/>
        <v>15908</v>
      </c>
      <c r="T192" s="490">
        <f t="shared" si="45"/>
        <v>18441.401826484016</v>
      </c>
      <c r="U192" s="491">
        <f t="shared" si="46"/>
        <v>183.46</v>
      </c>
      <c r="V192" s="498">
        <f>(O215-N215)*11%</f>
        <v>417.82400000000001</v>
      </c>
      <c r="W192" s="462">
        <v>10</v>
      </c>
      <c r="X192" s="462"/>
      <c r="Y192" s="462">
        <v>1913.35</v>
      </c>
      <c r="Z192" s="462">
        <f t="shared" si="47"/>
        <v>2524.634</v>
      </c>
      <c r="AA192" s="462">
        <f t="shared" si="48"/>
        <v>1523.7660000000001</v>
      </c>
      <c r="AB192" s="489">
        <v>1000</v>
      </c>
    </row>
    <row r="193" spans="1:32" s="486" customFormat="1" ht="12">
      <c r="A193" s="456">
        <v>59</v>
      </c>
      <c r="B193" s="457" t="s">
        <v>656</v>
      </c>
      <c r="C193" s="497">
        <v>9901442230</v>
      </c>
      <c r="D193" s="459" t="s">
        <v>657</v>
      </c>
      <c r="E193" s="460" t="s">
        <v>1175</v>
      </c>
      <c r="F193" s="461">
        <v>31</v>
      </c>
      <c r="G193" s="462">
        <v>71.400000000000006</v>
      </c>
      <c r="H193" s="462">
        <f t="shared" si="37"/>
        <v>2213.4</v>
      </c>
      <c r="I193" s="462">
        <f t="shared" si="38"/>
        <v>8568</v>
      </c>
      <c r="J193" s="463">
        <v>4</v>
      </c>
      <c r="K193" s="465">
        <v>50</v>
      </c>
      <c r="L193" s="462">
        <f t="shared" si="39"/>
        <v>1760</v>
      </c>
      <c r="M193" s="462">
        <v>1510</v>
      </c>
      <c r="N193" s="462">
        <v>250</v>
      </c>
      <c r="O193" s="462">
        <f t="shared" si="40"/>
        <v>4023.4</v>
      </c>
      <c r="P193" s="488">
        <f t="shared" si="41"/>
        <v>1234</v>
      </c>
      <c r="Q193" s="489">
        <f t="shared" si="42"/>
        <v>1217.0958904109589</v>
      </c>
      <c r="R193" s="489">
        <f t="shared" si="43"/>
        <v>65.753424657534239</v>
      </c>
      <c r="S193" s="490">
        <f t="shared" si="44"/>
        <v>15808</v>
      </c>
      <c r="T193" s="490">
        <f t="shared" si="45"/>
        <v>18324.849315068492</v>
      </c>
      <c r="U193" s="491">
        <f t="shared" si="46"/>
        <v>182.26</v>
      </c>
      <c r="V193" s="462"/>
      <c r="W193" s="462">
        <v>10</v>
      </c>
      <c r="X193" s="462"/>
      <c r="Y193" s="462">
        <v>637.46</v>
      </c>
      <c r="Z193" s="462">
        <f t="shared" si="47"/>
        <v>829.72</v>
      </c>
      <c r="AA193" s="462">
        <f t="shared" si="48"/>
        <v>3193.6800000000003</v>
      </c>
      <c r="AB193" s="489">
        <v>1000</v>
      </c>
    </row>
    <row r="194" spans="1:32" s="486" customFormat="1" ht="12">
      <c r="A194" s="456">
        <v>60</v>
      </c>
      <c r="B194" s="466" t="s">
        <v>658</v>
      </c>
      <c r="C194" s="497">
        <v>9901442951</v>
      </c>
      <c r="D194" s="459" t="s">
        <v>659</v>
      </c>
      <c r="E194" s="460" t="s">
        <v>1175</v>
      </c>
      <c r="F194" s="461">
        <v>31</v>
      </c>
      <c r="G194" s="462">
        <v>71.400000000000006</v>
      </c>
      <c r="H194" s="462">
        <f t="shared" si="37"/>
        <v>2213.4</v>
      </c>
      <c r="I194" s="462">
        <f t="shared" si="38"/>
        <v>8568</v>
      </c>
      <c r="J194" s="463">
        <v>4</v>
      </c>
      <c r="K194" s="464">
        <v>75</v>
      </c>
      <c r="L194" s="462">
        <f t="shared" si="39"/>
        <v>1760</v>
      </c>
      <c r="M194" s="462">
        <v>1510</v>
      </c>
      <c r="N194" s="462">
        <v>250</v>
      </c>
      <c r="O194" s="462">
        <f t="shared" si="40"/>
        <v>4048.4</v>
      </c>
      <c r="P194" s="488">
        <f t="shared" si="41"/>
        <v>1242.3333333333333</v>
      </c>
      <c r="Q194" s="489">
        <f t="shared" si="42"/>
        <v>1225.3150684931506</v>
      </c>
      <c r="R194" s="489">
        <f t="shared" si="43"/>
        <v>65.753424657534239</v>
      </c>
      <c r="S194" s="490">
        <f t="shared" si="44"/>
        <v>15908</v>
      </c>
      <c r="T194" s="490">
        <f t="shared" si="45"/>
        <v>18441.401826484016</v>
      </c>
      <c r="U194" s="491">
        <f t="shared" si="46"/>
        <v>183.46</v>
      </c>
      <c r="V194" s="462"/>
      <c r="W194" s="462">
        <v>10</v>
      </c>
      <c r="X194" s="462"/>
      <c r="Y194" s="462"/>
      <c r="Z194" s="462">
        <f t="shared" si="47"/>
        <v>193.46</v>
      </c>
      <c r="AA194" s="462">
        <f t="shared" si="48"/>
        <v>3854.94</v>
      </c>
      <c r="AB194" s="489">
        <v>1000</v>
      </c>
    </row>
    <row r="195" spans="1:32" s="486" customFormat="1" ht="12">
      <c r="A195" s="456">
        <v>61</v>
      </c>
      <c r="B195" s="457" t="s">
        <v>660</v>
      </c>
      <c r="C195" s="497">
        <v>9901451057</v>
      </c>
      <c r="D195" s="459" t="s">
        <v>661</v>
      </c>
      <c r="E195" s="460" t="s">
        <v>1175</v>
      </c>
      <c r="F195" s="461">
        <v>31</v>
      </c>
      <c r="G195" s="462">
        <v>71.400000000000006</v>
      </c>
      <c r="H195" s="462">
        <f t="shared" si="37"/>
        <v>2213.4</v>
      </c>
      <c r="I195" s="462">
        <f t="shared" si="38"/>
        <v>8568</v>
      </c>
      <c r="J195" s="463">
        <v>4</v>
      </c>
      <c r="K195" s="464">
        <v>0</v>
      </c>
      <c r="L195" s="462">
        <f t="shared" si="39"/>
        <v>1760</v>
      </c>
      <c r="M195" s="462">
        <v>1510</v>
      </c>
      <c r="N195" s="462">
        <v>250</v>
      </c>
      <c r="O195" s="462">
        <f t="shared" si="40"/>
        <v>3973.4</v>
      </c>
      <c r="P195" s="488">
        <f t="shared" si="41"/>
        <v>1217.3333333333333</v>
      </c>
      <c r="Q195" s="489">
        <f t="shared" si="42"/>
        <v>1200.6575342465753</v>
      </c>
      <c r="R195" s="489">
        <f t="shared" si="43"/>
        <v>65.753424657534239</v>
      </c>
      <c r="S195" s="490">
        <f t="shared" si="44"/>
        <v>15608</v>
      </c>
      <c r="T195" s="490">
        <f t="shared" si="45"/>
        <v>18091.744292237443</v>
      </c>
      <c r="U195" s="491">
        <f t="shared" si="46"/>
        <v>179.84</v>
      </c>
      <c r="V195" s="498">
        <f>(O195-N195)*11%</f>
        <v>409.57400000000001</v>
      </c>
      <c r="W195" s="462">
        <v>10</v>
      </c>
      <c r="X195" s="462"/>
      <c r="Y195" s="462">
        <v>907.63</v>
      </c>
      <c r="Z195" s="462">
        <f t="shared" si="47"/>
        <v>1507.0439999999999</v>
      </c>
      <c r="AA195" s="462">
        <f t="shared" si="48"/>
        <v>2466.3560000000002</v>
      </c>
      <c r="AB195" s="489">
        <v>1000</v>
      </c>
    </row>
    <row r="196" spans="1:32" s="486" customFormat="1" ht="12">
      <c r="A196" s="456">
        <v>62</v>
      </c>
      <c r="B196" s="457" t="s">
        <v>662</v>
      </c>
      <c r="C196" s="497">
        <v>9901442944</v>
      </c>
      <c r="D196" s="459" t="s">
        <v>663</v>
      </c>
      <c r="E196" s="460" t="s">
        <v>1175</v>
      </c>
      <c r="F196" s="461">
        <v>31</v>
      </c>
      <c r="G196" s="462">
        <v>71.400000000000006</v>
      </c>
      <c r="H196" s="462">
        <f t="shared" si="37"/>
        <v>2213.4</v>
      </c>
      <c r="I196" s="462">
        <f t="shared" si="38"/>
        <v>8568</v>
      </c>
      <c r="J196" s="463">
        <v>4</v>
      </c>
      <c r="K196" s="464">
        <v>75</v>
      </c>
      <c r="L196" s="462">
        <f t="shared" si="39"/>
        <v>1760</v>
      </c>
      <c r="M196" s="462">
        <v>1510</v>
      </c>
      <c r="N196" s="462">
        <v>250</v>
      </c>
      <c r="O196" s="462">
        <f t="shared" si="40"/>
        <v>4048.4</v>
      </c>
      <c r="P196" s="488">
        <f t="shared" si="41"/>
        <v>1242.3333333333333</v>
      </c>
      <c r="Q196" s="489">
        <f t="shared" si="42"/>
        <v>1225.3150684931506</v>
      </c>
      <c r="R196" s="489">
        <f t="shared" si="43"/>
        <v>65.753424657534239</v>
      </c>
      <c r="S196" s="490">
        <f t="shared" si="44"/>
        <v>15908</v>
      </c>
      <c r="T196" s="490">
        <f t="shared" si="45"/>
        <v>18441.401826484016</v>
      </c>
      <c r="U196" s="491">
        <f t="shared" si="46"/>
        <v>183.46</v>
      </c>
      <c r="V196" s="462"/>
      <c r="W196" s="462">
        <v>10</v>
      </c>
      <c r="X196" s="462"/>
      <c r="Y196" s="462"/>
      <c r="Z196" s="462">
        <f t="shared" si="47"/>
        <v>193.46</v>
      </c>
      <c r="AA196" s="462">
        <f t="shared" si="48"/>
        <v>3854.94</v>
      </c>
      <c r="AB196" s="489">
        <v>1000</v>
      </c>
    </row>
    <row r="197" spans="1:32" s="486" customFormat="1" ht="12">
      <c r="A197" s="456">
        <v>63</v>
      </c>
      <c r="B197" s="466" t="s">
        <v>664</v>
      </c>
      <c r="C197" s="497">
        <v>9901443381</v>
      </c>
      <c r="D197" s="459" t="s">
        <v>665</v>
      </c>
      <c r="E197" s="460" t="s">
        <v>1175</v>
      </c>
      <c r="F197" s="461">
        <v>31</v>
      </c>
      <c r="G197" s="462">
        <v>71.400000000000006</v>
      </c>
      <c r="H197" s="462">
        <f t="shared" si="37"/>
        <v>2213.4</v>
      </c>
      <c r="I197" s="462">
        <f t="shared" si="38"/>
        <v>8568</v>
      </c>
      <c r="J197" s="463">
        <v>4</v>
      </c>
      <c r="K197" s="464">
        <v>50</v>
      </c>
      <c r="L197" s="462">
        <f t="shared" si="39"/>
        <v>1760</v>
      </c>
      <c r="M197" s="462">
        <v>1510</v>
      </c>
      <c r="N197" s="462">
        <v>250</v>
      </c>
      <c r="O197" s="462">
        <f t="shared" si="40"/>
        <v>4023.4</v>
      </c>
      <c r="P197" s="488">
        <f t="shared" si="41"/>
        <v>1234</v>
      </c>
      <c r="Q197" s="489">
        <f t="shared" si="42"/>
        <v>1217.0958904109589</v>
      </c>
      <c r="R197" s="489">
        <f t="shared" si="43"/>
        <v>65.753424657534239</v>
      </c>
      <c r="S197" s="490">
        <f t="shared" si="44"/>
        <v>15808</v>
      </c>
      <c r="T197" s="490">
        <f t="shared" si="45"/>
        <v>18324.849315068492</v>
      </c>
      <c r="U197" s="491">
        <f t="shared" si="46"/>
        <v>182.26</v>
      </c>
      <c r="V197" s="462"/>
      <c r="W197" s="462"/>
      <c r="X197" s="462"/>
      <c r="Y197" s="462">
        <v>1821.86</v>
      </c>
      <c r="Z197" s="462">
        <f t="shared" si="47"/>
        <v>2004.12</v>
      </c>
      <c r="AA197" s="462">
        <f t="shared" si="48"/>
        <v>2019.2800000000002</v>
      </c>
      <c r="AB197" s="489">
        <v>1000</v>
      </c>
    </row>
    <row r="198" spans="1:32" s="486" customFormat="1" ht="12">
      <c r="A198" s="456">
        <v>64</v>
      </c>
      <c r="B198" s="457" t="s">
        <v>666</v>
      </c>
      <c r="C198" s="497">
        <v>9901442934</v>
      </c>
      <c r="D198" s="459" t="s">
        <v>667</v>
      </c>
      <c r="E198" s="460" t="s">
        <v>1175</v>
      </c>
      <c r="F198" s="461">
        <v>31</v>
      </c>
      <c r="G198" s="462">
        <v>71.400000000000006</v>
      </c>
      <c r="H198" s="462">
        <f t="shared" si="37"/>
        <v>2213.4</v>
      </c>
      <c r="I198" s="462">
        <f t="shared" si="38"/>
        <v>8568</v>
      </c>
      <c r="J198" s="463">
        <v>4</v>
      </c>
      <c r="K198" s="464">
        <v>75</v>
      </c>
      <c r="L198" s="462">
        <f t="shared" si="39"/>
        <v>1760</v>
      </c>
      <c r="M198" s="462">
        <v>1510</v>
      </c>
      <c r="N198" s="462">
        <v>250</v>
      </c>
      <c r="O198" s="462">
        <f t="shared" si="40"/>
        <v>4048.4</v>
      </c>
      <c r="P198" s="488">
        <f t="shared" si="41"/>
        <v>1242.3333333333333</v>
      </c>
      <c r="Q198" s="489">
        <f t="shared" si="42"/>
        <v>1225.3150684931506</v>
      </c>
      <c r="R198" s="489">
        <f t="shared" si="43"/>
        <v>65.753424657534239</v>
      </c>
      <c r="S198" s="490">
        <f t="shared" si="44"/>
        <v>15908</v>
      </c>
      <c r="T198" s="490">
        <f t="shared" si="45"/>
        <v>18441.401826484016</v>
      </c>
      <c r="U198" s="491">
        <f t="shared" si="46"/>
        <v>183.46</v>
      </c>
      <c r="V198" s="462"/>
      <c r="W198" s="462">
        <v>10</v>
      </c>
      <c r="X198" s="462"/>
      <c r="Y198" s="462">
        <v>1096.83</v>
      </c>
      <c r="Z198" s="462">
        <f t="shared" si="47"/>
        <v>1290.29</v>
      </c>
      <c r="AA198" s="462">
        <f t="shared" si="48"/>
        <v>2758.11</v>
      </c>
      <c r="AB198" s="489">
        <v>1000</v>
      </c>
    </row>
    <row r="199" spans="1:32" s="486" customFormat="1" ht="12">
      <c r="A199" s="456">
        <v>65</v>
      </c>
      <c r="B199" s="466" t="s">
        <v>668</v>
      </c>
      <c r="C199" s="497">
        <v>9901442900</v>
      </c>
      <c r="D199" s="459" t="s">
        <v>669</v>
      </c>
      <c r="E199" s="460" t="s">
        <v>1175</v>
      </c>
      <c r="F199" s="461">
        <v>31</v>
      </c>
      <c r="G199" s="462">
        <v>71.400000000000006</v>
      </c>
      <c r="H199" s="462">
        <f t="shared" ref="H199:H234" si="49">+F199*G199</f>
        <v>2213.4</v>
      </c>
      <c r="I199" s="462">
        <f t="shared" ref="I199:I234" si="50">G199*120</f>
        <v>8568</v>
      </c>
      <c r="J199" s="463">
        <v>4</v>
      </c>
      <c r="K199" s="465">
        <v>50</v>
      </c>
      <c r="L199" s="462">
        <f t="shared" ref="L199:L234" si="51">M199+N199</f>
        <v>1760</v>
      </c>
      <c r="M199" s="462">
        <v>1510</v>
      </c>
      <c r="N199" s="462">
        <v>250</v>
      </c>
      <c r="O199" s="462">
        <f t="shared" ref="O199:O234" si="52">+H199+M199+N199+K199</f>
        <v>4023.4</v>
      </c>
      <c r="P199" s="488">
        <f t="shared" ref="P199:P234" si="53">(((G199*120)+(K199+M199)*4)/12)</f>
        <v>1234</v>
      </c>
      <c r="Q199" s="489">
        <f t="shared" ref="Q199:Q234" si="54">(((G199*30)+M199+K199)/365*120)</f>
        <v>1217.0958904109589</v>
      </c>
      <c r="R199" s="489">
        <f t="shared" ref="R199:R234" si="55">+(200/365)*120</f>
        <v>65.753424657534239</v>
      </c>
      <c r="S199" s="490">
        <f t="shared" ref="S199:S234" si="56">(((G199*120)+((K199+M199+N199)*4)))</f>
        <v>15808</v>
      </c>
      <c r="T199" s="490">
        <f t="shared" ref="T199:T234" si="57">+S199+R199+Q199+P199</f>
        <v>18324.849315068492</v>
      </c>
      <c r="U199" s="491">
        <f t="shared" ref="U199:U234" si="58">ROUND((((H199+K199+M199)*4.83)/100),2)</f>
        <v>182.26</v>
      </c>
      <c r="V199" s="498">
        <f>(O199-N199)*11%</f>
        <v>415.07400000000001</v>
      </c>
      <c r="W199" s="462">
        <v>10</v>
      </c>
      <c r="X199" s="462"/>
      <c r="Y199" s="462">
        <v>774.53</v>
      </c>
      <c r="Z199" s="462">
        <f t="shared" ref="Z199:Z234" si="59">V199+W199+X199+Y199+U199</f>
        <v>1381.864</v>
      </c>
      <c r="AA199" s="462">
        <f t="shared" ref="AA199:AA234" si="60">+O199-Z199</f>
        <v>2641.5360000000001</v>
      </c>
      <c r="AB199" s="489">
        <v>1000</v>
      </c>
    </row>
    <row r="200" spans="1:32" s="486" customFormat="1" ht="12">
      <c r="A200" s="456">
        <v>66</v>
      </c>
      <c r="B200" s="466" t="s">
        <v>670</v>
      </c>
      <c r="C200" s="497">
        <v>9901442356</v>
      </c>
      <c r="D200" s="459" t="s">
        <v>671</v>
      </c>
      <c r="E200" s="460" t="s">
        <v>1175</v>
      </c>
      <c r="F200" s="461">
        <v>31</v>
      </c>
      <c r="G200" s="462">
        <v>71.400000000000006</v>
      </c>
      <c r="H200" s="462">
        <f t="shared" si="49"/>
        <v>2213.4</v>
      </c>
      <c r="I200" s="462">
        <f t="shared" si="50"/>
        <v>8568</v>
      </c>
      <c r="J200" s="463">
        <v>4</v>
      </c>
      <c r="K200" s="464">
        <v>50</v>
      </c>
      <c r="L200" s="462">
        <f t="shared" si="51"/>
        <v>1760</v>
      </c>
      <c r="M200" s="462">
        <v>1510</v>
      </c>
      <c r="N200" s="462">
        <v>250</v>
      </c>
      <c r="O200" s="462">
        <f t="shared" si="52"/>
        <v>4023.4</v>
      </c>
      <c r="P200" s="488">
        <f t="shared" si="53"/>
        <v>1234</v>
      </c>
      <c r="Q200" s="489">
        <f t="shared" si="54"/>
        <v>1217.0958904109589</v>
      </c>
      <c r="R200" s="489">
        <f t="shared" si="55"/>
        <v>65.753424657534239</v>
      </c>
      <c r="S200" s="490">
        <f t="shared" si="56"/>
        <v>15808</v>
      </c>
      <c r="T200" s="490">
        <f t="shared" si="57"/>
        <v>18324.849315068492</v>
      </c>
      <c r="U200" s="491">
        <f t="shared" si="58"/>
        <v>182.26</v>
      </c>
      <c r="V200" s="462"/>
      <c r="W200" s="462">
        <v>10</v>
      </c>
      <c r="X200" s="462"/>
      <c r="Y200" s="462">
        <v>1837.08</v>
      </c>
      <c r="Z200" s="462">
        <f t="shared" si="59"/>
        <v>2029.34</v>
      </c>
      <c r="AA200" s="462">
        <f t="shared" si="60"/>
        <v>1994.0600000000002</v>
      </c>
      <c r="AB200" s="489">
        <v>1000</v>
      </c>
    </row>
    <row r="201" spans="1:32" s="486" customFormat="1" ht="12">
      <c r="A201" s="456">
        <v>67</v>
      </c>
      <c r="B201" s="457" t="s">
        <v>672</v>
      </c>
      <c r="C201" s="497">
        <v>9901442358</v>
      </c>
      <c r="D201" s="459" t="s">
        <v>673</v>
      </c>
      <c r="E201" s="460" t="s">
        <v>1175</v>
      </c>
      <c r="F201" s="461">
        <v>31</v>
      </c>
      <c r="G201" s="462">
        <v>71.400000000000006</v>
      </c>
      <c r="H201" s="462">
        <f t="shared" si="49"/>
        <v>2213.4</v>
      </c>
      <c r="I201" s="462">
        <f t="shared" si="50"/>
        <v>8568</v>
      </c>
      <c r="J201" s="463">
        <v>4</v>
      </c>
      <c r="K201" s="464">
        <v>50</v>
      </c>
      <c r="L201" s="462">
        <f t="shared" si="51"/>
        <v>1760</v>
      </c>
      <c r="M201" s="462">
        <v>1510</v>
      </c>
      <c r="N201" s="462">
        <v>250</v>
      </c>
      <c r="O201" s="462">
        <f t="shared" si="52"/>
        <v>4023.4</v>
      </c>
      <c r="P201" s="488">
        <f t="shared" si="53"/>
        <v>1234</v>
      </c>
      <c r="Q201" s="489">
        <f t="shared" si="54"/>
        <v>1217.0958904109589</v>
      </c>
      <c r="R201" s="489">
        <f t="shared" si="55"/>
        <v>65.753424657534239</v>
      </c>
      <c r="S201" s="490">
        <f t="shared" si="56"/>
        <v>15808</v>
      </c>
      <c r="T201" s="490">
        <f t="shared" si="57"/>
        <v>18324.849315068492</v>
      </c>
      <c r="U201" s="491">
        <f t="shared" si="58"/>
        <v>182.26</v>
      </c>
      <c r="V201" s="498">
        <f>(O201-N201)*11%</f>
        <v>415.07400000000001</v>
      </c>
      <c r="W201" s="462">
        <v>10</v>
      </c>
      <c r="X201" s="462"/>
      <c r="Y201" s="462"/>
      <c r="Z201" s="462">
        <f t="shared" si="59"/>
        <v>607.33400000000006</v>
      </c>
      <c r="AA201" s="462">
        <f t="shared" si="60"/>
        <v>3416.0659999999998</v>
      </c>
      <c r="AB201" s="489">
        <v>1000</v>
      </c>
    </row>
    <row r="202" spans="1:32" s="486" customFormat="1" ht="12">
      <c r="A202" s="456">
        <v>68</v>
      </c>
      <c r="B202" s="457" t="s">
        <v>674</v>
      </c>
      <c r="C202" s="497">
        <v>9901443378</v>
      </c>
      <c r="D202" s="459" t="s">
        <v>675</v>
      </c>
      <c r="E202" s="460" t="s">
        <v>1175</v>
      </c>
      <c r="F202" s="461">
        <v>31</v>
      </c>
      <c r="G202" s="462">
        <v>71.400000000000006</v>
      </c>
      <c r="H202" s="462">
        <f t="shared" si="49"/>
        <v>2213.4</v>
      </c>
      <c r="I202" s="462">
        <f t="shared" si="50"/>
        <v>8568</v>
      </c>
      <c r="J202" s="463">
        <v>4</v>
      </c>
      <c r="K202" s="464">
        <v>75</v>
      </c>
      <c r="L202" s="462">
        <f t="shared" si="51"/>
        <v>1760</v>
      </c>
      <c r="M202" s="462">
        <v>1510</v>
      </c>
      <c r="N202" s="462">
        <v>250</v>
      </c>
      <c r="O202" s="462">
        <f t="shared" si="52"/>
        <v>4048.4</v>
      </c>
      <c r="P202" s="488">
        <f t="shared" si="53"/>
        <v>1242.3333333333333</v>
      </c>
      <c r="Q202" s="489">
        <f t="shared" si="54"/>
        <v>1225.3150684931506</v>
      </c>
      <c r="R202" s="489">
        <f t="shared" si="55"/>
        <v>65.753424657534239</v>
      </c>
      <c r="S202" s="490">
        <f t="shared" si="56"/>
        <v>15908</v>
      </c>
      <c r="T202" s="490">
        <f t="shared" si="57"/>
        <v>18441.401826484016</v>
      </c>
      <c r="U202" s="491">
        <f t="shared" si="58"/>
        <v>183.46</v>
      </c>
      <c r="V202" s="498">
        <f>(O202-N202)*11%</f>
        <v>417.82400000000001</v>
      </c>
      <c r="W202" s="462">
        <v>10</v>
      </c>
      <c r="X202" s="462"/>
      <c r="Y202" s="462"/>
      <c r="Z202" s="462">
        <f t="shared" si="59"/>
        <v>611.28399999999999</v>
      </c>
      <c r="AA202" s="462">
        <f t="shared" si="60"/>
        <v>3437.116</v>
      </c>
      <c r="AB202" s="489">
        <v>1000</v>
      </c>
    </row>
    <row r="203" spans="1:32" s="486" customFormat="1" ht="12">
      <c r="A203" s="456">
        <v>69</v>
      </c>
      <c r="B203" s="466" t="s">
        <v>676</v>
      </c>
      <c r="C203" s="497">
        <v>9901443101</v>
      </c>
      <c r="D203" s="459" t="s">
        <v>677</v>
      </c>
      <c r="E203" s="460" t="s">
        <v>1175</v>
      </c>
      <c r="F203" s="461">
        <v>31</v>
      </c>
      <c r="G203" s="462">
        <v>71.400000000000006</v>
      </c>
      <c r="H203" s="462">
        <f t="shared" si="49"/>
        <v>2213.4</v>
      </c>
      <c r="I203" s="462">
        <f t="shared" si="50"/>
        <v>8568</v>
      </c>
      <c r="J203" s="463">
        <v>4</v>
      </c>
      <c r="K203" s="465">
        <v>50</v>
      </c>
      <c r="L203" s="462">
        <f t="shared" si="51"/>
        <v>1760</v>
      </c>
      <c r="M203" s="462">
        <v>1510</v>
      </c>
      <c r="N203" s="462">
        <v>250</v>
      </c>
      <c r="O203" s="462">
        <f t="shared" si="52"/>
        <v>4023.4</v>
      </c>
      <c r="P203" s="488">
        <f t="shared" si="53"/>
        <v>1234</v>
      </c>
      <c r="Q203" s="489">
        <f t="shared" si="54"/>
        <v>1217.0958904109589</v>
      </c>
      <c r="R203" s="489">
        <f t="shared" si="55"/>
        <v>65.753424657534239</v>
      </c>
      <c r="S203" s="490">
        <f t="shared" si="56"/>
        <v>15808</v>
      </c>
      <c r="T203" s="490">
        <f t="shared" si="57"/>
        <v>18324.849315068492</v>
      </c>
      <c r="U203" s="491">
        <f t="shared" si="58"/>
        <v>182.26</v>
      </c>
      <c r="V203" s="498">
        <f>(O203-N203)*11%</f>
        <v>415.07400000000001</v>
      </c>
      <c r="W203" s="462">
        <v>10</v>
      </c>
      <c r="X203" s="462"/>
      <c r="Y203" s="462">
        <v>1950.12</v>
      </c>
      <c r="Z203" s="462">
        <f t="shared" si="59"/>
        <v>2557.4539999999997</v>
      </c>
      <c r="AA203" s="462">
        <f t="shared" si="60"/>
        <v>1465.9460000000004</v>
      </c>
      <c r="AB203" s="489">
        <v>1000</v>
      </c>
    </row>
    <row r="204" spans="1:32" s="486" customFormat="1" ht="12">
      <c r="A204" s="456">
        <v>70</v>
      </c>
      <c r="B204" s="457" t="s">
        <v>678</v>
      </c>
      <c r="C204" s="497">
        <v>9901442587</v>
      </c>
      <c r="D204" s="459" t="s">
        <v>679</v>
      </c>
      <c r="E204" s="460" t="s">
        <v>1175</v>
      </c>
      <c r="F204" s="461">
        <v>31</v>
      </c>
      <c r="G204" s="462">
        <v>71.400000000000006</v>
      </c>
      <c r="H204" s="462">
        <f t="shared" si="49"/>
        <v>2213.4</v>
      </c>
      <c r="I204" s="462">
        <f t="shared" si="50"/>
        <v>8568</v>
      </c>
      <c r="J204" s="463">
        <v>4</v>
      </c>
      <c r="K204" s="464">
        <v>50</v>
      </c>
      <c r="L204" s="462">
        <f t="shared" si="51"/>
        <v>1760</v>
      </c>
      <c r="M204" s="462">
        <v>1510</v>
      </c>
      <c r="N204" s="462">
        <v>250</v>
      </c>
      <c r="O204" s="462">
        <f t="shared" si="52"/>
        <v>4023.4</v>
      </c>
      <c r="P204" s="488">
        <f t="shared" si="53"/>
        <v>1234</v>
      </c>
      <c r="Q204" s="489">
        <f t="shared" si="54"/>
        <v>1217.0958904109589</v>
      </c>
      <c r="R204" s="489">
        <f t="shared" si="55"/>
        <v>65.753424657534239</v>
      </c>
      <c r="S204" s="490">
        <f t="shared" si="56"/>
        <v>15808</v>
      </c>
      <c r="T204" s="490">
        <f t="shared" si="57"/>
        <v>18324.849315068492</v>
      </c>
      <c r="U204" s="491">
        <f t="shared" si="58"/>
        <v>182.26</v>
      </c>
      <c r="V204" s="498">
        <f>(O204-N204)*11%</f>
        <v>415.07400000000001</v>
      </c>
      <c r="W204" s="462">
        <v>10</v>
      </c>
      <c r="X204" s="462"/>
      <c r="Y204" s="462"/>
      <c r="Z204" s="462">
        <f t="shared" si="59"/>
        <v>607.33400000000006</v>
      </c>
      <c r="AA204" s="462">
        <f t="shared" si="60"/>
        <v>3416.0659999999998</v>
      </c>
      <c r="AB204" s="489">
        <v>1000</v>
      </c>
    </row>
    <row r="205" spans="1:32" s="486" customFormat="1" ht="12">
      <c r="A205" s="456">
        <v>71</v>
      </c>
      <c r="B205" s="457" t="s">
        <v>680</v>
      </c>
      <c r="C205" s="497">
        <v>9901442957</v>
      </c>
      <c r="D205" s="459" t="s">
        <v>681</v>
      </c>
      <c r="E205" s="460" t="s">
        <v>1175</v>
      </c>
      <c r="F205" s="461">
        <v>31</v>
      </c>
      <c r="G205" s="462">
        <v>71.400000000000006</v>
      </c>
      <c r="H205" s="462">
        <f t="shared" si="49"/>
        <v>2213.4</v>
      </c>
      <c r="I205" s="462">
        <f t="shared" si="50"/>
        <v>8568</v>
      </c>
      <c r="J205" s="463">
        <v>4</v>
      </c>
      <c r="K205" s="464">
        <v>75</v>
      </c>
      <c r="L205" s="462">
        <f t="shared" si="51"/>
        <v>1760</v>
      </c>
      <c r="M205" s="462">
        <v>1510</v>
      </c>
      <c r="N205" s="462">
        <v>250</v>
      </c>
      <c r="O205" s="462">
        <f t="shared" si="52"/>
        <v>4048.4</v>
      </c>
      <c r="P205" s="488">
        <f t="shared" si="53"/>
        <v>1242.3333333333333</v>
      </c>
      <c r="Q205" s="489">
        <f t="shared" si="54"/>
        <v>1225.3150684931506</v>
      </c>
      <c r="R205" s="489">
        <f t="shared" si="55"/>
        <v>65.753424657534239</v>
      </c>
      <c r="S205" s="490">
        <f t="shared" si="56"/>
        <v>15908</v>
      </c>
      <c r="T205" s="490">
        <f t="shared" si="57"/>
        <v>18441.401826484016</v>
      </c>
      <c r="U205" s="491">
        <f t="shared" si="58"/>
        <v>183.46</v>
      </c>
      <c r="V205" s="498">
        <f>(O205-N205)*11%</f>
        <v>417.82400000000001</v>
      </c>
      <c r="W205" s="462">
        <v>10</v>
      </c>
      <c r="X205" s="462"/>
      <c r="Y205" s="462">
        <v>1877.52</v>
      </c>
      <c r="Z205" s="462">
        <f t="shared" si="59"/>
        <v>2488.8040000000001</v>
      </c>
      <c r="AA205" s="462">
        <f t="shared" si="60"/>
        <v>1559.596</v>
      </c>
      <c r="AB205" s="489">
        <v>1000</v>
      </c>
    </row>
    <row r="206" spans="1:32" s="486" customFormat="1" ht="12">
      <c r="A206" s="456">
        <v>72</v>
      </c>
      <c r="B206" s="466" t="s">
        <v>682</v>
      </c>
      <c r="C206" s="497">
        <v>9901443750</v>
      </c>
      <c r="D206" s="459" t="s">
        <v>683</v>
      </c>
      <c r="E206" s="460" t="s">
        <v>1175</v>
      </c>
      <c r="F206" s="461">
        <v>31</v>
      </c>
      <c r="G206" s="462">
        <v>71.400000000000006</v>
      </c>
      <c r="H206" s="462">
        <f t="shared" si="49"/>
        <v>2213.4</v>
      </c>
      <c r="I206" s="462">
        <f t="shared" si="50"/>
        <v>8568</v>
      </c>
      <c r="J206" s="463">
        <v>4</v>
      </c>
      <c r="K206" s="464">
        <v>50</v>
      </c>
      <c r="L206" s="462">
        <f t="shared" si="51"/>
        <v>1760</v>
      </c>
      <c r="M206" s="462">
        <v>1510</v>
      </c>
      <c r="N206" s="462">
        <v>250</v>
      </c>
      <c r="O206" s="462">
        <f t="shared" si="52"/>
        <v>4023.4</v>
      </c>
      <c r="P206" s="488">
        <f t="shared" si="53"/>
        <v>1234</v>
      </c>
      <c r="Q206" s="489">
        <f t="shared" si="54"/>
        <v>1217.0958904109589</v>
      </c>
      <c r="R206" s="489">
        <f t="shared" si="55"/>
        <v>65.753424657534239</v>
      </c>
      <c r="S206" s="490">
        <f t="shared" si="56"/>
        <v>15808</v>
      </c>
      <c r="T206" s="490">
        <f t="shared" si="57"/>
        <v>18324.849315068492</v>
      </c>
      <c r="U206" s="491">
        <f t="shared" si="58"/>
        <v>182.26</v>
      </c>
      <c r="V206" s="462"/>
      <c r="W206" s="462">
        <v>10</v>
      </c>
      <c r="X206" s="462"/>
      <c r="Y206" s="462"/>
      <c r="Z206" s="462">
        <f t="shared" si="59"/>
        <v>192.26</v>
      </c>
      <c r="AA206" s="462">
        <f t="shared" si="60"/>
        <v>3831.1400000000003</v>
      </c>
      <c r="AB206" s="489">
        <v>1000</v>
      </c>
      <c r="AF206" s="486">
        <v>25</v>
      </c>
    </row>
    <row r="207" spans="1:32" s="507" customFormat="1" ht="12">
      <c r="A207" s="456">
        <v>73</v>
      </c>
      <c r="B207" s="457" t="s">
        <v>684</v>
      </c>
      <c r="C207" s="497">
        <v>9901442683</v>
      </c>
      <c r="D207" s="459" t="s">
        <v>685</v>
      </c>
      <c r="E207" s="460" t="s">
        <v>1175</v>
      </c>
      <c r="F207" s="461">
        <v>31</v>
      </c>
      <c r="G207" s="498">
        <v>71.400000000000006</v>
      </c>
      <c r="H207" s="462">
        <f t="shared" si="49"/>
        <v>2213.4</v>
      </c>
      <c r="I207" s="462">
        <f t="shared" si="50"/>
        <v>8568</v>
      </c>
      <c r="J207" s="463">
        <v>4</v>
      </c>
      <c r="K207" s="533">
        <v>50</v>
      </c>
      <c r="L207" s="462">
        <f t="shared" si="51"/>
        <v>1760</v>
      </c>
      <c r="M207" s="462">
        <v>1510</v>
      </c>
      <c r="N207" s="462">
        <v>250</v>
      </c>
      <c r="O207" s="462">
        <f t="shared" si="52"/>
        <v>4023.4</v>
      </c>
      <c r="P207" s="488">
        <f t="shared" si="53"/>
        <v>1234</v>
      </c>
      <c r="Q207" s="489">
        <f t="shared" si="54"/>
        <v>1217.0958904109589</v>
      </c>
      <c r="R207" s="489">
        <f t="shared" si="55"/>
        <v>65.753424657534239</v>
      </c>
      <c r="S207" s="490">
        <f t="shared" si="56"/>
        <v>15808</v>
      </c>
      <c r="T207" s="490">
        <f t="shared" si="57"/>
        <v>18324.849315068492</v>
      </c>
      <c r="U207" s="491">
        <f t="shared" si="58"/>
        <v>182.26</v>
      </c>
      <c r="V207" s="498"/>
      <c r="W207" s="498"/>
      <c r="X207" s="498"/>
      <c r="Y207" s="498"/>
      <c r="Z207" s="462">
        <f t="shared" si="59"/>
        <v>182.26</v>
      </c>
      <c r="AA207" s="462">
        <f t="shared" si="60"/>
        <v>3841.1400000000003</v>
      </c>
      <c r="AB207" s="489">
        <v>1000</v>
      </c>
    </row>
    <row r="208" spans="1:32" s="507" customFormat="1" ht="12">
      <c r="A208" s="456">
        <v>74</v>
      </c>
      <c r="B208" s="457" t="s">
        <v>686</v>
      </c>
      <c r="C208" s="497">
        <v>9901442665</v>
      </c>
      <c r="D208" s="459" t="s">
        <v>687</v>
      </c>
      <c r="E208" s="460" t="s">
        <v>1175</v>
      </c>
      <c r="F208" s="461">
        <v>31</v>
      </c>
      <c r="G208" s="498">
        <v>71.400000000000006</v>
      </c>
      <c r="H208" s="462">
        <f t="shared" si="49"/>
        <v>2213.4</v>
      </c>
      <c r="I208" s="462">
        <f t="shared" si="50"/>
        <v>8568</v>
      </c>
      <c r="J208" s="463">
        <v>4</v>
      </c>
      <c r="K208" s="534">
        <v>50</v>
      </c>
      <c r="L208" s="462">
        <f t="shared" si="51"/>
        <v>1760</v>
      </c>
      <c r="M208" s="462">
        <v>1510</v>
      </c>
      <c r="N208" s="462">
        <v>250</v>
      </c>
      <c r="O208" s="462">
        <f t="shared" si="52"/>
        <v>4023.4</v>
      </c>
      <c r="P208" s="488">
        <f t="shared" si="53"/>
        <v>1234</v>
      </c>
      <c r="Q208" s="489">
        <f t="shared" si="54"/>
        <v>1217.0958904109589</v>
      </c>
      <c r="R208" s="489">
        <f t="shared" si="55"/>
        <v>65.753424657534239</v>
      </c>
      <c r="S208" s="490">
        <f t="shared" si="56"/>
        <v>15808</v>
      </c>
      <c r="T208" s="490">
        <f t="shared" si="57"/>
        <v>18324.849315068492</v>
      </c>
      <c r="U208" s="491">
        <f t="shared" si="58"/>
        <v>182.26</v>
      </c>
      <c r="V208" s="498">
        <f>(O208-N208)*11%</f>
        <v>415.07400000000001</v>
      </c>
      <c r="W208" s="498">
        <v>10</v>
      </c>
      <c r="X208" s="498"/>
      <c r="Y208" s="498">
        <v>739.43</v>
      </c>
      <c r="Z208" s="462">
        <f t="shared" si="59"/>
        <v>1346.7639999999999</v>
      </c>
      <c r="AA208" s="462">
        <f t="shared" si="60"/>
        <v>2676.6360000000004</v>
      </c>
      <c r="AB208" s="489">
        <v>1000</v>
      </c>
    </row>
    <row r="209" spans="1:28" s="507" customFormat="1" ht="12">
      <c r="A209" s="456">
        <v>75</v>
      </c>
      <c r="B209" s="466" t="s">
        <v>688</v>
      </c>
      <c r="C209" s="497">
        <v>9901442948</v>
      </c>
      <c r="D209" s="459" t="s">
        <v>689</v>
      </c>
      <c r="E209" s="460" t="s">
        <v>32</v>
      </c>
      <c r="F209" s="461">
        <v>31</v>
      </c>
      <c r="G209" s="498">
        <v>71.400000000000006</v>
      </c>
      <c r="H209" s="462">
        <f t="shared" si="49"/>
        <v>2213.4</v>
      </c>
      <c r="I209" s="462">
        <f t="shared" si="50"/>
        <v>8568</v>
      </c>
      <c r="J209" s="463">
        <v>4</v>
      </c>
      <c r="K209" s="534">
        <v>75</v>
      </c>
      <c r="L209" s="462">
        <f t="shared" si="51"/>
        <v>1760</v>
      </c>
      <c r="M209" s="462">
        <v>1510</v>
      </c>
      <c r="N209" s="462">
        <v>250</v>
      </c>
      <c r="O209" s="462">
        <f t="shared" si="52"/>
        <v>4048.4</v>
      </c>
      <c r="P209" s="488">
        <f t="shared" si="53"/>
        <v>1242.3333333333333</v>
      </c>
      <c r="Q209" s="489">
        <f t="shared" si="54"/>
        <v>1225.3150684931506</v>
      </c>
      <c r="R209" s="489">
        <f t="shared" si="55"/>
        <v>65.753424657534239</v>
      </c>
      <c r="S209" s="490">
        <f t="shared" si="56"/>
        <v>15908</v>
      </c>
      <c r="T209" s="490">
        <f t="shared" si="57"/>
        <v>18441.401826484016</v>
      </c>
      <c r="U209" s="491">
        <f t="shared" si="58"/>
        <v>183.46</v>
      </c>
      <c r="V209" s="498">
        <f>(O209-N209)*11%</f>
        <v>417.82400000000001</v>
      </c>
      <c r="W209" s="498">
        <v>10</v>
      </c>
      <c r="X209" s="498"/>
      <c r="Y209" s="498"/>
      <c r="Z209" s="462">
        <f t="shared" si="59"/>
        <v>611.28399999999999</v>
      </c>
      <c r="AA209" s="462">
        <f t="shared" si="60"/>
        <v>3437.116</v>
      </c>
      <c r="AB209" s="489">
        <v>1000</v>
      </c>
    </row>
    <row r="210" spans="1:28" s="507" customFormat="1" ht="12">
      <c r="A210" s="456">
        <v>76</v>
      </c>
      <c r="B210" s="457" t="s">
        <v>690</v>
      </c>
      <c r="C210" s="497">
        <v>9901442565</v>
      </c>
      <c r="D210" s="459" t="s">
        <v>691</v>
      </c>
      <c r="E210" s="460" t="s">
        <v>1175</v>
      </c>
      <c r="F210" s="461">
        <v>31</v>
      </c>
      <c r="G210" s="498">
        <v>71.400000000000006</v>
      </c>
      <c r="H210" s="462">
        <f t="shared" si="49"/>
        <v>2213.4</v>
      </c>
      <c r="I210" s="462">
        <f t="shared" si="50"/>
        <v>8568</v>
      </c>
      <c r="J210" s="463">
        <v>4</v>
      </c>
      <c r="K210" s="534">
        <v>75</v>
      </c>
      <c r="L210" s="462">
        <f t="shared" si="51"/>
        <v>1760</v>
      </c>
      <c r="M210" s="462">
        <v>1510</v>
      </c>
      <c r="N210" s="462">
        <v>250</v>
      </c>
      <c r="O210" s="462">
        <f t="shared" si="52"/>
        <v>4048.4</v>
      </c>
      <c r="P210" s="488">
        <f t="shared" si="53"/>
        <v>1242.3333333333333</v>
      </c>
      <c r="Q210" s="489">
        <f t="shared" si="54"/>
        <v>1225.3150684931506</v>
      </c>
      <c r="R210" s="489">
        <f t="shared" si="55"/>
        <v>65.753424657534239</v>
      </c>
      <c r="S210" s="490">
        <f t="shared" si="56"/>
        <v>15908</v>
      </c>
      <c r="T210" s="490">
        <f t="shared" si="57"/>
        <v>18441.401826484016</v>
      </c>
      <c r="U210" s="491">
        <f t="shared" si="58"/>
        <v>183.46</v>
      </c>
      <c r="V210" s="498"/>
      <c r="W210" s="462">
        <v>10</v>
      </c>
      <c r="X210" s="498"/>
      <c r="Y210" s="498">
        <v>1854.29</v>
      </c>
      <c r="Z210" s="462">
        <f t="shared" si="59"/>
        <v>2047.75</v>
      </c>
      <c r="AA210" s="462">
        <f t="shared" si="60"/>
        <v>2000.65</v>
      </c>
      <c r="AB210" s="489">
        <v>1000</v>
      </c>
    </row>
    <row r="211" spans="1:28" s="507" customFormat="1" ht="12">
      <c r="A211" s="456">
        <v>77</v>
      </c>
      <c r="B211" s="457" t="s">
        <v>692</v>
      </c>
      <c r="C211" s="497">
        <v>950109478</v>
      </c>
      <c r="D211" s="459" t="s">
        <v>693</v>
      </c>
      <c r="E211" s="460" t="s">
        <v>1175</v>
      </c>
      <c r="F211" s="461">
        <v>31</v>
      </c>
      <c r="G211" s="498">
        <v>71.400000000000006</v>
      </c>
      <c r="H211" s="462">
        <f t="shared" si="49"/>
        <v>2213.4</v>
      </c>
      <c r="I211" s="462">
        <f t="shared" si="50"/>
        <v>8568</v>
      </c>
      <c r="J211" s="463">
        <v>4</v>
      </c>
      <c r="K211" s="534">
        <v>75</v>
      </c>
      <c r="L211" s="462">
        <f t="shared" si="51"/>
        <v>1760</v>
      </c>
      <c r="M211" s="462">
        <v>1510</v>
      </c>
      <c r="N211" s="462">
        <v>250</v>
      </c>
      <c r="O211" s="462">
        <f t="shared" si="52"/>
        <v>4048.4</v>
      </c>
      <c r="P211" s="488">
        <f t="shared" si="53"/>
        <v>1242.3333333333333</v>
      </c>
      <c r="Q211" s="489">
        <f t="shared" si="54"/>
        <v>1225.3150684931506</v>
      </c>
      <c r="R211" s="489">
        <f t="shared" si="55"/>
        <v>65.753424657534239</v>
      </c>
      <c r="S211" s="490">
        <f t="shared" si="56"/>
        <v>15908</v>
      </c>
      <c r="T211" s="490">
        <f t="shared" si="57"/>
        <v>18441.401826484016</v>
      </c>
      <c r="U211" s="491">
        <f t="shared" si="58"/>
        <v>183.46</v>
      </c>
      <c r="V211" s="498">
        <f>(O211-N211)*11%</f>
        <v>417.82400000000001</v>
      </c>
      <c r="W211" s="498">
        <v>10</v>
      </c>
      <c r="X211" s="498"/>
      <c r="Y211" s="498"/>
      <c r="Z211" s="462">
        <f t="shared" si="59"/>
        <v>611.28399999999999</v>
      </c>
      <c r="AA211" s="462">
        <f t="shared" si="60"/>
        <v>3437.116</v>
      </c>
      <c r="AB211" s="489">
        <v>1000</v>
      </c>
    </row>
    <row r="212" spans="1:28" s="507" customFormat="1" ht="12">
      <c r="A212" s="456">
        <v>78</v>
      </c>
      <c r="B212" s="466" t="s">
        <v>694</v>
      </c>
      <c r="C212" s="497">
        <v>9901442945</v>
      </c>
      <c r="D212" s="459" t="s">
        <v>695</v>
      </c>
      <c r="E212" s="460" t="s">
        <v>32</v>
      </c>
      <c r="F212" s="461">
        <v>31</v>
      </c>
      <c r="G212" s="498">
        <v>71.400000000000006</v>
      </c>
      <c r="H212" s="462">
        <f t="shared" si="49"/>
        <v>2213.4</v>
      </c>
      <c r="I212" s="462">
        <f t="shared" si="50"/>
        <v>8568</v>
      </c>
      <c r="J212" s="463">
        <v>4</v>
      </c>
      <c r="K212" s="534">
        <v>75</v>
      </c>
      <c r="L212" s="462">
        <f t="shared" si="51"/>
        <v>1760</v>
      </c>
      <c r="M212" s="462">
        <v>1510</v>
      </c>
      <c r="N212" s="462">
        <v>250</v>
      </c>
      <c r="O212" s="462">
        <f t="shared" si="52"/>
        <v>4048.4</v>
      </c>
      <c r="P212" s="488">
        <f t="shared" si="53"/>
        <v>1242.3333333333333</v>
      </c>
      <c r="Q212" s="489">
        <f t="shared" si="54"/>
        <v>1225.3150684931506</v>
      </c>
      <c r="R212" s="489">
        <f t="shared" si="55"/>
        <v>65.753424657534239</v>
      </c>
      <c r="S212" s="490">
        <f t="shared" si="56"/>
        <v>15908</v>
      </c>
      <c r="T212" s="490">
        <f t="shared" si="57"/>
        <v>18441.401826484016</v>
      </c>
      <c r="U212" s="491">
        <f t="shared" si="58"/>
        <v>183.46</v>
      </c>
      <c r="V212" s="498">
        <f>(O212-N212)*11%</f>
        <v>417.82400000000001</v>
      </c>
      <c r="W212" s="498">
        <v>10</v>
      </c>
      <c r="X212" s="498"/>
      <c r="Y212" s="498"/>
      <c r="Z212" s="462">
        <f t="shared" si="59"/>
        <v>611.28399999999999</v>
      </c>
      <c r="AA212" s="462">
        <f t="shared" si="60"/>
        <v>3437.116</v>
      </c>
      <c r="AB212" s="489">
        <v>1000</v>
      </c>
    </row>
    <row r="213" spans="1:28" s="507" customFormat="1" ht="12">
      <c r="A213" s="456">
        <v>79</v>
      </c>
      <c r="B213" s="466" t="s">
        <v>696</v>
      </c>
      <c r="C213" s="497">
        <v>9901443889</v>
      </c>
      <c r="D213" s="459" t="s">
        <v>697</v>
      </c>
      <c r="E213" s="460" t="s">
        <v>32</v>
      </c>
      <c r="F213" s="461">
        <v>31</v>
      </c>
      <c r="G213" s="498">
        <v>71.400000000000006</v>
      </c>
      <c r="H213" s="462">
        <f t="shared" si="49"/>
        <v>2213.4</v>
      </c>
      <c r="I213" s="462">
        <f t="shared" si="50"/>
        <v>8568</v>
      </c>
      <c r="J213" s="463">
        <v>4</v>
      </c>
      <c r="K213" s="534">
        <v>75</v>
      </c>
      <c r="L213" s="462">
        <f t="shared" si="51"/>
        <v>1760</v>
      </c>
      <c r="M213" s="462">
        <v>1510</v>
      </c>
      <c r="N213" s="462">
        <v>250</v>
      </c>
      <c r="O213" s="462">
        <f t="shared" si="52"/>
        <v>4048.4</v>
      </c>
      <c r="P213" s="488">
        <f t="shared" si="53"/>
        <v>1242.3333333333333</v>
      </c>
      <c r="Q213" s="489">
        <f t="shared" si="54"/>
        <v>1225.3150684931506</v>
      </c>
      <c r="R213" s="489">
        <f t="shared" si="55"/>
        <v>65.753424657534239</v>
      </c>
      <c r="S213" s="490">
        <f t="shared" si="56"/>
        <v>15908</v>
      </c>
      <c r="T213" s="490">
        <f t="shared" si="57"/>
        <v>18441.401826484016</v>
      </c>
      <c r="U213" s="491">
        <f t="shared" si="58"/>
        <v>183.46</v>
      </c>
      <c r="V213" s="498"/>
      <c r="W213" s="498">
        <v>10</v>
      </c>
      <c r="X213" s="498"/>
      <c r="Y213" s="498">
        <v>2055.5</v>
      </c>
      <c r="Z213" s="462">
        <f t="shared" si="59"/>
        <v>2248.96</v>
      </c>
      <c r="AA213" s="462">
        <f t="shared" si="60"/>
        <v>1799.44</v>
      </c>
      <c r="AB213" s="489">
        <v>1000</v>
      </c>
    </row>
    <row r="214" spans="1:28" s="507" customFormat="1" ht="12">
      <c r="A214" s="456">
        <v>80</v>
      </c>
      <c r="B214" s="466" t="s">
        <v>698</v>
      </c>
      <c r="C214" s="497">
        <v>9901450998</v>
      </c>
      <c r="D214" s="459" t="s">
        <v>699</v>
      </c>
      <c r="E214" s="460" t="s">
        <v>32</v>
      </c>
      <c r="F214" s="461">
        <v>31</v>
      </c>
      <c r="G214" s="498">
        <v>71.400000000000006</v>
      </c>
      <c r="H214" s="462">
        <f t="shared" si="49"/>
        <v>2213.4</v>
      </c>
      <c r="I214" s="462">
        <f t="shared" si="50"/>
        <v>8568</v>
      </c>
      <c r="J214" s="463">
        <v>4</v>
      </c>
      <c r="K214" s="534"/>
      <c r="L214" s="462">
        <f t="shared" si="51"/>
        <v>1760</v>
      </c>
      <c r="M214" s="462">
        <v>1510</v>
      </c>
      <c r="N214" s="462">
        <v>250</v>
      </c>
      <c r="O214" s="462">
        <f t="shared" si="52"/>
        <v>3973.4</v>
      </c>
      <c r="P214" s="488">
        <f t="shared" si="53"/>
        <v>1217.3333333333333</v>
      </c>
      <c r="Q214" s="489">
        <f t="shared" si="54"/>
        <v>1200.6575342465753</v>
      </c>
      <c r="R214" s="489">
        <f t="shared" si="55"/>
        <v>65.753424657534239</v>
      </c>
      <c r="S214" s="490">
        <f t="shared" si="56"/>
        <v>15608</v>
      </c>
      <c r="T214" s="490">
        <f t="shared" si="57"/>
        <v>18091.744292237443</v>
      </c>
      <c r="U214" s="491">
        <f t="shared" si="58"/>
        <v>179.84</v>
      </c>
      <c r="V214" s="498"/>
      <c r="W214" s="498">
        <v>10</v>
      </c>
      <c r="X214" s="498"/>
      <c r="Y214" s="498">
        <v>1888.28</v>
      </c>
      <c r="Z214" s="462">
        <f t="shared" si="59"/>
        <v>2078.12</v>
      </c>
      <c r="AA214" s="462">
        <f t="shared" si="60"/>
        <v>1895.2800000000002</v>
      </c>
      <c r="AB214" s="489">
        <v>1000</v>
      </c>
    </row>
    <row r="215" spans="1:28" s="507" customFormat="1" ht="12">
      <c r="A215" s="456">
        <v>81</v>
      </c>
      <c r="B215" s="466" t="s">
        <v>700</v>
      </c>
      <c r="C215" s="497">
        <v>9901442582</v>
      </c>
      <c r="D215" s="459" t="s">
        <v>701</v>
      </c>
      <c r="E215" s="460" t="s">
        <v>1175</v>
      </c>
      <c r="F215" s="461">
        <v>31</v>
      </c>
      <c r="G215" s="498">
        <v>71.400000000000006</v>
      </c>
      <c r="H215" s="462">
        <f t="shared" si="49"/>
        <v>2213.4</v>
      </c>
      <c r="I215" s="462">
        <f t="shared" si="50"/>
        <v>8568</v>
      </c>
      <c r="J215" s="463">
        <v>4</v>
      </c>
      <c r="K215" s="534">
        <v>75</v>
      </c>
      <c r="L215" s="462">
        <f t="shared" si="51"/>
        <v>1760</v>
      </c>
      <c r="M215" s="462">
        <v>1510</v>
      </c>
      <c r="N215" s="462">
        <v>250</v>
      </c>
      <c r="O215" s="462">
        <f t="shared" si="52"/>
        <v>4048.4</v>
      </c>
      <c r="P215" s="488">
        <f t="shared" si="53"/>
        <v>1242.3333333333333</v>
      </c>
      <c r="Q215" s="489">
        <f t="shared" si="54"/>
        <v>1225.3150684931506</v>
      </c>
      <c r="R215" s="489">
        <f t="shared" si="55"/>
        <v>65.753424657534239</v>
      </c>
      <c r="S215" s="490">
        <f t="shared" si="56"/>
        <v>15908</v>
      </c>
      <c r="T215" s="490">
        <f t="shared" si="57"/>
        <v>18441.401826484016</v>
      </c>
      <c r="U215" s="491">
        <f t="shared" si="58"/>
        <v>183.46</v>
      </c>
      <c r="V215" s="498">
        <f>(O215-N215)*11%</f>
        <v>417.82400000000001</v>
      </c>
      <c r="W215" s="498">
        <v>10</v>
      </c>
      <c r="X215" s="498"/>
      <c r="Y215" s="498"/>
      <c r="Z215" s="462">
        <f t="shared" si="59"/>
        <v>611.28399999999999</v>
      </c>
      <c r="AA215" s="462">
        <f t="shared" si="60"/>
        <v>3437.116</v>
      </c>
      <c r="AB215" s="489">
        <v>1000</v>
      </c>
    </row>
    <row r="216" spans="1:28" s="507" customFormat="1" ht="12">
      <c r="A216" s="456">
        <v>82</v>
      </c>
      <c r="B216" s="457" t="s">
        <v>702</v>
      </c>
      <c r="C216" s="497">
        <v>9901442171</v>
      </c>
      <c r="D216" s="459" t="s">
        <v>703</v>
      </c>
      <c r="E216" s="460" t="s">
        <v>32</v>
      </c>
      <c r="F216" s="461">
        <v>31</v>
      </c>
      <c r="G216" s="498">
        <v>71.400000000000006</v>
      </c>
      <c r="H216" s="462">
        <f t="shared" si="49"/>
        <v>2213.4</v>
      </c>
      <c r="I216" s="462">
        <f t="shared" si="50"/>
        <v>8568</v>
      </c>
      <c r="J216" s="463">
        <v>4</v>
      </c>
      <c r="K216" s="534">
        <v>75</v>
      </c>
      <c r="L216" s="462">
        <f t="shared" si="51"/>
        <v>1760</v>
      </c>
      <c r="M216" s="462">
        <v>1510</v>
      </c>
      <c r="N216" s="462">
        <v>250</v>
      </c>
      <c r="O216" s="462">
        <f t="shared" si="52"/>
        <v>4048.4</v>
      </c>
      <c r="P216" s="488">
        <f t="shared" si="53"/>
        <v>1242.3333333333333</v>
      </c>
      <c r="Q216" s="489">
        <f t="shared" si="54"/>
        <v>1225.3150684931506</v>
      </c>
      <c r="R216" s="489">
        <f t="shared" si="55"/>
        <v>65.753424657534239</v>
      </c>
      <c r="S216" s="490">
        <f t="shared" si="56"/>
        <v>15908</v>
      </c>
      <c r="T216" s="490">
        <f t="shared" si="57"/>
        <v>18441.401826484016</v>
      </c>
      <c r="U216" s="491">
        <f t="shared" si="58"/>
        <v>183.46</v>
      </c>
      <c r="V216" s="498">
        <f>(O216-N216)*11%</f>
        <v>417.82400000000001</v>
      </c>
      <c r="W216" s="498">
        <v>10</v>
      </c>
      <c r="X216" s="498"/>
      <c r="Y216" s="498"/>
      <c r="Z216" s="462">
        <f t="shared" si="59"/>
        <v>611.28399999999999</v>
      </c>
      <c r="AA216" s="462">
        <f t="shared" si="60"/>
        <v>3437.116</v>
      </c>
      <c r="AB216" s="489">
        <v>1000</v>
      </c>
    </row>
    <row r="217" spans="1:28" s="507" customFormat="1" ht="12">
      <c r="A217" s="456">
        <v>83</v>
      </c>
      <c r="B217" s="457" t="s">
        <v>704</v>
      </c>
      <c r="C217" s="497">
        <v>9901443155</v>
      </c>
      <c r="D217" s="459" t="s">
        <v>705</v>
      </c>
      <c r="E217" s="460" t="s">
        <v>1175</v>
      </c>
      <c r="F217" s="461">
        <v>31</v>
      </c>
      <c r="G217" s="498">
        <v>71.400000000000006</v>
      </c>
      <c r="H217" s="462">
        <f t="shared" si="49"/>
        <v>2213.4</v>
      </c>
      <c r="I217" s="462">
        <f t="shared" si="50"/>
        <v>8568</v>
      </c>
      <c r="J217" s="463">
        <v>4</v>
      </c>
      <c r="K217" s="533">
        <v>50</v>
      </c>
      <c r="L217" s="462">
        <f t="shared" si="51"/>
        <v>1760</v>
      </c>
      <c r="M217" s="462">
        <v>1510</v>
      </c>
      <c r="N217" s="462">
        <v>250</v>
      </c>
      <c r="O217" s="462">
        <f t="shared" si="52"/>
        <v>4023.4</v>
      </c>
      <c r="P217" s="488">
        <f t="shared" si="53"/>
        <v>1234</v>
      </c>
      <c r="Q217" s="489">
        <f t="shared" si="54"/>
        <v>1217.0958904109589</v>
      </c>
      <c r="R217" s="489">
        <f t="shared" si="55"/>
        <v>65.753424657534239</v>
      </c>
      <c r="S217" s="490">
        <f t="shared" si="56"/>
        <v>15808</v>
      </c>
      <c r="T217" s="490">
        <f t="shared" si="57"/>
        <v>18324.849315068492</v>
      </c>
      <c r="U217" s="491">
        <f t="shared" si="58"/>
        <v>182.26</v>
      </c>
      <c r="V217" s="498"/>
      <c r="W217" s="462">
        <v>10</v>
      </c>
      <c r="X217" s="498"/>
      <c r="Y217" s="498">
        <v>1791.36</v>
      </c>
      <c r="Z217" s="462">
        <f t="shared" si="59"/>
        <v>1983.62</v>
      </c>
      <c r="AA217" s="462">
        <f t="shared" si="60"/>
        <v>2039.7800000000002</v>
      </c>
      <c r="AB217" s="489">
        <v>1000</v>
      </c>
    </row>
    <row r="218" spans="1:28" s="507" customFormat="1" ht="12">
      <c r="A218" s="456">
        <v>84</v>
      </c>
      <c r="B218" s="466" t="s">
        <v>706</v>
      </c>
      <c r="C218" s="497">
        <v>9901442941</v>
      </c>
      <c r="D218" s="459" t="s">
        <v>707</v>
      </c>
      <c r="E218" s="460" t="s">
        <v>32</v>
      </c>
      <c r="F218" s="461">
        <v>31</v>
      </c>
      <c r="G218" s="498">
        <v>71.400000000000006</v>
      </c>
      <c r="H218" s="462">
        <f t="shared" si="49"/>
        <v>2213.4</v>
      </c>
      <c r="I218" s="462">
        <f t="shared" si="50"/>
        <v>8568</v>
      </c>
      <c r="J218" s="463">
        <v>4</v>
      </c>
      <c r="K218" s="534">
        <v>75</v>
      </c>
      <c r="L218" s="462">
        <f t="shared" si="51"/>
        <v>1760</v>
      </c>
      <c r="M218" s="462">
        <v>1510</v>
      </c>
      <c r="N218" s="462">
        <v>250</v>
      </c>
      <c r="O218" s="462">
        <f t="shared" si="52"/>
        <v>4048.4</v>
      </c>
      <c r="P218" s="488">
        <f t="shared" si="53"/>
        <v>1242.3333333333333</v>
      </c>
      <c r="Q218" s="489">
        <f t="shared" si="54"/>
        <v>1225.3150684931506</v>
      </c>
      <c r="R218" s="489">
        <f t="shared" si="55"/>
        <v>65.753424657534239</v>
      </c>
      <c r="S218" s="490">
        <f t="shared" si="56"/>
        <v>15908</v>
      </c>
      <c r="T218" s="490">
        <f t="shared" si="57"/>
        <v>18441.401826484016</v>
      </c>
      <c r="U218" s="491">
        <f t="shared" si="58"/>
        <v>183.46</v>
      </c>
      <c r="V218" s="498">
        <f>(O218-N218)*11%</f>
        <v>417.82400000000001</v>
      </c>
      <c r="W218" s="462">
        <v>10</v>
      </c>
      <c r="X218" s="498"/>
      <c r="Y218" s="498"/>
      <c r="Z218" s="462">
        <f t="shared" si="59"/>
        <v>611.28399999999999</v>
      </c>
      <c r="AA218" s="462">
        <f t="shared" si="60"/>
        <v>3437.116</v>
      </c>
      <c r="AB218" s="489">
        <v>1000</v>
      </c>
    </row>
    <row r="219" spans="1:28" s="507" customFormat="1" ht="12">
      <c r="A219" s="456">
        <v>85</v>
      </c>
      <c r="B219" s="457" t="s">
        <v>708</v>
      </c>
      <c r="C219" s="497">
        <v>9901442943</v>
      </c>
      <c r="D219" s="459" t="s">
        <v>709</v>
      </c>
      <c r="E219" s="460" t="s">
        <v>32</v>
      </c>
      <c r="F219" s="461">
        <v>31</v>
      </c>
      <c r="G219" s="498">
        <v>71.400000000000006</v>
      </c>
      <c r="H219" s="462">
        <f t="shared" si="49"/>
        <v>2213.4</v>
      </c>
      <c r="I219" s="462">
        <f t="shared" si="50"/>
        <v>8568</v>
      </c>
      <c r="J219" s="463">
        <v>4</v>
      </c>
      <c r="K219" s="534">
        <v>75</v>
      </c>
      <c r="L219" s="462">
        <f t="shared" si="51"/>
        <v>1760</v>
      </c>
      <c r="M219" s="462">
        <v>1510</v>
      </c>
      <c r="N219" s="462">
        <v>250</v>
      </c>
      <c r="O219" s="462">
        <f t="shared" si="52"/>
        <v>4048.4</v>
      </c>
      <c r="P219" s="488">
        <f t="shared" si="53"/>
        <v>1242.3333333333333</v>
      </c>
      <c r="Q219" s="489">
        <f t="shared" si="54"/>
        <v>1225.3150684931506</v>
      </c>
      <c r="R219" s="489">
        <f t="shared" si="55"/>
        <v>65.753424657534239</v>
      </c>
      <c r="S219" s="490">
        <f t="shared" si="56"/>
        <v>15908</v>
      </c>
      <c r="T219" s="490">
        <f t="shared" si="57"/>
        <v>18441.401826484016</v>
      </c>
      <c r="U219" s="491">
        <f t="shared" si="58"/>
        <v>183.46</v>
      </c>
      <c r="V219" s="498">
        <f>(O219-N219)*11%</f>
        <v>417.82400000000001</v>
      </c>
      <c r="W219" s="498"/>
      <c r="X219" s="498"/>
      <c r="Y219" s="498"/>
      <c r="Z219" s="462">
        <f t="shared" si="59"/>
        <v>601.28399999999999</v>
      </c>
      <c r="AA219" s="462">
        <f t="shared" si="60"/>
        <v>3447.116</v>
      </c>
      <c r="AB219" s="489">
        <v>1000</v>
      </c>
    </row>
    <row r="220" spans="1:28" s="507" customFormat="1" ht="12">
      <c r="A220" s="456">
        <v>86</v>
      </c>
      <c r="B220" s="466" t="s">
        <v>710</v>
      </c>
      <c r="C220" s="497">
        <v>9901443379</v>
      </c>
      <c r="D220" s="459" t="s">
        <v>711</v>
      </c>
      <c r="E220" s="460" t="s">
        <v>1175</v>
      </c>
      <c r="F220" s="461">
        <v>31</v>
      </c>
      <c r="G220" s="498">
        <v>71.400000000000006</v>
      </c>
      <c r="H220" s="462">
        <f t="shared" si="49"/>
        <v>2213.4</v>
      </c>
      <c r="I220" s="462">
        <f t="shared" si="50"/>
        <v>8568</v>
      </c>
      <c r="J220" s="463">
        <v>4</v>
      </c>
      <c r="K220" s="534">
        <v>75</v>
      </c>
      <c r="L220" s="462">
        <f t="shared" si="51"/>
        <v>1760</v>
      </c>
      <c r="M220" s="462">
        <v>1510</v>
      </c>
      <c r="N220" s="462">
        <v>250</v>
      </c>
      <c r="O220" s="462">
        <f t="shared" si="52"/>
        <v>4048.4</v>
      </c>
      <c r="P220" s="488">
        <f t="shared" si="53"/>
        <v>1242.3333333333333</v>
      </c>
      <c r="Q220" s="489">
        <f t="shared" si="54"/>
        <v>1225.3150684931506</v>
      </c>
      <c r="R220" s="489">
        <f t="shared" si="55"/>
        <v>65.753424657534239</v>
      </c>
      <c r="S220" s="490">
        <f t="shared" si="56"/>
        <v>15908</v>
      </c>
      <c r="T220" s="490">
        <f t="shared" si="57"/>
        <v>18441.401826484016</v>
      </c>
      <c r="U220" s="491">
        <f t="shared" si="58"/>
        <v>183.46</v>
      </c>
      <c r="V220" s="498">
        <f>(O220-N220)*11%</f>
        <v>417.82400000000001</v>
      </c>
      <c r="W220" s="498">
        <v>10</v>
      </c>
      <c r="X220" s="498"/>
      <c r="Y220" s="498"/>
      <c r="Z220" s="462">
        <f t="shared" si="59"/>
        <v>611.28399999999999</v>
      </c>
      <c r="AA220" s="462">
        <f t="shared" si="60"/>
        <v>3437.116</v>
      </c>
      <c r="AB220" s="489">
        <v>1000</v>
      </c>
    </row>
    <row r="221" spans="1:28" s="507" customFormat="1" ht="12">
      <c r="A221" s="456">
        <v>87</v>
      </c>
      <c r="B221" s="457" t="s">
        <v>712</v>
      </c>
      <c r="C221" s="497">
        <v>9901442168</v>
      </c>
      <c r="D221" s="459" t="s">
        <v>713</v>
      </c>
      <c r="E221" s="460" t="s">
        <v>1175</v>
      </c>
      <c r="F221" s="461">
        <v>31</v>
      </c>
      <c r="G221" s="498">
        <v>71.400000000000006</v>
      </c>
      <c r="H221" s="462">
        <f t="shared" si="49"/>
        <v>2213.4</v>
      </c>
      <c r="I221" s="462">
        <f t="shared" si="50"/>
        <v>8568</v>
      </c>
      <c r="J221" s="463">
        <v>4</v>
      </c>
      <c r="K221" s="534">
        <v>75</v>
      </c>
      <c r="L221" s="462">
        <f t="shared" si="51"/>
        <v>1760</v>
      </c>
      <c r="M221" s="462">
        <v>1510</v>
      </c>
      <c r="N221" s="462">
        <v>250</v>
      </c>
      <c r="O221" s="462">
        <f t="shared" si="52"/>
        <v>4048.4</v>
      </c>
      <c r="P221" s="488">
        <f t="shared" si="53"/>
        <v>1242.3333333333333</v>
      </c>
      <c r="Q221" s="489">
        <f t="shared" si="54"/>
        <v>1225.3150684931506</v>
      </c>
      <c r="R221" s="489">
        <f t="shared" si="55"/>
        <v>65.753424657534239</v>
      </c>
      <c r="S221" s="490">
        <f t="shared" si="56"/>
        <v>15908</v>
      </c>
      <c r="T221" s="490">
        <f t="shared" si="57"/>
        <v>18441.401826484016</v>
      </c>
      <c r="U221" s="491">
        <f t="shared" si="58"/>
        <v>183.46</v>
      </c>
      <c r="V221" s="498"/>
      <c r="W221" s="498">
        <v>10</v>
      </c>
      <c r="X221" s="498"/>
      <c r="Y221" s="498">
        <v>1758.19</v>
      </c>
      <c r="Z221" s="462">
        <f t="shared" si="59"/>
        <v>1951.65</v>
      </c>
      <c r="AA221" s="462">
        <f t="shared" si="60"/>
        <v>2096.75</v>
      </c>
      <c r="AB221" s="489">
        <v>1000</v>
      </c>
    </row>
    <row r="222" spans="1:28" s="507" customFormat="1" ht="12">
      <c r="A222" s="456">
        <v>88</v>
      </c>
      <c r="B222" s="457" t="s">
        <v>714</v>
      </c>
      <c r="C222" s="497">
        <v>9901442950</v>
      </c>
      <c r="D222" s="459" t="s">
        <v>715</v>
      </c>
      <c r="E222" s="460" t="s">
        <v>1175</v>
      </c>
      <c r="F222" s="461">
        <v>31</v>
      </c>
      <c r="G222" s="498">
        <v>71.400000000000006</v>
      </c>
      <c r="H222" s="462">
        <f t="shared" si="49"/>
        <v>2213.4</v>
      </c>
      <c r="I222" s="462">
        <f t="shared" si="50"/>
        <v>8568</v>
      </c>
      <c r="J222" s="463">
        <v>4</v>
      </c>
      <c r="K222" s="533">
        <v>50</v>
      </c>
      <c r="L222" s="462">
        <f t="shared" si="51"/>
        <v>1760</v>
      </c>
      <c r="M222" s="462">
        <v>1510</v>
      </c>
      <c r="N222" s="462">
        <v>250</v>
      </c>
      <c r="O222" s="462">
        <f t="shared" si="52"/>
        <v>4023.4</v>
      </c>
      <c r="P222" s="488">
        <f t="shared" si="53"/>
        <v>1234</v>
      </c>
      <c r="Q222" s="489">
        <f t="shared" si="54"/>
        <v>1217.0958904109589</v>
      </c>
      <c r="R222" s="489">
        <f t="shared" si="55"/>
        <v>65.753424657534239</v>
      </c>
      <c r="S222" s="490">
        <f t="shared" si="56"/>
        <v>15808</v>
      </c>
      <c r="T222" s="490">
        <f t="shared" si="57"/>
        <v>18324.849315068492</v>
      </c>
      <c r="U222" s="491">
        <f t="shared" si="58"/>
        <v>182.26</v>
      </c>
      <c r="V222" s="498"/>
      <c r="W222" s="498">
        <v>10</v>
      </c>
      <c r="X222" s="498"/>
      <c r="Y222" s="498">
        <v>1794.95</v>
      </c>
      <c r="Z222" s="462">
        <f t="shared" si="59"/>
        <v>1987.21</v>
      </c>
      <c r="AA222" s="462">
        <f t="shared" si="60"/>
        <v>2036.19</v>
      </c>
      <c r="AB222" s="489">
        <v>1000</v>
      </c>
    </row>
    <row r="223" spans="1:28" s="507" customFormat="1" ht="12">
      <c r="A223" s="456">
        <v>89</v>
      </c>
      <c r="B223" s="466" t="s">
        <v>716</v>
      </c>
      <c r="C223" s="497">
        <v>9901442649</v>
      </c>
      <c r="D223" s="459" t="s">
        <v>717</v>
      </c>
      <c r="E223" s="460" t="s">
        <v>1175</v>
      </c>
      <c r="F223" s="461">
        <v>31</v>
      </c>
      <c r="G223" s="498">
        <v>71.400000000000006</v>
      </c>
      <c r="H223" s="462">
        <f t="shared" si="49"/>
        <v>2213.4</v>
      </c>
      <c r="I223" s="462">
        <f t="shared" si="50"/>
        <v>8568</v>
      </c>
      <c r="J223" s="463">
        <v>4</v>
      </c>
      <c r="K223" s="534">
        <v>50</v>
      </c>
      <c r="L223" s="462">
        <f t="shared" si="51"/>
        <v>1760</v>
      </c>
      <c r="M223" s="462">
        <v>1510</v>
      </c>
      <c r="N223" s="462">
        <v>250</v>
      </c>
      <c r="O223" s="462">
        <f t="shared" si="52"/>
        <v>4023.4</v>
      </c>
      <c r="P223" s="488">
        <f t="shared" si="53"/>
        <v>1234</v>
      </c>
      <c r="Q223" s="489">
        <f t="shared" si="54"/>
        <v>1217.0958904109589</v>
      </c>
      <c r="R223" s="489">
        <f t="shared" si="55"/>
        <v>65.753424657534239</v>
      </c>
      <c r="S223" s="490">
        <f t="shared" si="56"/>
        <v>15808</v>
      </c>
      <c r="T223" s="490">
        <f t="shared" si="57"/>
        <v>18324.849315068492</v>
      </c>
      <c r="U223" s="491">
        <f t="shared" si="58"/>
        <v>182.26</v>
      </c>
      <c r="V223" s="498"/>
      <c r="W223" s="498">
        <v>10</v>
      </c>
      <c r="X223" s="498"/>
      <c r="Y223" s="498">
        <v>1367.13</v>
      </c>
      <c r="Z223" s="462">
        <f t="shared" si="59"/>
        <v>1559.39</v>
      </c>
      <c r="AA223" s="462">
        <f t="shared" si="60"/>
        <v>2464.0100000000002</v>
      </c>
      <c r="AB223" s="489">
        <v>1000</v>
      </c>
    </row>
    <row r="224" spans="1:28" s="507" customFormat="1" ht="11.25">
      <c r="A224" s="456">
        <v>90</v>
      </c>
      <c r="B224" s="457" t="s">
        <v>718</v>
      </c>
      <c r="C224" s="470">
        <v>9901442682</v>
      </c>
      <c r="D224" s="459" t="s">
        <v>719</v>
      </c>
      <c r="E224" s="460" t="s">
        <v>1175</v>
      </c>
      <c r="F224" s="461">
        <v>31</v>
      </c>
      <c r="G224" s="498">
        <v>71.400000000000006</v>
      </c>
      <c r="H224" s="462">
        <f t="shared" si="49"/>
        <v>2213.4</v>
      </c>
      <c r="I224" s="462">
        <f t="shared" si="50"/>
        <v>8568</v>
      </c>
      <c r="J224" s="463">
        <v>4</v>
      </c>
      <c r="K224" s="534">
        <v>50</v>
      </c>
      <c r="L224" s="462">
        <f t="shared" si="51"/>
        <v>1760</v>
      </c>
      <c r="M224" s="462">
        <v>1510</v>
      </c>
      <c r="N224" s="462">
        <v>250</v>
      </c>
      <c r="O224" s="462">
        <f t="shared" si="52"/>
        <v>4023.4</v>
      </c>
      <c r="P224" s="488">
        <f t="shared" si="53"/>
        <v>1234</v>
      </c>
      <c r="Q224" s="489">
        <f t="shared" si="54"/>
        <v>1217.0958904109589</v>
      </c>
      <c r="R224" s="489">
        <f t="shared" si="55"/>
        <v>65.753424657534239</v>
      </c>
      <c r="S224" s="490">
        <f t="shared" si="56"/>
        <v>15808</v>
      </c>
      <c r="T224" s="490">
        <f t="shared" si="57"/>
        <v>18324.849315068492</v>
      </c>
      <c r="U224" s="491">
        <f t="shared" si="58"/>
        <v>182.26</v>
      </c>
      <c r="V224" s="498"/>
      <c r="W224" s="498"/>
      <c r="X224" s="498"/>
      <c r="Y224" s="498">
        <v>1393.74</v>
      </c>
      <c r="Z224" s="462">
        <f t="shared" si="59"/>
        <v>1576</v>
      </c>
      <c r="AA224" s="462">
        <f t="shared" si="60"/>
        <v>2447.4</v>
      </c>
      <c r="AB224" s="489">
        <v>1000</v>
      </c>
    </row>
    <row r="225" spans="1:32" s="507" customFormat="1" ht="12">
      <c r="A225" s="456">
        <v>91</v>
      </c>
      <c r="B225" s="457" t="s">
        <v>720</v>
      </c>
      <c r="C225" s="497">
        <v>9901442669</v>
      </c>
      <c r="D225" s="459" t="s">
        <v>721</v>
      </c>
      <c r="E225" s="460" t="s">
        <v>1175</v>
      </c>
      <c r="F225" s="461">
        <v>31</v>
      </c>
      <c r="G225" s="498">
        <v>71.400000000000006</v>
      </c>
      <c r="H225" s="462">
        <f t="shared" si="49"/>
        <v>2213.4</v>
      </c>
      <c r="I225" s="462">
        <f t="shared" si="50"/>
        <v>8568</v>
      </c>
      <c r="J225" s="463">
        <v>4</v>
      </c>
      <c r="K225" s="534">
        <v>50</v>
      </c>
      <c r="L225" s="462">
        <f t="shared" si="51"/>
        <v>1760</v>
      </c>
      <c r="M225" s="462">
        <v>1510</v>
      </c>
      <c r="N225" s="462">
        <v>250</v>
      </c>
      <c r="O225" s="462">
        <f t="shared" si="52"/>
        <v>4023.4</v>
      </c>
      <c r="P225" s="488">
        <f t="shared" si="53"/>
        <v>1234</v>
      </c>
      <c r="Q225" s="489">
        <f t="shared" si="54"/>
        <v>1217.0958904109589</v>
      </c>
      <c r="R225" s="489">
        <f t="shared" si="55"/>
        <v>65.753424657534239</v>
      </c>
      <c r="S225" s="490">
        <f t="shared" si="56"/>
        <v>15808</v>
      </c>
      <c r="T225" s="490">
        <f t="shared" si="57"/>
        <v>18324.849315068492</v>
      </c>
      <c r="U225" s="491">
        <f t="shared" si="58"/>
        <v>182.26</v>
      </c>
      <c r="V225" s="498">
        <f t="shared" ref="V225:V229" si="61">(O225-N225)*11%</f>
        <v>415.07400000000001</v>
      </c>
      <c r="W225" s="498">
        <v>10</v>
      </c>
      <c r="X225" s="498"/>
      <c r="Y225" s="498"/>
      <c r="Z225" s="462">
        <f t="shared" si="59"/>
        <v>607.33400000000006</v>
      </c>
      <c r="AA225" s="462">
        <f t="shared" si="60"/>
        <v>3416.0659999999998</v>
      </c>
      <c r="AB225" s="489">
        <v>1000</v>
      </c>
    </row>
    <row r="226" spans="1:32" s="507" customFormat="1" ht="12">
      <c r="A226" s="456">
        <v>92</v>
      </c>
      <c r="B226" s="466" t="s">
        <v>722</v>
      </c>
      <c r="C226" s="497">
        <v>9901442668</v>
      </c>
      <c r="D226" s="459" t="s">
        <v>723</v>
      </c>
      <c r="E226" s="460" t="s">
        <v>1175</v>
      </c>
      <c r="F226" s="461">
        <v>31</v>
      </c>
      <c r="G226" s="498">
        <v>71.400000000000006</v>
      </c>
      <c r="H226" s="462">
        <f t="shared" si="49"/>
        <v>2213.4</v>
      </c>
      <c r="I226" s="462">
        <f t="shared" si="50"/>
        <v>8568</v>
      </c>
      <c r="J226" s="463">
        <v>4</v>
      </c>
      <c r="K226" s="534">
        <v>50</v>
      </c>
      <c r="L226" s="462">
        <f t="shared" si="51"/>
        <v>1760</v>
      </c>
      <c r="M226" s="462">
        <v>1510</v>
      </c>
      <c r="N226" s="462">
        <v>250</v>
      </c>
      <c r="O226" s="462">
        <f t="shared" si="52"/>
        <v>4023.4</v>
      </c>
      <c r="P226" s="488">
        <f t="shared" si="53"/>
        <v>1234</v>
      </c>
      <c r="Q226" s="489">
        <f t="shared" si="54"/>
        <v>1217.0958904109589</v>
      </c>
      <c r="R226" s="489">
        <f t="shared" si="55"/>
        <v>65.753424657534239</v>
      </c>
      <c r="S226" s="490">
        <f t="shared" si="56"/>
        <v>15808</v>
      </c>
      <c r="T226" s="490">
        <f t="shared" si="57"/>
        <v>18324.849315068492</v>
      </c>
      <c r="U226" s="491">
        <f t="shared" si="58"/>
        <v>182.26</v>
      </c>
      <c r="V226" s="498">
        <f t="shared" si="61"/>
        <v>415.07400000000001</v>
      </c>
      <c r="W226" s="498">
        <v>10</v>
      </c>
      <c r="X226" s="498"/>
      <c r="Y226" s="498">
        <v>1986.42</v>
      </c>
      <c r="Z226" s="462">
        <f t="shared" si="59"/>
        <v>2593.7539999999999</v>
      </c>
      <c r="AA226" s="462">
        <f t="shared" si="60"/>
        <v>1429.6460000000002</v>
      </c>
      <c r="AB226" s="489">
        <v>1000</v>
      </c>
    </row>
    <row r="227" spans="1:32" s="507" customFormat="1" ht="12">
      <c r="A227" s="456">
        <v>93</v>
      </c>
      <c r="B227" s="466" t="s">
        <v>724</v>
      </c>
      <c r="C227" s="497">
        <v>9901442954</v>
      </c>
      <c r="D227" s="459" t="s">
        <v>725</v>
      </c>
      <c r="E227" s="460" t="s">
        <v>32</v>
      </c>
      <c r="F227" s="461">
        <v>31</v>
      </c>
      <c r="G227" s="498">
        <v>71.400000000000006</v>
      </c>
      <c r="H227" s="462">
        <f t="shared" si="49"/>
        <v>2213.4</v>
      </c>
      <c r="I227" s="462">
        <f t="shared" si="50"/>
        <v>8568</v>
      </c>
      <c r="J227" s="463">
        <v>4</v>
      </c>
      <c r="K227" s="534">
        <v>75</v>
      </c>
      <c r="L227" s="462">
        <f t="shared" si="51"/>
        <v>1760</v>
      </c>
      <c r="M227" s="462">
        <v>1510</v>
      </c>
      <c r="N227" s="462">
        <v>250</v>
      </c>
      <c r="O227" s="462">
        <f t="shared" si="52"/>
        <v>4048.4</v>
      </c>
      <c r="P227" s="488">
        <f t="shared" si="53"/>
        <v>1242.3333333333333</v>
      </c>
      <c r="Q227" s="489">
        <f t="shared" si="54"/>
        <v>1225.3150684931506</v>
      </c>
      <c r="R227" s="489">
        <f t="shared" si="55"/>
        <v>65.753424657534239</v>
      </c>
      <c r="S227" s="490">
        <f t="shared" si="56"/>
        <v>15908</v>
      </c>
      <c r="T227" s="490">
        <f t="shared" si="57"/>
        <v>18441.401826484016</v>
      </c>
      <c r="U227" s="491">
        <f t="shared" si="58"/>
        <v>183.46</v>
      </c>
      <c r="V227" s="498">
        <f t="shared" si="61"/>
        <v>417.82400000000001</v>
      </c>
      <c r="W227" s="498">
        <v>10</v>
      </c>
      <c r="X227" s="498"/>
      <c r="Y227" s="498">
        <v>637.76</v>
      </c>
      <c r="Z227" s="462">
        <f t="shared" si="59"/>
        <v>1249.0440000000001</v>
      </c>
      <c r="AA227" s="462">
        <f t="shared" si="60"/>
        <v>2799.3559999999998</v>
      </c>
      <c r="AB227" s="489">
        <v>1000</v>
      </c>
    </row>
    <row r="228" spans="1:32" s="507" customFormat="1" ht="12">
      <c r="A228" s="456">
        <v>94</v>
      </c>
      <c r="B228" s="457" t="s">
        <v>726</v>
      </c>
      <c r="C228" s="497">
        <v>9901443764</v>
      </c>
      <c r="D228" s="459" t="s">
        <v>727</v>
      </c>
      <c r="E228" s="460" t="s">
        <v>1175</v>
      </c>
      <c r="F228" s="461">
        <v>31</v>
      </c>
      <c r="G228" s="498">
        <v>71.400000000000006</v>
      </c>
      <c r="H228" s="462">
        <f t="shared" si="49"/>
        <v>2213.4</v>
      </c>
      <c r="I228" s="462">
        <f t="shared" si="50"/>
        <v>8568</v>
      </c>
      <c r="J228" s="463">
        <v>4</v>
      </c>
      <c r="K228" s="535">
        <v>35</v>
      </c>
      <c r="L228" s="462">
        <f t="shared" si="51"/>
        <v>1760</v>
      </c>
      <c r="M228" s="462">
        <v>1510</v>
      </c>
      <c r="N228" s="462">
        <v>250</v>
      </c>
      <c r="O228" s="462">
        <f t="shared" si="52"/>
        <v>4008.4</v>
      </c>
      <c r="P228" s="488">
        <f t="shared" si="53"/>
        <v>1229</v>
      </c>
      <c r="Q228" s="489">
        <f t="shared" si="54"/>
        <v>1212.1643835616437</v>
      </c>
      <c r="R228" s="489">
        <f t="shared" si="55"/>
        <v>65.753424657534239</v>
      </c>
      <c r="S228" s="490">
        <f t="shared" si="56"/>
        <v>15748</v>
      </c>
      <c r="T228" s="490">
        <f t="shared" si="57"/>
        <v>18254.917808219179</v>
      </c>
      <c r="U228" s="491">
        <f t="shared" si="58"/>
        <v>181.53</v>
      </c>
      <c r="V228" s="498">
        <f t="shared" si="61"/>
        <v>413.42400000000004</v>
      </c>
      <c r="W228" s="498">
        <v>10</v>
      </c>
      <c r="X228" s="498"/>
      <c r="Y228" s="498">
        <v>1089.81</v>
      </c>
      <c r="Z228" s="462">
        <f t="shared" si="59"/>
        <v>1694.7639999999999</v>
      </c>
      <c r="AA228" s="462">
        <f t="shared" si="60"/>
        <v>2313.6360000000004</v>
      </c>
      <c r="AB228" s="489">
        <v>1000</v>
      </c>
    </row>
    <row r="229" spans="1:32" s="507" customFormat="1" ht="12">
      <c r="A229" s="456">
        <v>95</v>
      </c>
      <c r="B229" s="457" t="s">
        <v>728</v>
      </c>
      <c r="C229" s="497">
        <v>9901442961</v>
      </c>
      <c r="D229" s="459" t="s">
        <v>729</v>
      </c>
      <c r="E229" s="460" t="s">
        <v>32</v>
      </c>
      <c r="F229" s="461">
        <v>31</v>
      </c>
      <c r="G229" s="498">
        <v>71.400000000000006</v>
      </c>
      <c r="H229" s="462">
        <f t="shared" si="49"/>
        <v>2213.4</v>
      </c>
      <c r="I229" s="462">
        <f t="shared" si="50"/>
        <v>8568</v>
      </c>
      <c r="J229" s="463">
        <v>4</v>
      </c>
      <c r="K229" s="534">
        <v>75</v>
      </c>
      <c r="L229" s="462">
        <f t="shared" si="51"/>
        <v>1760</v>
      </c>
      <c r="M229" s="462">
        <v>1510</v>
      </c>
      <c r="N229" s="462">
        <v>250</v>
      </c>
      <c r="O229" s="462">
        <f t="shared" si="52"/>
        <v>4048.4</v>
      </c>
      <c r="P229" s="488">
        <f t="shared" si="53"/>
        <v>1242.3333333333333</v>
      </c>
      <c r="Q229" s="489">
        <f t="shared" si="54"/>
        <v>1225.3150684931506</v>
      </c>
      <c r="R229" s="489">
        <f t="shared" si="55"/>
        <v>65.753424657534239</v>
      </c>
      <c r="S229" s="490">
        <f t="shared" si="56"/>
        <v>15908</v>
      </c>
      <c r="T229" s="490">
        <f t="shared" si="57"/>
        <v>18441.401826484016</v>
      </c>
      <c r="U229" s="491">
        <f t="shared" si="58"/>
        <v>183.46</v>
      </c>
      <c r="V229" s="498">
        <f t="shared" si="61"/>
        <v>417.82400000000001</v>
      </c>
      <c r="W229" s="498">
        <v>10</v>
      </c>
      <c r="X229" s="498"/>
      <c r="Y229" s="498">
        <v>1824.92</v>
      </c>
      <c r="Z229" s="462">
        <f t="shared" si="59"/>
        <v>2436.2040000000002</v>
      </c>
      <c r="AA229" s="462">
        <f t="shared" si="60"/>
        <v>1612.1959999999999</v>
      </c>
      <c r="AB229" s="489">
        <v>1000</v>
      </c>
    </row>
    <row r="230" spans="1:32" s="507" customFormat="1" ht="12">
      <c r="A230" s="456">
        <v>96</v>
      </c>
      <c r="B230" s="466" t="s">
        <v>730</v>
      </c>
      <c r="C230" s="497">
        <v>9901546005</v>
      </c>
      <c r="D230" s="459" t="s">
        <v>731</v>
      </c>
      <c r="E230" s="460" t="s">
        <v>1175</v>
      </c>
      <c r="F230" s="461">
        <v>31</v>
      </c>
      <c r="G230" s="498">
        <v>71.400000000000006</v>
      </c>
      <c r="H230" s="462">
        <f t="shared" si="49"/>
        <v>2213.4</v>
      </c>
      <c r="I230" s="462">
        <f t="shared" si="50"/>
        <v>8568</v>
      </c>
      <c r="J230" s="463">
        <v>4</v>
      </c>
      <c r="K230" s="464">
        <v>0</v>
      </c>
      <c r="L230" s="462">
        <f t="shared" si="51"/>
        <v>1760</v>
      </c>
      <c r="M230" s="462">
        <v>1510</v>
      </c>
      <c r="N230" s="462">
        <v>250</v>
      </c>
      <c r="O230" s="462">
        <f t="shared" si="52"/>
        <v>3973.4</v>
      </c>
      <c r="P230" s="488">
        <f t="shared" si="53"/>
        <v>1217.3333333333333</v>
      </c>
      <c r="Q230" s="489">
        <f t="shared" si="54"/>
        <v>1200.6575342465753</v>
      </c>
      <c r="R230" s="489">
        <f t="shared" si="55"/>
        <v>65.753424657534239</v>
      </c>
      <c r="S230" s="490">
        <f t="shared" si="56"/>
        <v>15608</v>
      </c>
      <c r="T230" s="490">
        <f t="shared" si="57"/>
        <v>18091.744292237443</v>
      </c>
      <c r="U230" s="491">
        <f t="shared" si="58"/>
        <v>179.84</v>
      </c>
      <c r="V230" s="498"/>
      <c r="W230" s="498"/>
      <c r="X230" s="498"/>
      <c r="Y230" s="498"/>
      <c r="Z230" s="462">
        <f t="shared" si="59"/>
        <v>179.84</v>
      </c>
      <c r="AA230" s="462">
        <f t="shared" si="60"/>
        <v>3793.56</v>
      </c>
      <c r="AB230" s="489">
        <v>1000</v>
      </c>
    </row>
    <row r="231" spans="1:32" s="507" customFormat="1" ht="12">
      <c r="A231" s="456">
        <v>97</v>
      </c>
      <c r="B231" s="466" t="s">
        <v>732</v>
      </c>
      <c r="C231" s="497" t="s">
        <v>733</v>
      </c>
      <c r="D231" s="459" t="s">
        <v>734</v>
      </c>
      <c r="E231" s="460" t="s">
        <v>1175</v>
      </c>
      <c r="F231" s="461">
        <v>31</v>
      </c>
      <c r="G231" s="498">
        <v>71.400000000000006</v>
      </c>
      <c r="H231" s="462">
        <f t="shared" si="49"/>
        <v>2213.4</v>
      </c>
      <c r="I231" s="462">
        <f t="shared" si="50"/>
        <v>8568</v>
      </c>
      <c r="J231" s="463">
        <v>4</v>
      </c>
      <c r="K231" s="464">
        <v>0</v>
      </c>
      <c r="L231" s="462">
        <f t="shared" si="51"/>
        <v>1760</v>
      </c>
      <c r="M231" s="462">
        <v>1510</v>
      </c>
      <c r="N231" s="462">
        <v>250</v>
      </c>
      <c r="O231" s="462">
        <f t="shared" si="52"/>
        <v>3973.4</v>
      </c>
      <c r="P231" s="488">
        <f t="shared" si="53"/>
        <v>1217.3333333333333</v>
      </c>
      <c r="Q231" s="489">
        <f t="shared" si="54"/>
        <v>1200.6575342465753</v>
      </c>
      <c r="R231" s="489">
        <f t="shared" si="55"/>
        <v>65.753424657534239</v>
      </c>
      <c r="S231" s="490">
        <f t="shared" si="56"/>
        <v>15608</v>
      </c>
      <c r="T231" s="490">
        <f t="shared" si="57"/>
        <v>18091.744292237443</v>
      </c>
      <c r="U231" s="491">
        <f t="shared" si="58"/>
        <v>179.84</v>
      </c>
      <c r="V231" s="498"/>
      <c r="W231" s="498"/>
      <c r="X231" s="498"/>
      <c r="Y231" s="498"/>
      <c r="Z231" s="462">
        <f t="shared" si="59"/>
        <v>179.84</v>
      </c>
      <c r="AA231" s="462">
        <f t="shared" si="60"/>
        <v>3793.56</v>
      </c>
      <c r="AB231" s="489">
        <v>1000</v>
      </c>
    </row>
    <row r="232" spans="1:32" s="507" customFormat="1" ht="12">
      <c r="A232" s="456">
        <v>98</v>
      </c>
      <c r="B232" s="466" t="s">
        <v>735</v>
      </c>
      <c r="C232" s="497">
        <v>9901469960</v>
      </c>
      <c r="D232" s="459" t="s">
        <v>736</v>
      </c>
      <c r="E232" s="460" t="s">
        <v>1175</v>
      </c>
      <c r="F232" s="461">
        <v>31</v>
      </c>
      <c r="G232" s="498">
        <v>71.400000000000006</v>
      </c>
      <c r="H232" s="462">
        <f t="shared" si="49"/>
        <v>2213.4</v>
      </c>
      <c r="I232" s="462">
        <f t="shared" si="50"/>
        <v>8568</v>
      </c>
      <c r="J232" s="463">
        <v>4</v>
      </c>
      <c r="K232" s="464">
        <v>0</v>
      </c>
      <c r="L232" s="462">
        <f t="shared" si="51"/>
        <v>1760</v>
      </c>
      <c r="M232" s="462">
        <v>1510</v>
      </c>
      <c r="N232" s="462">
        <v>250</v>
      </c>
      <c r="O232" s="462">
        <f t="shared" si="52"/>
        <v>3973.4</v>
      </c>
      <c r="P232" s="488">
        <f t="shared" si="53"/>
        <v>1217.3333333333333</v>
      </c>
      <c r="Q232" s="489">
        <f t="shared" si="54"/>
        <v>1200.6575342465753</v>
      </c>
      <c r="R232" s="489">
        <f t="shared" si="55"/>
        <v>65.753424657534239</v>
      </c>
      <c r="S232" s="490">
        <f t="shared" si="56"/>
        <v>15608</v>
      </c>
      <c r="T232" s="490">
        <f t="shared" si="57"/>
        <v>18091.744292237443</v>
      </c>
      <c r="U232" s="491">
        <f t="shared" si="58"/>
        <v>179.84</v>
      </c>
      <c r="V232" s="498"/>
      <c r="W232" s="498"/>
      <c r="X232" s="498"/>
      <c r="Y232" s="498"/>
      <c r="Z232" s="462">
        <f t="shared" si="59"/>
        <v>179.84</v>
      </c>
      <c r="AA232" s="462">
        <f t="shared" si="60"/>
        <v>3793.56</v>
      </c>
      <c r="AB232" s="489">
        <v>1000</v>
      </c>
    </row>
    <row r="233" spans="1:32" s="507" customFormat="1">
      <c r="A233" s="456">
        <v>99</v>
      </c>
      <c r="B233" s="536"/>
      <c r="C233">
        <v>9901563298</v>
      </c>
      <c r="D233" s="507" t="s">
        <v>737</v>
      </c>
      <c r="E233" s="507" t="s">
        <v>1175</v>
      </c>
      <c r="F233" s="523">
        <v>31</v>
      </c>
      <c r="G233" s="498">
        <v>71.400000000000006</v>
      </c>
      <c r="H233" s="462">
        <f t="shared" si="49"/>
        <v>2213.4</v>
      </c>
      <c r="I233" s="462">
        <f t="shared" si="50"/>
        <v>8568</v>
      </c>
      <c r="J233" s="463">
        <v>4</v>
      </c>
      <c r="K233" s="464"/>
      <c r="L233" s="462">
        <f t="shared" si="51"/>
        <v>1760</v>
      </c>
      <c r="M233" s="462">
        <v>1510</v>
      </c>
      <c r="N233" s="462">
        <v>250</v>
      </c>
      <c r="O233" s="462">
        <f t="shared" si="52"/>
        <v>3973.4</v>
      </c>
      <c r="P233" s="488">
        <f t="shared" si="53"/>
        <v>1217.3333333333333</v>
      </c>
      <c r="Q233" s="489">
        <f t="shared" si="54"/>
        <v>1200.6575342465753</v>
      </c>
      <c r="R233" s="489">
        <f t="shared" si="55"/>
        <v>65.753424657534239</v>
      </c>
      <c r="S233" s="490">
        <f t="shared" si="56"/>
        <v>15608</v>
      </c>
      <c r="T233" s="490">
        <f t="shared" si="57"/>
        <v>18091.744292237443</v>
      </c>
      <c r="U233" s="491">
        <f t="shared" si="58"/>
        <v>179.84</v>
      </c>
      <c r="V233" s="498"/>
      <c r="W233" s="498"/>
      <c r="X233" s="498"/>
      <c r="Y233" s="498"/>
      <c r="Z233" s="462">
        <f t="shared" si="59"/>
        <v>179.84</v>
      </c>
      <c r="AA233" s="462">
        <f t="shared" si="60"/>
        <v>3793.56</v>
      </c>
      <c r="AB233" s="489">
        <v>1000</v>
      </c>
    </row>
    <row r="234" spans="1:32" s="507" customFormat="1">
      <c r="A234" s="456">
        <v>100</v>
      </c>
      <c r="B234" s="536"/>
      <c r="C234" s="537">
        <v>9901563299</v>
      </c>
      <c r="D234" s="507" t="s">
        <v>738</v>
      </c>
      <c r="E234" s="507" t="s">
        <v>1175</v>
      </c>
      <c r="F234" s="523">
        <v>31</v>
      </c>
      <c r="G234" s="498">
        <v>71.400000000000006</v>
      </c>
      <c r="H234" s="462">
        <f t="shared" si="49"/>
        <v>2213.4</v>
      </c>
      <c r="I234" s="462">
        <f t="shared" si="50"/>
        <v>8568</v>
      </c>
      <c r="J234" s="463">
        <v>4</v>
      </c>
      <c r="K234" s="464"/>
      <c r="L234" s="462">
        <f t="shared" si="51"/>
        <v>1760</v>
      </c>
      <c r="M234" s="462">
        <v>1510</v>
      </c>
      <c r="N234" s="462">
        <v>250</v>
      </c>
      <c r="O234" s="462">
        <f t="shared" si="52"/>
        <v>3973.4</v>
      </c>
      <c r="P234" s="488">
        <f t="shared" si="53"/>
        <v>1217.3333333333333</v>
      </c>
      <c r="Q234" s="489">
        <f t="shared" si="54"/>
        <v>1200.6575342465753</v>
      </c>
      <c r="R234" s="489">
        <f t="shared" si="55"/>
        <v>65.753424657534239</v>
      </c>
      <c r="S234" s="490">
        <f t="shared" si="56"/>
        <v>15608</v>
      </c>
      <c r="T234" s="490">
        <f t="shared" si="57"/>
        <v>18091.744292237443</v>
      </c>
      <c r="U234" s="491">
        <f t="shared" si="58"/>
        <v>179.84</v>
      </c>
      <c r="V234" s="498"/>
      <c r="W234" s="498"/>
      <c r="X234" s="498"/>
      <c r="Y234" s="498"/>
      <c r="Z234" s="462">
        <f t="shared" si="59"/>
        <v>179.84</v>
      </c>
      <c r="AA234" s="462">
        <f t="shared" si="60"/>
        <v>3793.56</v>
      </c>
      <c r="AB234" s="489">
        <v>1000</v>
      </c>
      <c r="AF234" s="507">
        <v>4</v>
      </c>
    </row>
    <row r="235" spans="1:32" s="507" customFormat="1" ht="12">
      <c r="A235" s="456">
        <v>1</v>
      </c>
      <c r="B235" s="466" t="s">
        <v>739</v>
      </c>
      <c r="C235" s="497">
        <v>9901418198</v>
      </c>
      <c r="D235" s="459" t="s">
        <v>740</v>
      </c>
      <c r="E235" s="460" t="s">
        <v>35</v>
      </c>
      <c r="F235" s="461">
        <v>31</v>
      </c>
      <c r="G235" s="498">
        <v>71.400000000000006</v>
      </c>
      <c r="H235" s="462">
        <f t="shared" ref="H235:H241" si="62">+F235*G235</f>
        <v>2213.4</v>
      </c>
      <c r="I235" s="462">
        <f t="shared" ref="I235:I241" si="63">G235*120</f>
        <v>8568</v>
      </c>
      <c r="J235" s="463">
        <v>4</v>
      </c>
      <c r="K235" s="534"/>
      <c r="L235" s="462">
        <f t="shared" ref="L235:L241" si="64">M235+N235</f>
        <v>1760</v>
      </c>
      <c r="M235" s="462">
        <v>1510</v>
      </c>
      <c r="N235" s="462">
        <v>250</v>
      </c>
      <c r="O235" s="462">
        <f t="shared" ref="O235:O241" si="65">+H235+M235+N235+K235</f>
        <v>3973.4</v>
      </c>
      <c r="P235" s="488">
        <f t="shared" ref="P235:P241" si="66">(((G235*120)+(K235+M235)*4)/12)</f>
        <v>1217.3333333333333</v>
      </c>
      <c r="Q235" s="489">
        <f t="shared" ref="Q235:Q241" si="67">(((G235*30)+M235+K235)/365*120)</f>
        <v>1200.6575342465753</v>
      </c>
      <c r="R235" s="489">
        <f t="shared" ref="R235:R241" si="68">+(200/365)*120</f>
        <v>65.753424657534239</v>
      </c>
      <c r="S235" s="490">
        <f t="shared" ref="S235:S241" si="69">(((G235*120)+((K235+M235+N235)*4)))</f>
        <v>15608</v>
      </c>
      <c r="T235" s="490">
        <f t="shared" ref="T235:T241" si="70">+S235+R235+Q235+P235</f>
        <v>18091.744292237443</v>
      </c>
      <c r="U235" s="491">
        <f t="shared" ref="U235:U241" si="71">ROUND((((H235+K235+M235)*4.83)/100),2)</f>
        <v>179.84</v>
      </c>
      <c r="V235" s="498"/>
      <c r="W235" s="498"/>
      <c r="X235" s="498"/>
      <c r="Y235" s="498">
        <v>1388.53</v>
      </c>
      <c r="Z235" s="462">
        <f t="shared" ref="Z235:Z241" si="72">V235+W235+X235+Y235+U235</f>
        <v>1568.37</v>
      </c>
      <c r="AA235" s="462">
        <f t="shared" ref="AA235:AA241" si="73">+O235-Z235</f>
        <v>2405.0300000000002</v>
      </c>
      <c r="AB235" s="489">
        <v>1000</v>
      </c>
    </row>
    <row r="236" spans="1:32" s="507" customFormat="1" ht="12">
      <c r="A236" s="456">
        <v>2</v>
      </c>
      <c r="B236" s="457" t="s">
        <v>741</v>
      </c>
      <c r="C236" s="497">
        <v>9901443271</v>
      </c>
      <c r="D236" s="459" t="s">
        <v>742</v>
      </c>
      <c r="E236" s="460" t="s">
        <v>39</v>
      </c>
      <c r="F236" s="461">
        <v>31</v>
      </c>
      <c r="G236" s="498">
        <v>78.25</v>
      </c>
      <c r="H236" s="462">
        <f t="shared" si="62"/>
        <v>2425.75</v>
      </c>
      <c r="I236" s="462">
        <f t="shared" si="63"/>
        <v>9390</v>
      </c>
      <c r="J236" s="463">
        <v>4</v>
      </c>
      <c r="K236" s="534">
        <v>75</v>
      </c>
      <c r="L236" s="462">
        <f t="shared" si="64"/>
        <v>1760</v>
      </c>
      <c r="M236" s="462">
        <v>1510</v>
      </c>
      <c r="N236" s="462">
        <v>250</v>
      </c>
      <c r="O236" s="462">
        <f t="shared" si="65"/>
        <v>4260.75</v>
      </c>
      <c r="P236" s="488">
        <f t="shared" si="66"/>
        <v>1310.8333333333333</v>
      </c>
      <c r="Q236" s="489">
        <f t="shared" si="67"/>
        <v>1292.8767123287671</v>
      </c>
      <c r="R236" s="489">
        <f t="shared" si="68"/>
        <v>65.753424657534239</v>
      </c>
      <c r="S236" s="490">
        <f t="shared" si="69"/>
        <v>16730</v>
      </c>
      <c r="T236" s="490">
        <f t="shared" si="70"/>
        <v>19399.463470319632</v>
      </c>
      <c r="U236" s="491">
        <f t="shared" si="71"/>
        <v>193.72</v>
      </c>
      <c r="V236" s="498">
        <f>(O236-N236)*11%</f>
        <v>441.1825</v>
      </c>
      <c r="W236" s="498"/>
      <c r="X236" s="498"/>
      <c r="Y236" s="498"/>
      <c r="Z236" s="462">
        <f t="shared" si="72"/>
        <v>634.90250000000003</v>
      </c>
      <c r="AA236" s="462">
        <f t="shared" si="73"/>
        <v>3625.8474999999999</v>
      </c>
      <c r="AB236" s="489">
        <v>1000</v>
      </c>
    </row>
    <row r="237" spans="1:32" s="507" customFormat="1" ht="12">
      <c r="A237" s="456">
        <v>3</v>
      </c>
      <c r="B237" s="457" t="s">
        <v>743</v>
      </c>
      <c r="C237" s="497">
        <v>9901442974</v>
      </c>
      <c r="D237" s="459" t="s">
        <v>744</v>
      </c>
      <c r="E237" s="460" t="s">
        <v>1175</v>
      </c>
      <c r="F237" s="461">
        <v>31</v>
      </c>
      <c r="G237" s="498">
        <v>71.400000000000006</v>
      </c>
      <c r="H237" s="462">
        <f t="shared" si="62"/>
        <v>2213.4</v>
      </c>
      <c r="I237" s="462">
        <f t="shared" si="63"/>
        <v>8568</v>
      </c>
      <c r="J237" s="463">
        <v>4</v>
      </c>
      <c r="K237" s="533">
        <v>50</v>
      </c>
      <c r="L237" s="462">
        <f t="shared" si="64"/>
        <v>1760</v>
      </c>
      <c r="M237" s="462">
        <v>1510</v>
      </c>
      <c r="N237" s="462">
        <v>250</v>
      </c>
      <c r="O237" s="462">
        <f t="shared" si="65"/>
        <v>4023.4</v>
      </c>
      <c r="P237" s="488">
        <f t="shared" si="66"/>
        <v>1234</v>
      </c>
      <c r="Q237" s="489">
        <f t="shared" si="67"/>
        <v>1217.0958904109589</v>
      </c>
      <c r="R237" s="489">
        <f t="shared" si="68"/>
        <v>65.753424657534239</v>
      </c>
      <c r="S237" s="490">
        <f t="shared" si="69"/>
        <v>15808</v>
      </c>
      <c r="T237" s="490">
        <f t="shared" si="70"/>
        <v>18324.849315068492</v>
      </c>
      <c r="U237" s="491">
        <f t="shared" si="71"/>
        <v>182.26</v>
      </c>
      <c r="V237" s="498"/>
      <c r="W237" s="498"/>
      <c r="X237" s="498"/>
      <c r="Y237" s="498">
        <v>1388.53</v>
      </c>
      <c r="Z237" s="462">
        <f t="shared" si="72"/>
        <v>1570.79</v>
      </c>
      <c r="AA237" s="462">
        <f t="shared" si="73"/>
        <v>2452.61</v>
      </c>
      <c r="AB237" s="489">
        <v>1000</v>
      </c>
    </row>
    <row r="238" spans="1:32" s="507" customFormat="1" ht="12">
      <c r="A238" s="456">
        <v>4</v>
      </c>
      <c r="B238" s="466" t="s">
        <v>745</v>
      </c>
      <c r="C238" s="497">
        <v>9901442339</v>
      </c>
      <c r="D238" s="459" t="s">
        <v>746</v>
      </c>
      <c r="E238" s="460" t="s">
        <v>1175</v>
      </c>
      <c r="F238" s="461">
        <v>31</v>
      </c>
      <c r="G238" s="498">
        <v>71.400000000000006</v>
      </c>
      <c r="H238" s="462">
        <f t="shared" si="62"/>
        <v>2213.4</v>
      </c>
      <c r="I238" s="462">
        <f t="shared" si="63"/>
        <v>8568</v>
      </c>
      <c r="J238" s="463">
        <v>4</v>
      </c>
      <c r="K238" s="534">
        <v>50</v>
      </c>
      <c r="L238" s="462">
        <f t="shared" si="64"/>
        <v>1760</v>
      </c>
      <c r="M238" s="462">
        <v>1510</v>
      </c>
      <c r="N238" s="462">
        <v>250</v>
      </c>
      <c r="O238" s="462">
        <f t="shared" si="65"/>
        <v>4023.4</v>
      </c>
      <c r="P238" s="488">
        <f t="shared" si="66"/>
        <v>1234</v>
      </c>
      <c r="Q238" s="489">
        <f t="shared" si="67"/>
        <v>1217.0958904109589</v>
      </c>
      <c r="R238" s="489">
        <f t="shared" si="68"/>
        <v>65.753424657534239</v>
      </c>
      <c r="S238" s="490">
        <f t="shared" si="69"/>
        <v>15808</v>
      </c>
      <c r="T238" s="490">
        <f t="shared" si="70"/>
        <v>18324.849315068492</v>
      </c>
      <c r="U238" s="491">
        <f t="shared" si="71"/>
        <v>182.26</v>
      </c>
      <c r="V238" s="498">
        <f>(O238-N238)*11%</f>
        <v>415.07400000000001</v>
      </c>
      <c r="W238" s="462">
        <v>10</v>
      </c>
      <c r="X238" s="498"/>
      <c r="Y238" s="498">
        <v>1634.62</v>
      </c>
      <c r="Z238" s="462">
        <f t="shared" si="72"/>
        <v>2241.9539999999997</v>
      </c>
      <c r="AA238" s="462">
        <f t="shared" si="73"/>
        <v>1781.4460000000004</v>
      </c>
      <c r="AB238" s="489">
        <v>1000</v>
      </c>
    </row>
    <row r="239" spans="1:32" s="507" customFormat="1" ht="12">
      <c r="A239" s="456">
        <v>5</v>
      </c>
      <c r="B239" s="466" t="s">
        <v>747</v>
      </c>
      <c r="C239" s="497">
        <v>9901443548</v>
      </c>
      <c r="D239" s="459" t="s">
        <v>748</v>
      </c>
      <c r="E239" s="460" t="s">
        <v>35</v>
      </c>
      <c r="F239" s="461">
        <v>31</v>
      </c>
      <c r="G239" s="498">
        <v>71.400000000000006</v>
      </c>
      <c r="H239" s="462">
        <f t="shared" si="62"/>
        <v>2213.4</v>
      </c>
      <c r="I239" s="462">
        <f t="shared" si="63"/>
        <v>8568</v>
      </c>
      <c r="J239" s="463">
        <v>4</v>
      </c>
      <c r="K239" s="533">
        <v>35</v>
      </c>
      <c r="L239" s="462">
        <f t="shared" si="64"/>
        <v>1760</v>
      </c>
      <c r="M239" s="462">
        <v>1510</v>
      </c>
      <c r="N239" s="462">
        <v>250</v>
      </c>
      <c r="O239" s="462">
        <f t="shared" si="65"/>
        <v>4008.4</v>
      </c>
      <c r="P239" s="488">
        <f t="shared" si="66"/>
        <v>1229</v>
      </c>
      <c r="Q239" s="489">
        <f t="shared" si="67"/>
        <v>1212.1643835616437</v>
      </c>
      <c r="R239" s="489">
        <f t="shared" si="68"/>
        <v>65.753424657534239</v>
      </c>
      <c r="S239" s="490">
        <f t="shared" si="69"/>
        <v>15748</v>
      </c>
      <c r="T239" s="490">
        <f t="shared" si="70"/>
        <v>18254.917808219179</v>
      </c>
      <c r="U239" s="491">
        <f t="shared" si="71"/>
        <v>181.53</v>
      </c>
      <c r="V239" s="498"/>
      <c r="W239" s="498">
        <v>10</v>
      </c>
      <c r="X239" s="498"/>
      <c r="Y239" s="498"/>
      <c r="Z239" s="462">
        <f t="shared" si="72"/>
        <v>191.53</v>
      </c>
      <c r="AA239" s="462">
        <f t="shared" si="73"/>
        <v>3816.87</v>
      </c>
      <c r="AB239" s="489">
        <v>1000</v>
      </c>
    </row>
    <row r="240" spans="1:32" s="507" customFormat="1" ht="12">
      <c r="A240" s="456">
        <v>6</v>
      </c>
      <c r="B240" s="457" t="s">
        <v>749</v>
      </c>
      <c r="C240" s="497">
        <v>9901443436</v>
      </c>
      <c r="D240" s="459" t="s">
        <v>750</v>
      </c>
      <c r="E240" s="460" t="s">
        <v>38</v>
      </c>
      <c r="F240" s="461">
        <v>31</v>
      </c>
      <c r="G240" s="498">
        <v>71.400000000000006</v>
      </c>
      <c r="H240" s="462">
        <f t="shared" si="62"/>
        <v>2213.4</v>
      </c>
      <c r="I240" s="462">
        <f t="shared" si="63"/>
        <v>8568</v>
      </c>
      <c r="J240" s="463">
        <v>4</v>
      </c>
      <c r="K240" s="534">
        <v>75</v>
      </c>
      <c r="L240" s="462">
        <f t="shared" si="64"/>
        <v>1760</v>
      </c>
      <c r="M240" s="462">
        <v>1510</v>
      </c>
      <c r="N240" s="462">
        <v>250</v>
      </c>
      <c r="O240" s="462">
        <f t="shared" si="65"/>
        <v>4048.4</v>
      </c>
      <c r="P240" s="488">
        <f t="shared" si="66"/>
        <v>1242.3333333333333</v>
      </c>
      <c r="Q240" s="489">
        <f t="shared" si="67"/>
        <v>1225.3150684931506</v>
      </c>
      <c r="R240" s="489">
        <f t="shared" si="68"/>
        <v>65.753424657534239</v>
      </c>
      <c r="S240" s="490">
        <f t="shared" si="69"/>
        <v>15908</v>
      </c>
      <c r="T240" s="490">
        <f t="shared" si="70"/>
        <v>18441.401826484016</v>
      </c>
      <c r="U240" s="491">
        <f t="shared" si="71"/>
        <v>183.46</v>
      </c>
      <c r="V240" s="498">
        <f>(O240-N240)*11%</f>
        <v>417.82400000000001</v>
      </c>
      <c r="W240" s="498"/>
      <c r="X240" s="498"/>
      <c r="Y240" s="498"/>
      <c r="Z240" s="462">
        <f t="shared" si="72"/>
        <v>601.28399999999999</v>
      </c>
      <c r="AA240" s="462">
        <f t="shared" si="73"/>
        <v>3447.116</v>
      </c>
      <c r="AB240" s="489">
        <v>1000</v>
      </c>
    </row>
    <row r="241" spans="1:30" s="507" customFormat="1" ht="12">
      <c r="A241" s="456">
        <v>7</v>
      </c>
      <c r="B241" s="457" t="s">
        <v>751</v>
      </c>
      <c r="C241" s="497">
        <v>9901442977</v>
      </c>
      <c r="D241" s="459" t="s">
        <v>752</v>
      </c>
      <c r="E241" s="460" t="s">
        <v>1175</v>
      </c>
      <c r="F241" s="461">
        <v>31</v>
      </c>
      <c r="G241" s="498">
        <v>71.400000000000006</v>
      </c>
      <c r="H241" s="462">
        <f t="shared" si="62"/>
        <v>2213.4</v>
      </c>
      <c r="I241" s="462">
        <f t="shared" si="63"/>
        <v>8568</v>
      </c>
      <c r="J241" s="463">
        <v>4</v>
      </c>
      <c r="K241" s="533">
        <v>50</v>
      </c>
      <c r="L241" s="462">
        <f t="shared" si="64"/>
        <v>1760</v>
      </c>
      <c r="M241" s="462">
        <v>1510</v>
      </c>
      <c r="N241" s="462">
        <v>250</v>
      </c>
      <c r="O241" s="462">
        <f t="shared" si="65"/>
        <v>4023.4</v>
      </c>
      <c r="P241" s="488">
        <f t="shared" si="66"/>
        <v>1234</v>
      </c>
      <c r="Q241" s="489">
        <f t="shared" si="67"/>
        <v>1217.0958904109589</v>
      </c>
      <c r="R241" s="489">
        <f t="shared" si="68"/>
        <v>65.753424657534239</v>
      </c>
      <c r="S241" s="490">
        <f t="shared" si="69"/>
        <v>15808</v>
      </c>
      <c r="T241" s="490">
        <f t="shared" si="70"/>
        <v>18324.849315068492</v>
      </c>
      <c r="U241" s="491">
        <f t="shared" si="71"/>
        <v>182.26</v>
      </c>
      <c r="V241" s="498"/>
      <c r="W241" s="498"/>
      <c r="X241" s="498"/>
      <c r="Y241" s="498">
        <v>1388.53</v>
      </c>
      <c r="Z241" s="462">
        <f t="shared" si="72"/>
        <v>1570.79</v>
      </c>
      <c r="AA241" s="462">
        <f t="shared" si="73"/>
        <v>2452.61</v>
      </c>
      <c r="AB241" s="489">
        <v>1000</v>
      </c>
    </row>
    <row r="242" spans="1:30" s="486" customFormat="1" ht="12">
      <c r="A242" s="456">
        <v>1</v>
      </c>
      <c r="B242" s="457" t="s">
        <v>765</v>
      </c>
      <c r="C242" s="497">
        <v>9901442369</v>
      </c>
      <c r="D242" s="459" t="s">
        <v>766</v>
      </c>
      <c r="E242" s="460" t="s">
        <v>1175</v>
      </c>
      <c r="F242" s="461">
        <v>31</v>
      </c>
      <c r="G242" s="462">
        <v>71.400000000000006</v>
      </c>
      <c r="H242" s="462">
        <f t="shared" ref="H242:H266" si="74">+F242*G242</f>
        <v>2213.4</v>
      </c>
      <c r="I242" s="462">
        <f t="shared" ref="I242:I266" si="75">G242*120</f>
        <v>8568</v>
      </c>
      <c r="J242" s="463">
        <v>4</v>
      </c>
      <c r="K242" s="464">
        <v>50</v>
      </c>
      <c r="L242" s="462">
        <f t="shared" ref="L242:L266" si="76">M242+N242</f>
        <v>1760</v>
      </c>
      <c r="M242" s="462">
        <v>1510</v>
      </c>
      <c r="N242" s="462">
        <v>250</v>
      </c>
      <c r="O242" s="462">
        <f t="shared" ref="O242:O266" si="77">+H242+M242+N242+K242</f>
        <v>4023.4</v>
      </c>
      <c r="P242" s="488">
        <f t="shared" ref="P242:P266" si="78">(((G242*120)+(K242+M242)*4)/12)</f>
        <v>1234</v>
      </c>
      <c r="Q242" s="489">
        <f t="shared" ref="Q242:Q266" si="79">(((G242*30)+M242+K242)/365*120)</f>
        <v>1217.0958904109589</v>
      </c>
      <c r="R242" s="489">
        <f t="shared" ref="R242:R266" si="80">+(200/365)*120</f>
        <v>65.753424657534239</v>
      </c>
      <c r="S242" s="490">
        <f t="shared" ref="S242:S266" si="81">(((G242*120)+((K242+M242+N242)*4)))</f>
        <v>15808</v>
      </c>
      <c r="T242" s="490">
        <f t="shared" ref="T242:T266" si="82">+S242+R242+Q242+P242</f>
        <v>18324.849315068492</v>
      </c>
      <c r="U242" s="491">
        <f t="shared" ref="U242:U266" si="83">ROUND((((H242+K242+M242)*4.83)/100),2)</f>
        <v>182.26</v>
      </c>
      <c r="V242" s="462"/>
      <c r="W242" s="462">
        <v>10</v>
      </c>
      <c r="X242" s="462"/>
      <c r="Y242" s="462">
        <v>1964.31</v>
      </c>
      <c r="Z242" s="462">
        <f t="shared" ref="Z242:Z266" si="84">V242+W242+X242+Y242+U242</f>
        <v>2156.5699999999997</v>
      </c>
      <c r="AA242" s="462">
        <f t="shared" ref="AA242:AA266" si="85">+O242-Z242</f>
        <v>1866.8300000000004</v>
      </c>
      <c r="AB242" s="489">
        <v>1000</v>
      </c>
    </row>
    <row r="243" spans="1:30" s="486" customFormat="1" ht="12">
      <c r="A243" s="456">
        <v>2</v>
      </c>
      <c r="B243" s="466" t="s">
        <v>767</v>
      </c>
      <c r="C243" s="497">
        <v>9901442624</v>
      </c>
      <c r="D243" s="459" t="s">
        <v>768</v>
      </c>
      <c r="E243" s="460" t="s">
        <v>1175</v>
      </c>
      <c r="F243" s="461">
        <v>31</v>
      </c>
      <c r="G243" s="462">
        <v>71.400000000000006</v>
      </c>
      <c r="H243" s="462">
        <f t="shared" si="74"/>
        <v>2213.4</v>
      </c>
      <c r="I243" s="462">
        <f t="shared" si="75"/>
        <v>8568</v>
      </c>
      <c r="J243" s="463">
        <v>4</v>
      </c>
      <c r="K243" s="465">
        <v>50</v>
      </c>
      <c r="L243" s="462">
        <f t="shared" si="76"/>
        <v>1760</v>
      </c>
      <c r="M243" s="462">
        <v>1510</v>
      </c>
      <c r="N243" s="462">
        <v>250</v>
      </c>
      <c r="O243" s="462">
        <f t="shared" si="77"/>
        <v>4023.4</v>
      </c>
      <c r="P243" s="488">
        <f t="shared" si="78"/>
        <v>1234</v>
      </c>
      <c r="Q243" s="489">
        <f t="shared" si="79"/>
        <v>1217.0958904109589</v>
      </c>
      <c r="R243" s="489">
        <f t="shared" si="80"/>
        <v>65.753424657534239</v>
      </c>
      <c r="S243" s="490">
        <f t="shared" si="81"/>
        <v>15808</v>
      </c>
      <c r="T243" s="490">
        <f t="shared" si="82"/>
        <v>18324.849315068492</v>
      </c>
      <c r="U243" s="491">
        <f t="shared" si="83"/>
        <v>182.26</v>
      </c>
      <c r="V243" s="462"/>
      <c r="W243" s="462">
        <v>10</v>
      </c>
      <c r="X243" s="462"/>
      <c r="Y243" s="462"/>
      <c r="Z243" s="462">
        <f t="shared" si="84"/>
        <v>192.26</v>
      </c>
      <c r="AA243" s="462">
        <f t="shared" si="85"/>
        <v>3831.1400000000003</v>
      </c>
      <c r="AB243" s="489">
        <v>1000</v>
      </c>
    </row>
    <row r="244" spans="1:30" s="486" customFormat="1" ht="12">
      <c r="A244" s="456">
        <v>3</v>
      </c>
      <c r="B244" s="457" t="s">
        <v>769</v>
      </c>
      <c r="C244" s="497">
        <v>9901443394</v>
      </c>
      <c r="D244" s="459" t="s">
        <v>770</v>
      </c>
      <c r="E244" s="460" t="s">
        <v>1175</v>
      </c>
      <c r="F244" s="461">
        <v>31</v>
      </c>
      <c r="G244" s="462">
        <v>71.400000000000006</v>
      </c>
      <c r="H244" s="462">
        <f t="shared" si="74"/>
        <v>2213.4</v>
      </c>
      <c r="I244" s="462">
        <f t="shared" si="75"/>
        <v>8568</v>
      </c>
      <c r="J244" s="463">
        <v>4</v>
      </c>
      <c r="K244" s="465">
        <v>35</v>
      </c>
      <c r="L244" s="462">
        <f t="shared" si="76"/>
        <v>1760</v>
      </c>
      <c r="M244" s="462">
        <v>1510</v>
      </c>
      <c r="N244" s="462">
        <v>250</v>
      </c>
      <c r="O244" s="462">
        <f t="shared" si="77"/>
        <v>4008.4</v>
      </c>
      <c r="P244" s="488">
        <f t="shared" si="78"/>
        <v>1229</v>
      </c>
      <c r="Q244" s="489">
        <f t="shared" si="79"/>
        <v>1212.1643835616437</v>
      </c>
      <c r="R244" s="489">
        <f t="shared" si="80"/>
        <v>65.753424657534239</v>
      </c>
      <c r="S244" s="490">
        <f t="shared" si="81"/>
        <v>15748</v>
      </c>
      <c r="T244" s="490">
        <f t="shared" si="82"/>
        <v>18254.917808219179</v>
      </c>
      <c r="U244" s="491">
        <f t="shared" si="83"/>
        <v>181.53</v>
      </c>
      <c r="V244" s="498">
        <f>(O244-N244)*11%</f>
        <v>413.42400000000004</v>
      </c>
      <c r="W244" s="462">
        <v>10</v>
      </c>
      <c r="X244" s="462"/>
      <c r="Y244" s="462"/>
      <c r="Z244" s="462">
        <f t="shared" si="84"/>
        <v>604.95400000000006</v>
      </c>
      <c r="AA244" s="462">
        <f t="shared" si="85"/>
        <v>3403.4459999999999</v>
      </c>
      <c r="AB244" s="489">
        <v>1000</v>
      </c>
      <c r="AD244" s="486" t="s">
        <v>771</v>
      </c>
    </row>
    <row r="245" spans="1:30" s="486" customFormat="1" ht="12">
      <c r="A245" s="456">
        <v>4</v>
      </c>
      <c r="B245" s="457" t="s">
        <v>772</v>
      </c>
      <c r="C245" s="497">
        <v>9901443266</v>
      </c>
      <c r="D245" s="459" t="s">
        <v>773</v>
      </c>
      <c r="E245" s="460" t="s">
        <v>1175</v>
      </c>
      <c r="F245" s="461">
        <v>31</v>
      </c>
      <c r="G245" s="462">
        <v>71.400000000000006</v>
      </c>
      <c r="H245" s="462">
        <f t="shared" si="74"/>
        <v>2213.4</v>
      </c>
      <c r="I245" s="462">
        <f t="shared" si="75"/>
        <v>8568</v>
      </c>
      <c r="J245" s="463">
        <v>4</v>
      </c>
      <c r="K245" s="465">
        <v>50</v>
      </c>
      <c r="L245" s="462">
        <f t="shared" si="76"/>
        <v>1760</v>
      </c>
      <c r="M245" s="462">
        <v>1510</v>
      </c>
      <c r="N245" s="462">
        <v>250</v>
      </c>
      <c r="O245" s="462">
        <f t="shared" si="77"/>
        <v>4023.4</v>
      </c>
      <c r="P245" s="488">
        <f t="shared" si="78"/>
        <v>1234</v>
      </c>
      <c r="Q245" s="489">
        <f t="shared" si="79"/>
        <v>1217.0958904109589</v>
      </c>
      <c r="R245" s="489">
        <f t="shared" si="80"/>
        <v>65.753424657534239</v>
      </c>
      <c r="S245" s="490">
        <f t="shared" si="81"/>
        <v>15808</v>
      </c>
      <c r="T245" s="490">
        <f t="shared" si="82"/>
        <v>18324.849315068492</v>
      </c>
      <c r="U245" s="491">
        <f t="shared" si="83"/>
        <v>182.26</v>
      </c>
      <c r="V245" s="462"/>
      <c r="W245" s="462">
        <v>10</v>
      </c>
      <c r="X245" s="462"/>
      <c r="Y245" s="462"/>
      <c r="Z245" s="462">
        <f t="shared" si="84"/>
        <v>192.26</v>
      </c>
      <c r="AA245" s="462">
        <f t="shared" si="85"/>
        <v>3831.1400000000003</v>
      </c>
      <c r="AB245" s="489">
        <v>1000</v>
      </c>
    </row>
    <row r="246" spans="1:30" s="486" customFormat="1" ht="12">
      <c r="A246" s="456">
        <v>5</v>
      </c>
      <c r="B246" s="457" t="s">
        <v>774</v>
      </c>
      <c r="C246" s="497">
        <v>9901443396</v>
      </c>
      <c r="D246" s="459" t="s">
        <v>775</v>
      </c>
      <c r="E246" s="460" t="s">
        <v>1175</v>
      </c>
      <c r="F246" s="461">
        <v>31</v>
      </c>
      <c r="G246" s="462">
        <v>71.400000000000006</v>
      </c>
      <c r="H246" s="462">
        <f t="shared" si="74"/>
        <v>2213.4</v>
      </c>
      <c r="I246" s="462">
        <f t="shared" si="75"/>
        <v>8568</v>
      </c>
      <c r="J246" s="463">
        <v>4</v>
      </c>
      <c r="K246" s="465">
        <v>35</v>
      </c>
      <c r="L246" s="462">
        <f t="shared" si="76"/>
        <v>1760</v>
      </c>
      <c r="M246" s="462">
        <v>1510</v>
      </c>
      <c r="N246" s="462">
        <v>250</v>
      </c>
      <c r="O246" s="462">
        <f t="shared" si="77"/>
        <v>4008.4</v>
      </c>
      <c r="P246" s="488">
        <f t="shared" si="78"/>
        <v>1229</v>
      </c>
      <c r="Q246" s="489">
        <f t="shared" si="79"/>
        <v>1212.1643835616437</v>
      </c>
      <c r="R246" s="489">
        <f t="shared" si="80"/>
        <v>65.753424657534239</v>
      </c>
      <c r="S246" s="490">
        <f t="shared" si="81"/>
        <v>15748</v>
      </c>
      <c r="T246" s="490">
        <f t="shared" si="82"/>
        <v>18254.917808219179</v>
      </c>
      <c r="U246" s="491">
        <f t="shared" si="83"/>
        <v>181.53</v>
      </c>
      <c r="V246" s="498">
        <f>(O246-N246)*11%</f>
        <v>413.42400000000004</v>
      </c>
      <c r="W246" s="462"/>
      <c r="X246" s="462"/>
      <c r="Y246" s="462">
        <v>3258.99</v>
      </c>
      <c r="Z246" s="462">
        <f t="shared" si="84"/>
        <v>3853.944</v>
      </c>
      <c r="AA246" s="462">
        <f t="shared" si="85"/>
        <v>154.45600000000013</v>
      </c>
      <c r="AB246" s="489">
        <v>1000</v>
      </c>
      <c r="AD246" s="486" t="s">
        <v>771</v>
      </c>
    </row>
    <row r="247" spans="1:30" s="486" customFormat="1" ht="12">
      <c r="A247" s="456">
        <v>6</v>
      </c>
      <c r="B247" s="457" t="s">
        <v>776</v>
      </c>
      <c r="C247" s="497">
        <v>9901442859</v>
      </c>
      <c r="D247" s="459" t="s">
        <v>777</v>
      </c>
      <c r="E247" s="460" t="s">
        <v>1175</v>
      </c>
      <c r="F247" s="461">
        <v>31</v>
      </c>
      <c r="G247" s="462">
        <v>71.400000000000006</v>
      </c>
      <c r="H247" s="462">
        <f t="shared" si="74"/>
        <v>2213.4</v>
      </c>
      <c r="I247" s="462">
        <f t="shared" si="75"/>
        <v>8568</v>
      </c>
      <c r="J247" s="463">
        <v>4</v>
      </c>
      <c r="K247" s="464">
        <v>50</v>
      </c>
      <c r="L247" s="462">
        <f t="shared" si="76"/>
        <v>1760</v>
      </c>
      <c r="M247" s="462">
        <v>1510</v>
      </c>
      <c r="N247" s="462">
        <v>250</v>
      </c>
      <c r="O247" s="462">
        <f t="shared" si="77"/>
        <v>4023.4</v>
      </c>
      <c r="P247" s="488">
        <f t="shared" si="78"/>
        <v>1234</v>
      </c>
      <c r="Q247" s="489">
        <f t="shared" si="79"/>
        <v>1217.0958904109589</v>
      </c>
      <c r="R247" s="489">
        <f t="shared" si="80"/>
        <v>65.753424657534239</v>
      </c>
      <c r="S247" s="490">
        <f t="shared" si="81"/>
        <v>15808</v>
      </c>
      <c r="T247" s="490">
        <f t="shared" si="82"/>
        <v>18324.849315068492</v>
      </c>
      <c r="U247" s="491">
        <f t="shared" si="83"/>
        <v>182.26</v>
      </c>
      <c r="V247" s="498">
        <f>(O247-N247)*11%</f>
        <v>415.07400000000001</v>
      </c>
      <c r="W247" s="462">
        <v>10</v>
      </c>
      <c r="X247" s="462"/>
      <c r="Y247" s="462">
        <v>1391.35</v>
      </c>
      <c r="Z247" s="462">
        <f t="shared" si="84"/>
        <v>1998.684</v>
      </c>
      <c r="AA247" s="462">
        <f t="shared" si="85"/>
        <v>2024.7160000000001</v>
      </c>
      <c r="AB247" s="489">
        <v>1000</v>
      </c>
    </row>
    <row r="248" spans="1:30" s="486" customFormat="1" ht="12">
      <c r="A248" s="456">
        <v>7</v>
      </c>
      <c r="B248" s="457" t="s">
        <v>778</v>
      </c>
      <c r="C248" s="497">
        <v>9901442270</v>
      </c>
      <c r="D248" s="459" t="s">
        <v>779</v>
      </c>
      <c r="E248" s="460" t="s">
        <v>1175</v>
      </c>
      <c r="F248" s="461">
        <v>31</v>
      </c>
      <c r="G248" s="462">
        <v>71.400000000000006</v>
      </c>
      <c r="H248" s="462">
        <f t="shared" si="74"/>
        <v>2213.4</v>
      </c>
      <c r="I248" s="462">
        <f t="shared" si="75"/>
        <v>8568</v>
      </c>
      <c r="J248" s="463">
        <v>4</v>
      </c>
      <c r="K248" s="465">
        <v>50</v>
      </c>
      <c r="L248" s="462">
        <f t="shared" si="76"/>
        <v>1760</v>
      </c>
      <c r="M248" s="462">
        <v>1510</v>
      </c>
      <c r="N248" s="462">
        <v>250</v>
      </c>
      <c r="O248" s="462">
        <f t="shared" si="77"/>
        <v>4023.4</v>
      </c>
      <c r="P248" s="488">
        <f t="shared" si="78"/>
        <v>1234</v>
      </c>
      <c r="Q248" s="489">
        <f t="shared" si="79"/>
        <v>1217.0958904109589</v>
      </c>
      <c r="R248" s="489">
        <f t="shared" si="80"/>
        <v>65.753424657534239</v>
      </c>
      <c r="S248" s="490">
        <f t="shared" si="81"/>
        <v>15808</v>
      </c>
      <c r="T248" s="490">
        <f t="shared" si="82"/>
        <v>18324.849315068492</v>
      </c>
      <c r="U248" s="491">
        <f t="shared" si="83"/>
        <v>182.26</v>
      </c>
      <c r="V248" s="462"/>
      <c r="W248" s="462">
        <v>10</v>
      </c>
      <c r="X248" s="462"/>
      <c r="Y248" s="462"/>
      <c r="Z248" s="462">
        <f t="shared" si="84"/>
        <v>192.26</v>
      </c>
      <c r="AA248" s="462">
        <f t="shared" si="85"/>
        <v>3831.1400000000003</v>
      </c>
      <c r="AB248" s="489">
        <v>1000</v>
      </c>
    </row>
    <row r="249" spans="1:30" s="486" customFormat="1" ht="12">
      <c r="A249" s="456">
        <v>8</v>
      </c>
      <c r="B249" s="466" t="s">
        <v>780</v>
      </c>
      <c r="C249" s="497">
        <v>9901442359</v>
      </c>
      <c r="D249" s="459" t="s">
        <v>781</v>
      </c>
      <c r="E249" s="460" t="s">
        <v>1175</v>
      </c>
      <c r="F249" s="461">
        <v>31</v>
      </c>
      <c r="G249" s="462">
        <v>71.400000000000006</v>
      </c>
      <c r="H249" s="462">
        <f t="shared" si="74"/>
        <v>2213.4</v>
      </c>
      <c r="I249" s="462">
        <f t="shared" si="75"/>
        <v>8568</v>
      </c>
      <c r="J249" s="463">
        <v>4</v>
      </c>
      <c r="K249" s="465">
        <v>50</v>
      </c>
      <c r="L249" s="462">
        <f t="shared" si="76"/>
        <v>1760</v>
      </c>
      <c r="M249" s="462">
        <v>1510</v>
      </c>
      <c r="N249" s="462">
        <v>250</v>
      </c>
      <c r="O249" s="462">
        <f t="shared" si="77"/>
        <v>4023.4</v>
      </c>
      <c r="P249" s="488">
        <f t="shared" si="78"/>
        <v>1234</v>
      </c>
      <c r="Q249" s="489">
        <f t="shared" si="79"/>
        <v>1217.0958904109589</v>
      </c>
      <c r="R249" s="489">
        <f t="shared" si="80"/>
        <v>65.753424657534239</v>
      </c>
      <c r="S249" s="490">
        <f t="shared" si="81"/>
        <v>15808</v>
      </c>
      <c r="T249" s="490">
        <f t="shared" si="82"/>
        <v>18324.849315068492</v>
      </c>
      <c r="U249" s="491">
        <f t="shared" si="83"/>
        <v>182.26</v>
      </c>
      <c r="V249" s="462"/>
      <c r="W249" s="462">
        <v>10</v>
      </c>
      <c r="X249" s="462"/>
      <c r="Y249" s="462">
        <v>1734.21</v>
      </c>
      <c r="Z249" s="462">
        <f t="shared" si="84"/>
        <v>1926.47</v>
      </c>
      <c r="AA249" s="462">
        <f t="shared" si="85"/>
        <v>2096.9300000000003</v>
      </c>
      <c r="AB249" s="489">
        <v>1000</v>
      </c>
    </row>
    <row r="250" spans="1:30" s="486" customFormat="1" ht="12">
      <c r="A250" s="456">
        <v>9</v>
      </c>
      <c r="B250" s="457" t="s">
        <v>782</v>
      </c>
      <c r="C250" s="497">
        <v>9901442319</v>
      </c>
      <c r="D250" s="459" t="s">
        <v>783</v>
      </c>
      <c r="E250" s="460" t="s">
        <v>1175</v>
      </c>
      <c r="F250" s="461">
        <v>31</v>
      </c>
      <c r="G250" s="462">
        <v>71.400000000000006</v>
      </c>
      <c r="H250" s="462">
        <f t="shared" si="74"/>
        <v>2213.4</v>
      </c>
      <c r="I250" s="462">
        <f t="shared" si="75"/>
        <v>8568</v>
      </c>
      <c r="J250" s="463">
        <v>4</v>
      </c>
      <c r="K250" s="464">
        <v>75</v>
      </c>
      <c r="L250" s="462">
        <f t="shared" si="76"/>
        <v>1760</v>
      </c>
      <c r="M250" s="462">
        <v>1510</v>
      </c>
      <c r="N250" s="462">
        <v>250</v>
      </c>
      <c r="O250" s="462">
        <f t="shared" si="77"/>
        <v>4048.4</v>
      </c>
      <c r="P250" s="488">
        <f t="shared" si="78"/>
        <v>1242.3333333333333</v>
      </c>
      <c r="Q250" s="489">
        <f t="shared" si="79"/>
        <v>1225.3150684931506</v>
      </c>
      <c r="R250" s="489">
        <f t="shared" si="80"/>
        <v>65.753424657534239</v>
      </c>
      <c r="S250" s="490">
        <f t="shared" si="81"/>
        <v>15908</v>
      </c>
      <c r="T250" s="490">
        <f t="shared" si="82"/>
        <v>18441.401826484016</v>
      </c>
      <c r="U250" s="491">
        <f t="shared" si="83"/>
        <v>183.46</v>
      </c>
      <c r="V250" s="462"/>
      <c r="W250" s="462">
        <v>10</v>
      </c>
      <c r="X250" s="462"/>
      <c r="Y250" s="462">
        <v>1764.37</v>
      </c>
      <c r="Z250" s="462">
        <f t="shared" si="84"/>
        <v>1957.83</v>
      </c>
      <c r="AA250" s="462">
        <f t="shared" si="85"/>
        <v>2090.5700000000002</v>
      </c>
      <c r="AB250" s="489">
        <v>1000</v>
      </c>
    </row>
    <row r="251" spans="1:30" s="486" customFormat="1" ht="12">
      <c r="A251" s="456">
        <v>10</v>
      </c>
      <c r="B251" s="466" t="s">
        <v>784</v>
      </c>
      <c r="C251" s="497">
        <v>9901443920</v>
      </c>
      <c r="D251" s="459" t="s">
        <v>785</v>
      </c>
      <c r="E251" s="460" t="s">
        <v>1175</v>
      </c>
      <c r="F251" s="461">
        <v>31</v>
      </c>
      <c r="G251" s="462">
        <v>71.400000000000006</v>
      </c>
      <c r="H251" s="462">
        <f t="shared" si="74"/>
        <v>2213.4</v>
      </c>
      <c r="I251" s="462">
        <f t="shared" si="75"/>
        <v>8568</v>
      </c>
      <c r="J251" s="463">
        <v>4</v>
      </c>
      <c r="K251" s="465">
        <v>50</v>
      </c>
      <c r="L251" s="462">
        <f t="shared" si="76"/>
        <v>1760</v>
      </c>
      <c r="M251" s="462">
        <v>1510</v>
      </c>
      <c r="N251" s="462">
        <v>250</v>
      </c>
      <c r="O251" s="462">
        <f t="shared" si="77"/>
        <v>4023.4</v>
      </c>
      <c r="P251" s="488">
        <f t="shared" si="78"/>
        <v>1234</v>
      </c>
      <c r="Q251" s="489">
        <f t="shared" si="79"/>
        <v>1217.0958904109589</v>
      </c>
      <c r="R251" s="489">
        <f t="shared" si="80"/>
        <v>65.753424657534239</v>
      </c>
      <c r="S251" s="490">
        <f t="shared" si="81"/>
        <v>15808</v>
      </c>
      <c r="T251" s="490">
        <f t="shared" si="82"/>
        <v>18324.849315068492</v>
      </c>
      <c r="U251" s="491">
        <f t="shared" si="83"/>
        <v>182.26</v>
      </c>
      <c r="V251" s="462"/>
      <c r="W251" s="462">
        <v>10</v>
      </c>
      <c r="X251" s="462"/>
      <c r="Y251" s="462">
        <v>1990.7</v>
      </c>
      <c r="Z251" s="462">
        <f t="shared" si="84"/>
        <v>2182.96</v>
      </c>
      <c r="AA251" s="462">
        <f t="shared" si="85"/>
        <v>1840.44</v>
      </c>
      <c r="AB251" s="489">
        <v>1000</v>
      </c>
    </row>
    <row r="252" spans="1:30" s="486" customFormat="1">
      <c r="A252" s="456">
        <v>11</v>
      </c>
      <c r="B252" s="457" t="s">
        <v>786</v>
      </c>
      <c r="C252" s="497">
        <v>9901442328</v>
      </c>
      <c r="D252" s="459" t="s">
        <v>787</v>
      </c>
      <c r="E252" s="460" t="s">
        <v>1175</v>
      </c>
      <c r="F252" s="461">
        <v>31</v>
      </c>
      <c r="G252" s="462">
        <v>71.400000000000006</v>
      </c>
      <c r="H252" s="462">
        <f t="shared" si="74"/>
        <v>2213.4</v>
      </c>
      <c r="I252" s="462">
        <f t="shared" si="75"/>
        <v>8568</v>
      </c>
      <c r="J252" s="463">
        <v>4</v>
      </c>
      <c r="K252" s="465">
        <v>35</v>
      </c>
      <c r="L252" s="462">
        <f t="shared" si="76"/>
        <v>1760</v>
      </c>
      <c r="M252" s="462">
        <v>1510</v>
      </c>
      <c r="N252" s="462">
        <v>250</v>
      </c>
      <c r="O252" s="462">
        <f t="shared" si="77"/>
        <v>4008.4</v>
      </c>
      <c r="P252" s="488">
        <f t="shared" si="78"/>
        <v>1229</v>
      </c>
      <c r="Q252" s="489">
        <f t="shared" si="79"/>
        <v>1212.1643835616437</v>
      </c>
      <c r="R252" s="489">
        <f t="shared" si="80"/>
        <v>65.753424657534239</v>
      </c>
      <c r="S252" s="490">
        <f t="shared" si="81"/>
        <v>15748</v>
      </c>
      <c r="T252" s="490">
        <f t="shared" si="82"/>
        <v>18254.917808219179</v>
      </c>
      <c r="U252" s="491">
        <f t="shared" si="83"/>
        <v>181.53</v>
      </c>
      <c r="V252" s="498">
        <f>(O252-N252)*11%</f>
        <v>413.42400000000004</v>
      </c>
      <c r="W252" s="462">
        <v>10</v>
      </c>
      <c r="X252" s="512">
        <v>930.85</v>
      </c>
      <c r="Y252" s="462">
        <v>1274.26</v>
      </c>
      <c r="Z252" s="462">
        <f t="shared" si="84"/>
        <v>2810.0640000000003</v>
      </c>
      <c r="AA252" s="462">
        <f t="shared" si="85"/>
        <v>1198.3359999999998</v>
      </c>
      <c r="AB252" s="489">
        <v>1000</v>
      </c>
      <c r="AD252" s="486" t="s">
        <v>771</v>
      </c>
    </row>
    <row r="253" spans="1:30" s="486" customFormat="1" ht="12">
      <c r="A253" s="456">
        <v>12</v>
      </c>
      <c r="B253" s="466" t="s">
        <v>788</v>
      </c>
      <c r="C253" s="497">
        <v>9901443175</v>
      </c>
      <c r="D253" s="459" t="s">
        <v>789</v>
      </c>
      <c r="E253" s="460" t="s">
        <v>1175</v>
      </c>
      <c r="F253" s="461">
        <v>31</v>
      </c>
      <c r="G253" s="462">
        <v>71.400000000000006</v>
      </c>
      <c r="H253" s="462">
        <f t="shared" si="74"/>
        <v>2213.4</v>
      </c>
      <c r="I253" s="462">
        <f t="shared" si="75"/>
        <v>8568</v>
      </c>
      <c r="J253" s="463">
        <v>4</v>
      </c>
      <c r="K253" s="465">
        <v>50</v>
      </c>
      <c r="L253" s="462">
        <f t="shared" si="76"/>
        <v>1760</v>
      </c>
      <c r="M253" s="462">
        <v>1510</v>
      </c>
      <c r="N253" s="462">
        <v>250</v>
      </c>
      <c r="O253" s="462">
        <f t="shared" si="77"/>
        <v>4023.4</v>
      </c>
      <c r="P253" s="488">
        <f t="shared" si="78"/>
        <v>1234</v>
      </c>
      <c r="Q253" s="489">
        <f t="shared" si="79"/>
        <v>1217.0958904109589</v>
      </c>
      <c r="R253" s="489">
        <f t="shared" si="80"/>
        <v>65.753424657534239</v>
      </c>
      <c r="S253" s="490">
        <f t="shared" si="81"/>
        <v>15808</v>
      </c>
      <c r="T253" s="490">
        <f t="shared" si="82"/>
        <v>18324.849315068492</v>
      </c>
      <c r="U253" s="491">
        <f t="shared" si="83"/>
        <v>182.26</v>
      </c>
      <c r="V253" s="462"/>
      <c r="W253" s="462">
        <v>10</v>
      </c>
      <c r="X253" s="462"/>
      <c r="Y253" s="462">
        <v>1956.52</v>
      </c>
      <c r="Z253" s="462">
        <f t="shared" si="84"/>
        <v>2148.7799999999997</v>
      </c>
      <c r="AA253" s="462">
        <f t="shared" si="85"/>
        <v>1874.6200000000003</v>
      </c>
      <c r="AB253" s="489">
        <v>1000</v>
      </c>
    </row>
    <row r="254" spans="1:30" s="486" customFormat="1" ht="12">
      <c r="A254" s="456">
        <v>13</v>
      </c>
      <c r="B254" s="457" t="s">
        <v>790</v>
      </c>
      <c r="C254" s="497">
        <v>9901442365</v>
      </c>
      <c r="D254" s="459" t="s">
        <v>791</v>
      </c>
      <c r="E254" s="460" t="s">
        <v>1175</v>
      </c>
      <c r="F254" s="461">
        <v>31</v>
      </c>
      <c r="G254" s="462">
        <v>71.400000000000006</v>
      </c>
      <c r="H254" s="462">
        <f t="shared" si="74"/>
        <v>2213.4</v>
      </c>
      <c r="I254" s="462">
        <f t="shared" si="75"/>
        <v>8568</v>
      </c>
      <c r="J254" s="463">
        <v>4</v>
      </c>
      <c r="K254" s="465">
        <v>50</v>
      </c>
      <c r="L254" s="462">
        <f t="shared" si="76"/>
        <v>1760</v>
      </c>
      <c r="M254" s="462">
        <v>1510</v>
      </c>
      <c r="N254" s="462">
        <v>250</v>
      </c>
      <c r="O254" s="462">
        <f t="shared" si="77"/>
        <v>4023.4</v>
      </c>
      <c r="P254" s="488">
        <f t="shared" si="78"/>
        <v>1234</v>
      </c>
      <c r="Q254" s="489">
        <f t="shared" si="79"/>
        <v>1217.0958904109589</v>
      </c>
      <c r="R254" s="489">
        <f t="shared" si="80"/>
        <v>65.753424657534239</v>
      </c>
      <c r="S254" s="490">
        <f t="shared" si="81"/>
        <v>15808</v>
      </c>
      <c r="T254" s="490">
        <f t="shared" si="82"/>
        <v>18324.849315068492</v>
      </c>
      <c r="U254" s="491">
        <f t="shared" si="83"/>
        <v>182.26</v>
      </c>
      <c r="V254" s="462"/>
      <c r="W254" s="462">
        <v>10</v>
      </c>
      <c r="X254" s="462"/>
      <c r="Y254" s="462">
        <v>1874.17</v>
      </c>
      <c r="Z254" s="462">
        <f t="shared" si="84"/>
        <v>2066.4300000000003</v>
      </c>
      <c r="AA254" s="462">
        <f t="shared" si="85"/>
        <v>1956.9699999999998</v>
      </c>
      <c r="AB254" s="489">
        <v>1000</v>
      </c>
    </row>
    <row r="255" spans="1:30" s="486" customFormat="1" ht="12">
      <c r="A255" s="456">
        <v>14</v>
      </c>
      <c r="B255" s="457" t="s">
        <v>792</v>
      </c>
      <c r="C255" s="497">
        <v>9901442938</v>
      </c>
      <c r="D255" s="459" t="s">
        <v>793</v>
      </c>
      <c r="E255" s="460" t="s">
        <v>1175</v>
      </c>
      <c r="F255" s="461">
        <v>31</v>
      </c>
      <c r="G255" s="462">
        <v>71.400000000000006</v>
      </c>
      <c r="H255" s="462">
        <f t="shared" si="74"/>
        <v>2213.4</v>
      </c>
      <c r="I255" s="462">
        <f t="shared" si="75"/>
        <v>8568</v>
      </c>
      <c r="J255" s="463">
        <v>4</v>
      </c>
      <c r="K255" s="464">
        <v>75</v>
      </c>
      <c r="L255" s="462">
        <f t="shared" si="76"/>
        <v>1760</v>
      </c>
      <c r="M255" s="462">
        <v>1510</v>
      </c>
      <c r="N255" s="462">
        <v>250</v>
      </c>
      <c r="O255" s="462">
        <f t="shared" si="77"/>
        <v>4048.4</v>
      </c>
      <c r="P255" s="488">
        <f t="shared" si="78"/>
        <v>1242.3333333333333</v>
      </c>
      <c r="Q255" s="489">
        <f t="shared" si="79"/>
        <v>1225.3150684931506</v>
      </c>
      <c r="R255" s="489">
        <f t="shared" si="80"/>
        <v>65.753424657534239</v>
      </c>
      <c r="S255" s="490">
        <f t="shared" si="81"/>
        <v>15908</v>
      </c>
      <c r="T255" s="490">
        <f t="shared" si="82"/>
        <v>18441.401826484016</v>
      </c>
      <c r="U255" s="491">
        <f t="shared" si="83"/>
        <v>183.46</v>
      </c>
      <c r="V255" s="462"/>
      <c r="W255" s="462">
        <v>10</v>
      </c>
      <c r="X255" s="462"/>
      <c r="Y255" s="462">
        <v>1049.9100000000001</v>
      </c>
      <c r="Z255" s="462">
        <f t="shared" si="84"/>
        <v>1243.3700000000001</v>
      </c>
      <c r="AA255" s="462">
        <f t="shared" si="85"/>
        <v>2805.0299999999997</v>
      </c>
      <c r="AB255" s="489">
        <v>1000</v>
      </c>
    </row>
    <row r="256" spans="1:30" s="486" customFormat="1" ht="12">
      <c r="A256" s="456">
        <v>15</v>
      </c>
      <c r="B256" s="466" t="s">
        <v>794</v>
      </c>
      <c r="C256" s="497">
        <v>9901442371</v>
      </c>
      <c r="D256" s="459" t="s">
        <v>795</v>
      </c>
      <c r="E256" s="460" t="s">
        <v>1175</v>
      </c>
      <c r="F256" s="461">
        <v>31</v>
      </c>
      <c r="G256" s="462">
        <v>71.400000000000006</v>
      </c>
      <c r="H256" s="462">
        <f t="shared" si="74"/>
        <v>2213.4</v>
      </c>
      <c r="I256" s="462">
        <f t="shared" si="75"/>
        <v>8568</v>
      </c>
      <c r="J256" s="463">
        <v>4</v>
      </c>
      <c r="K256" s="465">
        <v>50</v>
      </c>
      <c r="L256" s="462">
        <f t="shared" si="76"/>
        <v>1760</v>
      </c>
      <c r="M256" s="462">
        <v>1510</v>
      </c>
      <c r="N256" s="462">
        <v>250</v>
      </c>
      <c r="O256" s="462">
        <f t="shared" si="77"/>
        <v>4023.4</v>
      </c>
      <c r="P256" s="488">
        <f t="shared" si="78"/>
        <v>1234</v>
      </c>
      <c r="Q256" s="489">
        <f t="shared" si="79"/>
        <v>1217.0958904109589</v>
      </c>
      <c r="R256" s="489">
        <f t="shared" si="80"/>
        <v>65.753424657534239</v>
      </c>
      <c r="S256" s="490">
        <f t="shared" si="81"/>
        <v>15808</v>
      </c>
      <c r="T256" s="490">
        <f t="shared" si="82"/>
        <v>18324.849315068492</v>
      </c>
      <c r="U256" s="491">
        <f t="shared" si="83"/>
        <v>182.26</v>
      </c>
      <c r="V256" s="498">
        <f>(O256-N256)*11%</f>
        <v>415.07400000000001</v>
      </c>
      <c r="W256" s="462">
        <v>10</v>
      </c>
      <c r="X256" s="462"/>
      <c r="Y256" s="462">
        <v>1340.61</v>
      </c>
      <c r="Z256" s="462">
        <f t="shared" si="84"/>
        <v>1947.944</v>
      </c>
      <c r="AA256" s="462">
        <f t="shared" si="85"/>
        <v>2075.4560000000001</v>
      </c>
      <c r="AB256" s="489">
        <v>1000</v>
      </c>
    </row>
    <row r="257" spans="1:30" s="486" customFormat="1" ht="12">
      <c r="A257" s="456">
        <v>16</v>
      </c>
      <c r="B257" s="466" t="s">
        <v>796</v>
      </c>
      <c r="C257" s="497">
        <v>9901443123</v>
      </c>
      <c r="D257" s="459" t="s">
        <v>797</v>
      </c>
      <c r="E257" s="460" t="s">
        <v>1175</v>
      </c>
      <c r="F257" s="461">
        <v>31</v>
      </c>
      <c r="G257" s="462">
        <v>71.400000000000006</v>
      </c>
      <c r="H257" s="462">
        <f t="shared" si="74"/>
        <v>2213.4</v>
      </c>
      <c r="I257" s="462">
        <f t="shared" si="75"/>
        <v>8568</v>
      </c>
      <c r="J257" s="463">
        <v>4</v>
      </c>
      <c r="K257" s="465">
        <v>35</v>
      </c>
      <c r="L257" s="462">
        <f t="shared" si="76"/>
        <v>1760</v>
      </c>
      <c r="M257" s="462">
        <v>1510</v>
      </c>
      <c r="N257" s="462">
        <v>250</v>
      </c>
      <c r="O257" s="462">
        <f t="shared" si="77"/>
        <v>4008.4</v>
      </c>
      <c r="P257" s="488">
        <f t="shared" si="78"/>
        <v>1229</v>
      </c>
      <c r="Q257" s="489">
        <f t="shared" si="79"/>
        <v>1212.1643835616437</v>
      </c>
      <c r="R257" s="489">
        <f t="shared" si="80"/>
        <v>65.753424657534239</v>
      </c>
      <c r="S257" s="490">
        <f t="shared" si="81"/>
        <v>15748</v>
      </c>
      <c r="T257" s="490">
        <f t="shared" si="82"/>
        <v>18254.917808219179</v>
      </c>
      <c r="U257" s="491">
        <f t="shared" si="83"/>
        <v>181.53</v>
      </c>
      <c r="V257" s="498">
        <f>(O257-N257)*11%</f>
        <v>413.42400000000004</v>
      </c>
      <c r="W257" s="462">
        <v>10</v>
      </c>
      <c r="X257" s="462"/>
      <c r="Y257" s="462">
        <v>944.51</v>
      </c>
      <c r="Z257" s="462">
        <f t="shared" si="84"/>
        <v>1549.4639999999999</v>
      </c>
      <c r="AA257" s="462">
        <f t="shared" si="85"/>
        <v>2458.9360000000001</v>
      </c>
      <c r="AB257" s="489">
        <v>1000</v>
      </c>
      <c r="AD257" s="486" t="s">
        <v>771</v>
      </c>
    </row>
    <row r="258" spans="1:30" s="486" customFormat="1" ht="12">
      <c r="A258" s="456">
        <v>17</v>
      </c>
      <c r="B258" s="466" t="s">
        <v>798</v>
      </c>
      <c r="C258" s="497">
        <v>9901442354</v>
      </c>
      <c r="D258" s="459" t="s">
        <v>799</v>
      </c>
      <c r="E258" s="460" t="s">
        <v>1175</v>
      </c>
      <c r="F258" s="461">
        <v>31</v>
      </c>
      <c r="G258" s="462">
        <v>71.400000000000006</v>
      </c>
      <c r="H258" s="462">
        <f t="shared" si="74"/>
        <v>2213.4</v>
      </c>
      <c r="I258" s="462">
        <f t="shared" si="75"/>
        <v>8568</v>
      </c>
      <c r="J258" s="463">
        <v>4</v>
      </c>
      <c r="K258" s="465">
        <v>35</v>
      </c>
      <c r="L258" s="462">
        <f t="shared" si="76"/>
        <v>1760</v>
      </c>
      <c r="M258" s="462">
        <v>1510</v>
      </c>
      <c r="N258" s="462">
        <v>250</v>
      </c>
      <c r="O258" s="462">
        <f t="shared" si="77"/>
        <v>4008.4</v>
      </c>
      <c r="P258" s="488">
        <f t="shared" si="78"/>
        <v>1229</v>
      </c>
      <c r="Q258" s="489">
        <f t="shared" si="79"/>
        <v>1212.1643835616437</v>
      </c>
      <c r="R258" s="489">
        <f t="shared" si="80"/>
        <v>65.753424657534239</v>
      </c>
      <c r="S258" s="490">
        <f t="shared" si="81"/>
        <v>15748</v>
      </c>
      <c r="T258" s="490">
        <f t="shared" si="82"/>
        <v>18254.917808219179</v>
      </c>
      <c r="U258" s="491">
        <f t="shared" si="83"/>
        <v>181.53</v>
      </c>
      <c r="V258" s="462"/>
      <c r="W258" s="462">
        <v>10</v>
      </c>
      <c r="X258" s="462"/>
      <c r="Y258" s="462">
        <v>1242.4000000000001</v>
      </c>
      <c r="Z258" s="462">
        <f t="shared" si="84"/>
        <v>1433.93</v>
      </c>
      <c r="AA258" s="462">
        <f t="shared" si="85"/>
        <v>2574.4700000000003</v>
      </c>
      <c r="AB258" s="489">
        <v>1000</v>
      </c>
    </row>
    <row r="259" spans="1:30" s="486" customFormat="1" ht="12">
      <c r="A259" s="456">
        <v>18</v>
      </c>
      <c r="B259" s="457" t="s">
        <v>800</v>
      </c>
      <c r="C259" s="497">
        <v>9901443176</v>
      </c>
      <c r="D259" s="459" t="s">
        <v>801</v>
      </c>
      <c r="E259" s="460" t="s">
        <v>1175</v>
      </c>
      <c r="F259" s="461">
        <v>31</v>
      </c>
      <c r="G259" s="462">
        <v>71.400000000000006</v>
      </c>
      <c r="H259" s="462">
        <f t="shared" si="74"/>
        <v>2213.4</v>
      </c>
      <c r="I259" s="462">
        <f t="shared" si="75"/>
        <v>8568</v>
      </c>
      <c r="J259" s="463">
        <v>4</v>
      </c>
      <c r="K259" s="465">
        <v>50</v>
      </c>
      <c r="L259" s="462">
        <f t="shared" si="76"/>
        <v>1760</v>
      </c>
      <c r="M259" s="462">
        <v>1510</v>
      </c>
      <c r="N259" s="462">
        <v>250</v>
      </c>
      <c r="O259" s="462">
        <f t="shared" si="77"/>
        <v>4023.4</v>
      </c>
      <c r="P259" s="488">
        <f t="shared" si="78"/>
        <v>1234</v>
      </c>
      <c r="Q259" s="489">
        <f t="shared" si="79"/>
        <v>1217.0958904109589</v>
      </c>
      <c r="R259" s="489">
        <f t="shared" si="80"/>
        <v>65.753424657534239</v>
      </c>
      <c r="S259" s="490">
        <f t="shared" si="81"/>
        <v>15808</v>
      </c>
      <c r="T259" s="490">
        <f t="shared" si="82"/>
        <v>18324.849315068492</v>
      </c>
      <c r="U259" s="491">
        <f t="shared" si="83"/>
        <v>182.26</v>
      </c>
      <c r="V259" s="462"/>
      <c r="W259" s="462"/>
      <c r="X259" s="462"/>
      <c r="Y259" s="462">
        <v>1956.52</v>
      </c>
      <c r="Z259" s="462">
        <f t="shared" si="84"/>
        <v>2138.7799999999997</v>
      </c>
      <c r="AA259" s="462">
        <f t="shared" si="85"/>
        <v>1884.6200000000003</v>
      </c>
      <c r="AB259" s="489">
        <v>1000</v>
      </c>
    </row>
    <row r="260" spans="1:30" s="486" customFormat="1" ht="12">
      <c r="A260" s="456">
        <v>19</v>
      </c>
      <c r="B260" s="457" t="s">
        <v>802</v>
      </c>
      <c r="C260" s="497">
        <v>9901442361</v>
      </c>
      <c r="D260" s="459" t="s">
        <v>803</v>
      </c>
      <c r="E260" s="460" t="s">
        <v>1175</v>
      </c>
      <c r="F260" s="461">
        <v>31</v>
      </c>
      <c r="G260" s="462">
        <v>71.400000000000006</v>
      </c>
      <c r="H260" s="462">
        <f t="shared" si="74"/>
        <v>2213.4</v>
      </c>
      <c r="I260" s="462">
        <f t="shared" si="75"/>
        <v>8568</v>
      </c>
      <c r="J260" s="463">
        <v>4</v>
      </c>
      <c r="K260" s="465">
        <v>50</v>
      </c>
      <c r="L260" s="462">
        <f t="shared" si="76"/>
        <v>1760</v>
      </c>
      <c r="M260" s="462">
        <v>1510</v>
      </c>
      <c r="N260" s="462">
        <v>250</v>
      </c>
      <c r="O260" s="462">
        <f t="shared" si="77"/>
        <v>4023.4</v>
      </c>
      <c r="P260" s="488">
        <f t="shared" si="78"/>
        <v>1234</v>
      </c>
      <c r="Q260" s="489">
        <f t="shared" si="79"/>
        <v>1217.0958904109589</v>
      </c>
      <c r="R260" s="489">
        <f t="shared" si="80"/>
        <v>65.753424657534239</v>
      </c>
      <c r="S260" s="490">
        <f t="shared" si="81"/>
        <v>15808</v>
      </c>
      <c r="T260" s="490">
        <f t="shared" si="82"/>
        <v>18324.849315068492</v>
      </c>
      <c r="U260" s="491">
        <f t="shared" si="83"/>
        <v>182.26</v>
      </c>
      <c r="V260" s="462"/>
      <c r="W260" s="462"/>
      <c r="X260" s="462"/>
      <c r="Y260" s="462">
        <v>1826.39</v>
      </c>
      <c r="Z260" s="462">
        <f t="shared" si="84"/>
        <v>2008.65</v>
      </c>
      <c r="AA260" s="462">
        <f t="shared" si="85"/>
        <v>2014.75</v>
      </c>
      <c r="AB260" s="489">
        <v>1000</v>
      </c>
    </row>
    <row r="261" spans="1:30" s="486" customFormat="1" ht="12">
      <c r="A261" s="456">
        <v>20</v>
      </c>
      <c r="B261" s="457" t="s">
        <v>804</v>
      </c>
      <c r="C261" s="497">
        <v>9901443397</v>
      </c>
      <c r="D261" s="459" t="s">
        <v>805</v>
      </c>
      <c r="E261" s="460" t="s">
        <v>1175</v>
      </c>
      <c r="F261" s="461">
        <v>31</v>
      </c>
      <c r="G261" s="462">
        <v>71.400000000000006</v>
      </c>
      <c r="H261" s="462">
        <f t="shared" si="74"/>
        <v>2213.4</v>
      </c>
      <c r="I261" s="462">
        <f t="shared" si="75"/>
        <v>8568</v>
      </c>
      <c r="J261" s="463">
        <v>4</v>
      </c>
      <c r="K261" s="465">
        <v>35</v>
      </c>
      <c r="L261" s="462">
        <f t="shared" si="76"/>
        <v>1760</v>
      </c>
      <c r="M261" s="462">
        <v>1510</v>
      </c>
      <c r="N261" s="462">
        <v>250</v>
      </c>
      <c r="O261" s="462">
        <f t="shared" si="77"/>
        <v>4008.4</v>
      </c>
      <c r="P261" s="488">
        <f t="shared" si="78"/>
        <v>1229</v>
      </c>
      <c r="Q261" s="489">
        <f t="shared" si="79"/>
        <v>1212.1643835616437</v>
      </c>
      <c r="R261" s="489">
        <f t="shared" si="80"/>
        <v>65.753424657534239</v>
      </c>
      <c r="S261" s="490">
        <f t="shared" si="81"/>
        <v>15748</v>
      </c>
      <c r="T261" s="490">
        <f t="shared" si="82"/>
        <v>18254.917808219179</v>
      </c>
      <c r="U261" s="491">
        <f t="shared" si="83"/>
        <v>181.53</v>
      </c>
      <c r="V261" s="462"/>
      <c r="W261" s="462">
        <v>10</v>
      </c>
      <c r="X261" s="462"/>
      <c r="Y261" s="462"/>
      <c r="Z261" s="462">
        <f t="shared" si="84"/>
        <v>191.53</v>
      </c>
      <c r="AA261" s="462">
        <f t="shared" si="85"/>
        <v>3816.87</v>
      </c>
      <c r="AB261" s="489">
        <v>1000</v>
      </c>
      <c r="AD261" s="486" t="s">
        <v>771</v>
      </c>
    </row>
    <row r="262" spans="1:30" s="486" customFormat="1" ht="12">
      <c r="A262" s="456">
        <v>21</v>
      </c>
      <c r="B262" s="466" t="s">
        <v>806</v>
      </c>
      <c r="C262" s="497">
        <v>9901442863</v>
      </c>
      <c r="D262" s="459" t="s">
        <v>807</v>
      </c>
      <c r="E262" s="460" t="s">
        <v>1175</v>
      </c>
      <c r="F262" s="461">
        <v>31</v>
      </c>
      <c r="G262" s="462">
        <v>71.400000000000006</v>
      </c>
      <c r="H262" s="462">
        <f t="shared" si="74"/>
        <v>2213.4</v>
      </c>
      <c r="I262" s="462">
        <f t="shared" si="75"/>
        <v>8568</v>
      </c>
      <c r="J262" s="463">
        <v>4</v>
      </c>
      <c r="K262" s="465">
        <v>35</v>
      </c>
      <c r="L262" s="462">
        <f t="shared" si="76"/>
        <v>1760</v>
      </c>
      <c r="M262" s="462">
        <v>1510</v>
      </c>
      <c r="N262" s="462">
        <v>250</v>
      </c>
      <c r="O262" s="462">
        <f t="shared" si="77"/>
        <v>4008.4</v>
      </c>
      <c r="P262" s="488">
        <f t="shared" si="78"/>
        <v>1229</v>
      </c>
      <c r="Q262" s="489">
        <f t="shared" si="79"/>
        <v>1212.1643835616437</v>
      </c>
      <c r="R262" s="489">
        <f t="shared" si="80"/>
        <v>65.753424657534239</v>
      </c>
      <c r="S262" s="490">
        <f t="shared" si="81"/>
        <v>15748</v>
      </c>
      <c r="T262" s="490">
        <f t="shared" si="82"/>
        <v>18254.917808219179</v>
      </c>
      <c r="U262" s="491">
        <f t="shared" si="83"/>
        <v>181.53</v>
      </c>
      <c r="V262" s="498">
        <f>(O262-N262)*11%</f>
        <v>413.42400000000004</v>
      </c>
      <c r="W262" s="462">
        <v>10</v>
      </c>
      <c r="X262" s="462"/>
      <c r="Y262" s="462"/>
      <c r="Z262" s="462">
        <f t="shared" si="84"/>
        <v>604.95400000000006</v>
      </c>
      <c r="AA262" s="462">
        <f t="shared" si="85"/>
        <v>3403.4459999999999</v>
      </c>
      <c r="AB262" s="489">
        <v>1000</v>
      </c>
      <c r="AD262" s="486" t="s">
        <v>771</v>
      </c>
    </row>
    <row r="263" spans="1:30" s="486" customFormat="1" ht="12">
      <c r="A263" s="456">
        <v>22</v>
      </c>
      <c r="B263" s="457" t="s">
        <v>808</v>
      </c>
      <c r="C263" s="497">
        <v>9901443399</v>
      </c>
      <c r="D263" s="459" t="s">
        <v>809</v>
      </c>
      <c r="E263" s="460" t="s">
        <v>1175</v>
      </c>
      <c r="F263" s="461">
        <v>31</v>
      </c>
      <c r="G263" s="462">
        <v>71.400000000000006</v>
      </c>
      <c r="H263" s="462">
        <f t="shared" si="74"/>
        <v>2213.4</v>
      </c>
      <c r="I263" s="462">
        <f t="shared" si="75"/>
        <v>8568</v>
      </c>
      <c r="J263" s="463">
        <v>4</v>
      </c>
      <c r="K263" s="465">
        <v>35</v>
      </c>
      <c r="L263" s="462">
        <f t="shared" si="76"/>
        <v>1760</v>
      </c>
      <c r="M263" s="462">
        <v>1510</v>
      </c>
      <c r="N263" s="462">
        <v>250</v>
      </c>
      <c r="O263" s="462">
        <f t="shared" si="77"/>
        <v>4008.4</v>
      </c>
      <c r="P263" s="488">
        <f t="shared" si="78"/>
        <v>1229</v>
      </c>
      <c r="Q263" s="489">
        <f t="shared" si="79"/>
        <v>1212.1643835616437</v>
      </c>
      <c r="R263" s="489">
        <f t="shared" si="80"/>
        <v>65.753424657534239</v>
      </c>
      <c r="S263" s="490">
        <f t="shared" si="81"/>
        <v>15748</v>
      </c>
      <c r="T263" s="490">
        <f t="shared" si="82"/>
        <v>18254.917808219179</v>
      </c>
      <c r="U263" s="491">
        <f t="shared" si="83"/>
        <v>181.53</v>
      </c>
      <c r="V263" s="462"/>
      <c r="W263" s="462"/>
      <c r="X263" s="462"/>
      <c r="Y263" s="462">
        <v>885.95</v>
      </c>
      <c r="Z263" s="462">
        <f t="shared" si="84"/>
        <v>1067.48</v>
      </c>
      <c r="AA263" s="462">
        <f t="shared" si="85"/>
        <v>2940.92</v>
      </c>
      <c r="AB263" s="489">
        <v>1000</v>
      </c>
      <c r="AD263" s="486" t="s">
        <v>771</v>
      </c>
    </row>
    <row r="264" spans="1:30" s="486" customFormat="1" ht="12">
      <c r="A264" s="456">
        <v>23</v>
      </c>
      <c r="B264" s="536" t="s">
        <v>810</v>
      </c>
      <c r="C264" s="550">
        <v>9901351637</v>
      </c>
      <c r="D264" s="459" t="s">
        <v>811</v>
      </c>
      <c r="E264" s="460" t="s">
        <v>37</v>
      </c>
      <c r="F264" s="523">
        <v>31</v>
      </c>
      <c r="G264" s="462">
        <v>80.86</v>
      </c>
      <c r="H264" s="519">
        <f t="shared" si="74"/>
        <v>2506.66</v>
      </c>
      <c r="I264" s="462">
        <f t="shared" si="75"/>
        <v>9703.2000000000007</v>
      </c>
      <c r="J264" s="463">
        <v>4</v>
      </c>
      <c r="K264" s="520"/>
      <c r="L264" s="462">
        <f t="shared" si="76"/>
        <v>1760</v>
      </c>
      <c r="M264" s="462">
        <v>1510</v>
      </c>
      <c r="N264" s="462">
        <v>250</v>
      </c>
      <c r="O264" s="462">
        <f t="shared" si="77"/>
        <v>4266.66</v>
      </c>
      <c r="P264" s="488">
        <f t="shared" si="78"/>
        <v>1311.9333333333334</v>
      </c>
      <c r="Q264" s="489">
        <f t="shared" si="79"/>
        <v>1293.9616438356165</v>
      </c>
      <c r="R264" s="489">
        <f t="shared" si="80"/>
        <v>65.753424657534239</v>
      </c>
      <c r="S264" s="490">
        <f t="shared" si="81"/>
        <v>16743.2</v>
      </c>
      <c r="T264" s="490">
        <f t="shared" si="82"/>
        <v>19414.848401826486</v>
      </c>
      <c r="U264" s="491">
        <f t="shared" si="83"/>
        <v>194</v>
      </c>
      <c r="V264" s="519"/>
      <c r="W264" s="519"/>
      <c r="X264" s="519"/>
      <c r="Y264" s="519"/>
      <c r="Z264" s="462">
        <f t="shared" si="84"/>
        <v>194</v>
      </c>
      <c r="AA264" s="462">
        <f t="shared" si="85"/>
        <v>4072.66</v>
      </c>
      <c r="AB264" s="489">
        <v>1000</v>
      </c>
    </row>
    <row r="265" spans="1:30" s="486" customFormat="1" ht="12">
      <c r="A265" s="456">
        <v>24</v>
      </c>
      <c r="B265" s="457" t="s">
        <v>812</v>
      </c>
      <c r="C265" s="521">
        <v>9901443395</v>
      </c>
      <c r="D265" s="459" t="s">
        <v>813</v>
      </c>
      <c r="E265" s="460" t="s">
        <v>1175</v>
      </c>
      <c r="F265" s="523">
        <v>31</v>
      </c>
      <c r="G265" s="462">
        <v>71.400000000000006</v>
      </c>
      <c r="H265" s="519">
        <f t="shared" si="74"/>
        <v>2213.4</v>
      </c>
      <c r="I265" s="462">
        <f t="shared" si="75"/>
        <v>8568</v>
      </c>
      <c r="J265" s="463">
        <v>4</v>
      </c>
      <c r="K265" s="520"/>
      <c r="L265" s="462">
        <f t="shared" si="76"/>
        <v>1760</v>
      </c>
      <c r="M265" s="462">
        <v>1510</v>
      </c>
      <c r="N265" s="462">
        <v>250</v>
      </c>
      <c r="O265" s="462">
        <f t="shared" si="77"/>
        <v>3973.4</v>
      </c>
      <c r="P265" s="488">
        <f t="shared" si="78"/>
        <v>1217.3333333333333</v>
      </c>
      <c r="Q265" s="489">
        <f t="shared" si="79"/>
        <v>1200.6575342465753</v>
      </c>
      <c r="R265" s="489">
        <f t="shared" si="80"/>
        <v>65.753424657534239</v>
      </c>
      <c r="S265" s="490">
        <f t="shared" si="81"/>
        <v>15608</v>
      </c>
      <c r="T265" s="490">
        <f t="shared" si="82"/>
        <v>18091.744292237443</v>
      </c>
      <c r="U265" s="491">
        <f t="shared" si="83"/>
        <v>179.84</v>
      </c>
      <c r="V265" s="519"/>
      <c r="W265" s="519">
        <v>10</v>
      </c>
      <c r="X265" s="519"/>
      <c r="Y265" s="519">
        <v>1747.65</v>
      </c>
      <c r="Z265" s="462">
        <f t="shared" si="84"/>
        <v>1937.49</v>
      </c>
      <c r="AA265" s="462">
        <f t="shared" si="85"/>
        <v>2035.91</v>
      </c>
      <c r="AB265" s="489">
        <v>1000</v>
      </c>
      <c r="AC265" s="514"/>
    </row>
    <row r="266" spans="1:30" s="507" customFormat="1">
      <c r="A266" s="456">
        <v>25</v>
      </c>
      <c r="B266" s="466" t="s">
        <v>814</v>
      </c>
      <c r="C266" s="4">
        <v>9901482120</v>
      </c>
      <c r="D266" s="459" t="s">
        <v>815</v>
      </c>
      <c r="E266" s="460" t="s">
        <v>37</v>
      </c>
      <c r="F266" s="523">
        <v>31</v>
      </c>
      <c r="G266" s="467">
        <v>80.86</v>
      </c>
      <c r="H266" s="462">
        <f t="shared" si="74"/>
        <v>2506.66</v>
      </c>
      <c r="I266" s="462">
        <f t="shared" si="75"/>
        <v>9703.2000000000007</v>
      </c>
      <c r="J266" s="463">
        <v>4</v>
      </c>
      <c r="K266" s="534"/>
      <c r="L266" s="462">
        <f t="shared" si="76"/>
        <v>1760</v>
      </c>
      <c r="M266" s="462">
        <v>1510</v>
      </c>
      <c r="N266" s="462">
        <v>250</v>
      </c>
      <c r="O266" s="462">
        <f t="shared" si="77"/>
        <v>4266.66</v>
      </c>
      <c r="P266" s="488">
        <f t="shared" si="78"/>
        <v>1311.9333333333334</v>
      </c>
      <c r="Q266" s="489">
        <f t="shared" si="79"/>
        <v>1293.9616438356165</v>
      </c>
      <c r="R266" s="489">
        <f t="shared" si="80"/>
        <v>65.753424657534239</v>
      </c>
      <c r="S266" s="490">
        <f t="shared" si="81"/>
        <v>16743.2</v>
      </c>
      <c r="T266" s="490">
        <f t="shared" si="82"/>
        <v>19414.848401826486</v>
      </c>
      <c r="U266" s="491">
        <f t="shared" si="83"/>
        <v>194</v>
      </c>
      <c r="V266" s="498"/>
      <c r="W266" s="462">
        <v>10</v>
      </c>
      <c r="X266" s="498"/>
      <c r="Y266" s="498"/>
      <c r="Z266" s="462">
        <f t="shared" si="84"/>
        <v>204</v>
      </c>
      <c r="AA266" s="462">
        <f t="shared" si="85"/>
        <v>4062.66</v>
      </c>
      <c r="AB266" s="489">
        <v>1000</v>
      </c>
    </row>
    <row r="267" spans="1:30" s="486" customFormat="1" ht="12" customHeight="1">
      <c r="A267" s="456">
        <v>1</v>
      </c>
      <c r="B267" s="551" t="s">
        <v>816</v>
      </c>
      <c r="C267" s="476">
        <v>9901563250</v>
      </c>
      <c r="D267" s="552" t="s">
        <v>817</v>
      </c>
      <c r="E267" s="553" t="s">
        <v>39</v>
      </c>
      <c r="F267" s="502">
        <v>31</v>
      </c>
      <c r="G267" s="498">
        <v>78.25</v>
      </c>
      <c r="H267" s="462">
        <f t="shared" ref="H267:H330" si="86">+F267*G267</f>
        <v>2425.75</v>
      </c>
      <c r="I267" s="462">
        <f t="shared" ref="I267:I330" si="87">G267*120</f>
        <v>9390</v>
      </c>
      <c r="J267" s="463">
        <v>4</v>
      </c>
      <c r="K267" s="534"/>
      <c r="L267" s="462">
        <f t="shared" ref="L267:L330" si="88">M267+N267</f>
        <v>1760</v>
      </c>
      <c r="M267" s="462">
        <v>1510</v>
      </c>
      <c r="N267" s="462">
        <v>250</v>
      </c>
      <c r="O267" s="462">
        <f t="shared" ref="O267:O330" si="89">+H267+M267+N267+K267</f>
        <v>4185.75</v>
      </c>
      <c r="P267" s="488">
        <f t="shared" ref="P267:P330" si="90">(((G267*120)+(K267+M267)*4)/12)</f>
        <v>1285.8333333333333</v>
      </c>
      <c r="Q267" s="489">
        <f t="shared" ref="Q267:Q330" si="91">(((G267*30)+M267+K267)/365*120)</f>
        <v>1268.2191780821918</v>
      </c>
      <c r="R267" s="489">
        <f t="shared" ref="R267:R330" si="92">+(200/365)*120</f>
        <v>65.753424657534239</v>
      </c>
      <c r="S267" s="490">
        <f t="shared" ref="S267:S330" si="93">(((G267*120)+((K267+M267+N267)*4)))</f>
        <v>16430</v>
      </c>
      <c r="T267" s="490">
        <f t="shared" ref="T267:T330" si="94">+S267+R267+Q267+P267</f>
        <v>19049.805936073059</v>
      </c>
      <c r="U267" s="491">
        <f t="shared" ref="U267:U330" si="95">ROUND((((H267+K267+M267)*4.83)/100),2)</f>
        <v>190.1</v>
      </c>
      <c r="V267" s="456"/>
      <c r="W267" s="456"/>
      <c r="X267" s="456"/>
      <c r="Y267" s="456"/>
      <c r="Z267" s="462">
        <f>V267+W267+X267+Y267+U267</f>
        <v>190.1</v>
      </c>
      <c r="AA267" s="462">
        <f t="shared" ref="AA267:AA330" si="96">+O267-Z267</f>
        <v>3995.65</v>
      </c>
      <c r="AB267" s="489">
        <v>1000</v>
      </c>
    </row>
    <row r="268" spans="1:30" s="486" customFormat="1" ht="33.75">
      <c r="A268" s="456">
        <v>2</v>
      </c>
      <c r="B268" s="551" t="s">
        <v>818</v>
      </c>
      <c r="C268" s="476">
        <v>9901563251</v>
      </c>
      <c r="D268" s="552" t="s">
        <v>819</v>
      </c>
      <c r="E268" s="553" t="s">
        <v>39</v>
      </c>
      <c r="F268" s="502">
        <v>31</v>
      </c>
      <c r="G268" s="498">
        <v>78.25</v>
      </c>
      <c r="H268" s="462">
        <f t="shared" si="86"/>
        <v>2425.75</v>
      </c>
      <c r="I268" s="462">
        <f t="shared" si="87"/>
        <v>9390</v>
      </c>
      <c r="J268" s="463">
        <v>4</v>
      </c>
      <c r="K268" s="534"/>
      <c r="L268" s="462">
        <f t="shared" si="88"/>
        <v>1760</v>
      </c>
      <c r="M268" s="462">
        <v>1510</v>
      </c>
      <c r="N268" s="462">
        <v>250</v>
      </c>
      <c r="O268" s="462">
        <f t="shared" si="89"/>
        <v>4185.75</v>
      </c>
      <c r="P268" s="488">
        <f t="shared" si="90"/>
        <v>1285.8333333333333</v>
      </c>
      <c r="Q268" s="489">
        <f t="shared" si="91"/>
        <v>1268.2191780821918</v>
      </c>
      <c r="R268" s="489">
        <f t="shared" si="92"/>
        <v>65.753424657534239</v>
      </c>
      <c r="S268" s="490">
        <f t="shared" si="93"/>
        <v>16430</v>
      </c>
      <c r="T268" s="490">
        <f t="shared" si="94"/>
        <v>19049.805936073059</v>
      </c>
      <c r="U268" s="491">
        <f t="shared" si="95"/>
        <v>190.1</v>
      </c>
      <c r="V268" s="456"/>
      <c r="W268" s="456"/>
      <c r="X268" s="456"/>
      <c r="Y268" s="456"/>
      <c r="Z268" s="462">
        <f t="shared" ref="Z268:Z331" si="97">V268+W268+X268+Y268+U268</f>
        <v>190.1</v>
      </c>
      <c r="AA268" s="462">
        <f t="shared" si="96"/>
        <v>3995.65</v>
      </c>
      <c r="AB268" s="489">
        <v>1000</v>
      </c>
    </row>
    <row r="269" spans="1:30" s="486" customFormat="1" ht="33.75">
      <c r="A269" s="456">
        <v>3</v>
      </c>
      <c r="B269" s="551" t="s">
        <v>820</v>
      </c>
      <c r="C269" s="476">
        <v>9901563253</v>
      </c>
      <c r="D269" s="552" t="s">
        <v>821</v>
      </c>
      <c r="E269" s="553" t="s">
        <v>39</v>
      </c>
      <c r="F269" s="502">
        <v>31</v>
      </c>
      <c r="G269" s="498">
        <v>78.25</v>
      </c>
      <c r="H269" s="462">
        <f t="shared" si="86"/>
        <v>2425.75</v>
      </c>
      <c r="I269" s="462">
        <f t="shared" si="87"/>
        <v>9390</v>
      </c>
      <c r="J269" s="463">
        <v>4</v>
      </c>
      <c r="K269" s="534"/>
      <c r="L269" s="462">
        <f t="shared" si="88"/>
        <v>1760</v>
      </c>
      <c r="M269" s="462">
        <v>1510</v>
      </c>
      <c r="N269" s="462">
        <v>250</v>
      </c>
      <c r="O269" s="462">
        <f t="shared" si="89"/>
        <v>4185.75</v>
      </c>
      <c r="P269" s="488">
        <f t="shared" si="90"/>
        <v>1285.8333333333333</v>
      </c>
      <c r="Q269" s="489">
        <f t="shared" si="91"/>
        <v>1268.2191780821918</v>
      </c>
      <c r="R269" s="489">
        <f t="shared" si="92"/>
        <v>65.753424657534239</v>
      </c>
      <c r="S269" s="490">
        <f t="shared" si="93"/>
        <v>16430</v>
      </c>
      <c r="T269" s="490">
        <f t="shared" si="94"/>
        <v>19049.805936073059</v>
      </c>
      <c r="U269" s="491">
        <f t="shared" si="95"/>
        <v>190.1</v>
      </c>
      <c r="V269" s="456"/>
      <c r="W269" s="456"/>
      <c r="X269" s="456"/>
      <c r="Y269" s="456"/>
      <c r="Z269" s="462">
        <f t="shared" si="97"/>
        <v>190.1</v>
      </c>
      <c r="AA269" s="462">
        <f t="shared" si="96"/>
        <v>3995.65</v>
      </c>
      <c r="AB269" s="489">
        <v>1000</v>
      </c>
    </row>
    <row r="270" spans="1:30" s="486" customFormat="1" ht="45">
      <c r="A270" s="456">
        <v>4</v>
      </c>
      <c r="B270" s="551" t="s">
        <v>822</v>
      </c>
      <c r="C270" s="476">
        <v>9901469957</v>
      </c>
      <c r="D270" s="552" t="s">
        <v>823</v>
      </c>
      <c r="E270" s="553" t="s">
        <v>39</v>
      </c>
      <c r="F270" s="502">
        <v>31</v>
      </c>
      <c r="G270" s="498">
        <v>78.25</v>
      </c>
      <c r="H270" s="462">
        <f t="shared" si="86"/>
        <v>2425.75</v>
      </c>
      <c r="I270" s="462">
        <f t="shared" si="87"/>
        <v>9390</v>
      </c>
      <c r="J270" s="463">
        <v>4</v>
      </c>
      <c r="K270" s="534"/>
      <c r="L270" s="462">
        <f t="shared" si="88"/>
        <v>1760</v>
      </c>
      <c r="M270" s="462">
        <v>1510</v>
      </c>
      <c r="N270" s="462">
        <v>250</v>
      </c>
      <c r="O270" s="462">
        <f t="shared" si="89"/>
        <v>4185.75</v>
      </c>
      <c r="P270" s="488">
        <f t="shared" si="90"/>
        <v>1285.8333333333333</v>
      </c>
      <c r="Q270" s="489">
        <f t="shared" si="91"/>
        <v>1268.2191780821918</v>
      </c>
      <c r="R270" s="489">
        <f t="shared" si="92"/>
        <v>65.753424657534239</v>
      </c>
      <c r="S270" s="490">
        <f t="shared" si="93"/>
        <v>16430</v>
      </c>
      <c r="T270" s="490">
        <f t="shared" si="94"/>
        <v>19049.805936073059</v>
      </c>
      <c r="U270" s="491">
        <f t="shared" si="95"/>
        <v>190.1</v>
      </c>
      <c r="V270" s="456"/>
      <c r="W270" s="456"/>
      <c r="X270" s="456"/>
      <c r="Y270" s="456"/>
      <c r="Z270" s="462">
        <f t="shared" si="97"/>
        <v>190.1</v>
      </c>
      <c r="AA270" s="462">
        <f t="shared" si="96"/>
        <v>3995.65</v>
      </c>
      <c r="AB270" s="489">
        <v>1000</v>
      </c>
    </row>
    <row r="271" spans="1:30" s="486" customFormat="1" ht="33.75">
      <c r="A271" s="456">
        <v>5</v>
      </c>
      <c r="B271" s="551" t="s">
        <v>824</v>
      </c>
      <c r="C271" s="476">
        <v>9901563256</v>
      </c>
      <c r="D271" s="552" t="s">
        <v>825</v>
      </c>
      <c r="E271" s="553" t="s">
        <v>39</v>
      </c>
      <c r="F271" s="502">
        <v>31</v>
      </c>
      <c r="G271" s="498">
        <v>78.25</v>
      </c>
      <c r="H271" s="462">
        <f t="shared" si="86"/>
        <v>2425.75</v>
      </c>
      <c r="I271" s="462">
        <f t="shared" si="87"/>
        <v>9390</v>
      </c>
      <c r="J271" s="463">
        <v>4</v>
      </c>
      <c r="K271" s="534"/>
      <c r="L271" s="462">
        <f t="shared" si="88"/>
        <v>1760</v>
      </c>
      <c r="M271" s="462">
        <v>1510</v>
      </c>
      <c r="N271" s="462">
        <v>250</v>
      </c>
      <c r="O271" s="462">
        <f t="shared" si="89"/>
        <v>4185.75</v>
      </c>
      <c r="P271" s="488">
        <f t="shared" si="90"/>
        <v>1285.8333333333333</v>
      </c>
      <c r="Q271" s="489">
        <f t="shared" si="91"/>
        <v>1268.2191780821918</v>
      </c>
      <c r="R271" s="489">
        <f t="shared" si="92"/>
        <v>65.753424657534239</v>
      </c>
      <c r="S271" s="490">
        <f t="shared" si="93"/>
        <v>16430</v>
      </c>
      <c r="T271" s="490">
        <f t="shared" si="94"/>
        <v>19049.805936073059</v>
      </c>
      <c r="U271" s="491">
        <f t="shared" si="95"/>
        <v>190.1</v>
      </c>
      <c r="V271" s="456"/>
      <c r="W271" s="456"/>
      <c r="X271" s="456"/>
      <c r="Y271" s="456"/>
      <c r="Z271" s="462">
        <f t="shared" si="97"/>
        <v>190.1</v>
      </c>
      <c r="AA271" s="462">
        <f t="shared" si="96"/>
        <v>3995.65</v>
      </c>
      <c r="AB271" s="489">
        <v>1000</v>
      </c>
    </row>
    <row r="272" spans="1:30" s="486" customFormat="1" ht="45">
      <c r="A272" s="456">
        <v>6</v>
      </c>
      <c r="B272" s="551" t="s">
        <v>826</v>
      </c>
      <c r="C272" s="476">
        <v>9901563257</v>
      </c>
      <c r="D272" s="552" t="s">
        <v>827</v>
      </c>
      <c r="E272" s="553" t="s">
        <v>61</v>
      </c>
      <c r="F272" s="502">
        <v>31</v>
      </c>
      <c r="G272" s="498">
        <v>77.59</v>
      </c>
      <c r="H272" s="462">
        <f t="shared" si="86"/>
        <v>2405.29</v>
      </c>
      <c r="I272" s="462">
        <f t="shared" si="87"/>
        <v>9310.8000000000011</v>
      </c>
      <c r="J272" s="463">
        <v>4</v>
      </c>
      <c r="K272" s="534"/>
      <c r="L272" s="462">
        <f t="shared" si="88"/>
        <v>1760</v>
      </c>
      <c r="M272" s="462">
        <v>1510</v>
      </c>
      <c r="N272" s="462">
        <v>250</v>
      </c>
      <c r="O272" s="462">
        <f t="shared" si="89"/>
        <v>4165.29</v>
      </c>
      <c r="P272" s="488">
        <f t="shared" si="90"/>
        <v>1279.2333333333333</v>
      </c>
      <c r="Q272" s="489">
        <f t="shared" si="91"/>
        <v>1261.709589041096</v>
      </c>
      <c r="R272" s="489">
        <f t="shared" si="92"/>
        <v>65.753424657534239</v>
      </c>
      <c r="S272" s="490">
        <f t="shared" si="93"/>
        <v>16350.800000000001</v>
      </c>
      <c r="T272" s="490">
        <f t="shared" si="94"/>
        <v>18957.496347031967</v>
      </c>
      <c r="U272" s="491">
        <f t="shared" si="95"/>
        <v>189.11</v>
      </c>
      <c r="V272" s="456"/>
      <c r="W272" s="456"/>
      <c r="X272" s="456"/>
      <c r="Y272" s="456"/>
      <c r="Z272" s="462">
        <f t="shared" si="97"/>
        <v>189.11</v>
      </c>
      <c r="AA272" s="462">
        <f t="shared" si="96"/>
        <v>3976.18</v>
      </c>
      <c r="AB272" s="489">
        <v>1000</v>
      </c>
    </row>
    <row r="273" spans="1:28" s="486" customFormat="1" ht="33.75">
      <c r="A273" s="456">
        <v>7</v>
      </c>
      <c r="B273" s="551" t="s">
        <v>828</v>
      </c>
      <c r="C273" s="476">
        <v>9901563263</v>
      </c>
      <c r="D273" s="552" t="s">
        <v>829</v>
      </c>
      <c r="E273" s="553" t="s">
        <v>61</v>
      </c>
      <c r="F273" s="502">
        <v>31</v>
      </c>
      <c r="G273" s="498">
        <v>77.59</v>
      </c>
      <c r="H273" s="462">
        <f t="shared" si="86"/>
        <v>2405.29</v>
      </c>
      <c r="I273" s="462">
        <f t="shared" si="87"/>
        <v>9310.8000000000011</v>
      </c>
      <c r="J273" s="463">
        <v>4</v>
      </c>
      <c r="K273" s="534"/>
      <c r="L273" s="462">
        <f t="shared" si="88"/>
        <v>1760</v>
      </c>
      <c r="M273" s="462">
        <v>1510</v>
      </c>
      <c r="N273" s="462">
        <v>250</v>
      </c>
      <c r="O273" s="462">
        <f t="shared" si="89"/>
        <v>4165.29</v>
      </c>
      <c r="P273" s="488">
        <f t="shared" si="90"/>
        <v>1279.2333333333333</v>
      </c>
      <c r="Q273" s="489">
        <f t="shared" si="91"/>
        <v>1261.709589041096</v>
      </c>
      <c r="R273" s="489">
        <f t="shared" si="92"/>
        <v>65.753424657534239</v>
      </c>
      <c r="S273" s="490">
        <f t="shared" si="93"/>
        <v>16350.800000000001</v>
      </c>
      <c r="T273" s="490">
        <f t="shared" si="94"/>
        <v>18957.496347031967</v>
      </c>
      <c r="U273" s="491">
        <f t="shared" si="95"/>
        <v>189.11</v>
      </c>
      <c r="V273" s="456"/>
      <c r="W273" s="456"/>
      <c r="X273" s="456"/>
      <c r="Y273" s="456"/>
      <c r="Z273" s="462">
        <f t="shared" si="97"/>
        <v>189.11</v>
      </c>
      <c r="AA273" s="462">
        <f t="shared" si="96"/>
        <v>3976.18</v>
      </c>
      <c r="AB273" s="489">
        <v>1000</v>
      </c>
    </row>
    <row r="274" spans="1:28" s="486" customFormat="1" ht="45">
      <c r="A274" s="456">
        <v>8</v>
      </c>
      <c r="B274" s="551" t="s">
        <v>830</v>
      </c>
      <c r="C274" s="476">
        <v>9901553134</v>
      </c>
      <c r="D274" s="552" t="s">
        <v>831</v>
      </c>
      <c r="E274" s="553" t="s">
        <v>61</v>
      </c>
      <c r="F274" s="502">
        <v>31</v>
      </c>
      <c r="G274" s="498">
        <v>77.59</v>
      </c>
      <c r="H274" s="462">
        <f t="shared" si="86"/>
        <v>2405.29</v>
      </c>
      <c r="I274" s="462">
        <f t="shared" si="87"/>
        <v>9310.8000000000011</v>
      </c>
      <c r="J274" s="463">
        <v>4</v>
      </c>
      <c r="K274" s="534"/>
      <c r="L274" s="462">
        <f t="shared" si="88"/>
        <v>1760</v>
      </c>
      <c r="M274" s="462">
        <v>1510</v>
      </c>
      <c r="N274" s="462">
        <v>250</v>
      </c>
      <c r="O274" s="462">
        <f t="shared" si="89"/>
        <v>4165.29</v>
      </c>
      <c r="P274" s="488">
        <f t="shared" si="90"/>
        <v>1279.2333333333333</v>
      </c>
      <c r="Q274" s="489">
        <f t="shared" si="91"/>
        <v>1261.709589041096</v>
      </c>
      <c r="R274" s="489">
        <f t="shared" si="92"/>
        <v>65.753424657534239</v>
      </c>
      <c r="S274" s="490">
        <f t="shared" si="93"/>
        <v>16350.800000000001</v>
      </c>
      <c r="T274" s="490">
        <f t="shared" si="94"/>
        <v>18957.496347031967</v>
      </c>
      <c r="U274" s="491">
        <f t="shared" si="95"/>
        <v>189.11</v>
      </c>
      <c r="V274" s="456"/>
      <c r="W274" s="456"/>
      <c r="X274" s="456"/>
      <c r="Y274" s="456"/>
      <c r="Z274" s="462">
        <f t="shared" si="97"/>
        <v>189.11</v>
      </c>
      <c r="AA274" s="462">
        <f t="shared" si="96"/>
        <v>3976.18</v>
      </c>
      <c r="AB274" s="489">
        <v>1000</v>
      </c>
    </row>
    <row r="275" spans="1:28" s="486" customFormat="1" ht="45">
      <c r="A275" s="456">
        <v>9</v>
      </c>
      <c r="B275" s="551" t="s">
        <v>832</v>
      </c>
      <c r="C275" s="476">
        <v>9901563265</v>
      </c>
      <c r="D275" s="552" t="s">
        <v>833</v>
      </c>
      <c r="E275" s="553" t="s">
        <v>61</v>
      </c>
      <c r="F275" s="502">
        <v>31</v>
      </c>
      <c r="G275" s="498">
        <v>77.59</v>
      </c>
      <c r="H275" s="462">
        <f t="shared" si="86"/>
        <v>2405.29</v>
      </c>
      <c r="I275" s="462">
        <f t="shared" si="87"/>
        <v>9310.8000000000011</v>
      </c>
      <c r="J275" s="463">
        <v>4</v>
      </c>
      <c r="K275" s="534"/>
      <c r="L275" s="462">
        <f t="shared" si="88"/>
        <v>1760</v>
      </c>
      <c r="M275" s="462">
        <v>1510</v>
      </c>
      <c r="N275" s="462">
        <v>250</v>
      </c>
      <c r="O275" s="462">
        <f t="shared" si="89"/>
        <v>4165.29</v>
      </c>
      <c r="P275" s="488">
        <f t="shared" si="90"/>
        <v>1279.2333333333333</v>
      </c>
      <c r="Q275" s="489">
        <f t="shared" si="91"/>
        <v>1261.709589041096</v>
      </c>
      <c r="R275" s="489">
        <f t="shared" si="92"/>
        <v>65.753424657534239</v>
      </c>
      <c r="S275" s="490">
        <f t="shared" si="93"/>
        <v>16350.800000000001</v>
      </c>
      <c r="T275" s="490">
        <f t="shared" si="94"/>
        <v>18957.496347031967</v>
      </c>
      <c r="U275" s="491">
        <f t="shared" si="95"/>
        <v>189.11</v>
      </c>
      <c r="V275" s="456"/>
      <c r="W275" s="456"/>
      <c r="X275" s="456"/>
      <c r="Y275" s="456"/>
      <c r="Z275" s="462">
        <f t="shared" si="97"/>
        <v>189.11</v>
      </c>
      <c r="AA275" s="462">
        <f t="shared" si="96"/>
        <v>3976.18</v>
      </c>
      <c r="AB275" s="489">
        <v>1000</v>
      </c>
    </row>
    <row r="276" spans="1:28" s="486" customFormat="1" ht="45">
      <c r="A276" s="456">
        <v>10</v>
      </c>
      <c r="B276" s="551" t="s">
        <v>834</v>
      </c>
      <c r="C276" s="476">
        <v>9901563266</v>
      </c>
      <c r="D276" s="552" t="s">
        <v>835</v>
      </c>
      <c r="E276" s="553" t="s">
        <v>62</v>
      </c>
      <c r="F276" s="502">
        <v>31</v>
      </c>
      <c r="G276" s="498">
        <v>75.64</v>
      </c>
      <c r="H276" s="462">
        <f t="shared" si="86"/>
        <v>2344.84</v>
      </c>
      <c r="I276" s="462">
        <f t="shared" si="87"/>
        <v>9076.7999999999993</v>
      </c>
      <c r="J276" s="463">
        <v>4</v>
      </c>
      <c r="K276" s="534"/>
      <c r="L276" s="462">
        <f t="shared" si="88"/>
        <v>1760</v>
      </c>
      <c r="M276" s="462">
        <v>1510</v>
      </c>
      <c r="N276" s="462">
        <v>250</v>
      </c>
      <c r="O276" s="462">
        <f t="shared" si="89"/>
        <v>4104.84</v>
      </c>
      <c r="P276" s="488">
        <f t="shared" si="90"/>
        <v>1259.7333333333333</v>
      </c>
      <c r="Q276" s="489">
        <f t="shared" si="91"/>
        <v>1242.476712328767</v>
      </c>
      <c r="R276" s="489">
        <f t="shared" si="92"/>
        <v>65.753424657534239</v>
      </c>
      <c r="S276" s="490">
        <f t="shared" si="93"/>
        <v>16116.8</v>
      </c>
      <c r="T276" s="490">
        <f t="shared" si="94"/>
        <v>18684.763470319635</v>
      </c>
      <c r="U276" s="491">
        <f t="shared" si="95"/>
        <v>186.19</v>
      </c>
      <c r="V276" s="456"/>
      <c r="W276" s="456"/>
      <c r="X276" s="456"/>
      <c r="Y276" s="456"/>
      <c r="Z276" s="462">
        <f t="shared" si="97"/>
        <v>186.19</v>
      </c>
      <c r="AA276" s="462">
        <f t="shared" si="96"/>
        <v>3918.65</v>
      </c>
      <c r="AB276" s="489">
        <v>1000</v>
      </c>
    </row>
    <row r="277" spans="1:28" s="486" customFormat="1" ht="22.5">
      <c r="A277" s="456">
        <v>11</v>
      </c>
      <c r="B277" s="551" t="s">
        <v>836</v>
      </c>
      <c r="C277" s="476">
        <v>9901469567</v>
      </c>
      <c r="D277" s="552" t="s">
        <v>837</v>
      </c>
      <c r="E277" s="553" t="s">
        <v>59</v>
      </c>
      <c r="F277" s="502">
        <v>31</v>
      </c>
      <c r="G277" s="498">
        <v>77.59</v>
      </c>
      <c r="H277" s="462">
        <f t="shared" si="86"/>
        <v>2405.29</v>
      </c>
      <c r="I277" s="462">
        <f t="shared" si="87"/>
        <v>9310.8000000000011</v>
      </c>
      <c r="J277" s="463">
        <v>4</v>
      </c>
      <c r="K277" s="534"/>
      <c r="L277" s="462">
        <f t="shared" si="88"/>
        <v>1760</v>
      </c>
      <c r="M277" s="462">
        <v>1510</v>
      </c>
      <c r="N277" s="462">
        <v>250</v>
      </c>
      <c r="O277" s="462">
        <f t="shared" si="89"/>
        <v>4165.29</v>
      </c>
      <c r="P277" s="488">
        <f t="shared" si="90"/>
        <v>1279.2333333333333</v>
      </c>
      <c r="Q277" s="489">
        <f t="shared" si="91"/>
        <v>1261.709589041096</v>
      </c>
      <c r="R277" s="489">
        <f t="shared" si="92"/>
        <v>65.753424657534239</v>
      </c>
      <c r="S277" s="490">
        <f t="shared" si="93"/>
        <v>16350.800000000001</v>
      </c>
      <c r="T277" s="490">
        <f t="shared" si="94"/>
        <v>18957.496347031967</v>
      </c>
      <c r="U277" s="491">
        <f t="shared" si="95"/>
        <v>189.11</v>
      </c>
      <c r="V277" s="456"/>
      <c r="W277" s="456"/>
      <c r="X277" s="456"/>
      <c r="Y277" s="456"/>
      <c r="Z277" s="462">
        <f t="shared" si="97"/>
        <v>189.11</v>
      </c>
      <c r="AA277" s="462">
        <f t="shared" si="96"/>
        <v>3976.18</v>
      </c>
      <c r="AB277" s="489">
        <v>1000</v>
      </c>
    </row>
    <row r="278" spans="1:28" s="486" customFormat="1" ht="45">
      <c r="A278" s="456">
        <v>12</v>
      </c>
      <c r="B278" s="551" t="s">
        <v>838</v>
      </c>
      <c r="C278" s="476">
        <v>9901469592</v>
      </c>
      <c r="D278" s="552" t="s">
        <v>839</v>
      </c>
      <c r="E278" s="553" t="s">
        <v>59</v>
      </c>
      <c r="F278" s="502">
        <v>31</v>
      </c>
      <c r="G278" s="498">
        <v>77.59</v>
      </c>
      <c r="H278" s="462">
        <f t="shared" si="86"/>
        <v>2405.29</v>
      </c>
      <c r="I278" s="462">
        <f t="shared" si="87"/>
        <v>9310.8000000000011</v>
      </c>
      <c r="J278" s="463">
        <v>4</v>
      </c>
      <c r="K278" s="534"/>
      <c r="L278" s="462">
        <f t="shared" si="88"/>
        <v>1760</v>
      </c>
      <c r="M278" s="462">
        <v>1510</v>
      </c>
      <c r="N278" s="462">
        <v>250</v>
      </c>
      <c r="O278" s="462">
        <f t="shared" si="89"/>
        <v>4165.29</v>
      </c>
      <c r="P278" s="488">
        <f t="shared" si="90"/>
        <v>1279.2333333333333</v>
      </c>
      <c r="Q278" s="489">
        <f t="shared" si="91"/>
        <v>1261.709589041096</v>
      </c>
      <c r="R278" s="489">
        <f t="shared" si="92"/>
        <v>65.753424657534239</v>
      </c>
      <c r="S278" s="490">
        <f t="shared" si="93"/>
        <v>16350.800000000001</v>
      </c>
      <c r="T278" s="490">
        <f t="shared" si="94"/>
        <v>18957.496347031967</v>
      </c>
      <c r="U278" s="491">
        <f t="shared" si="95"/>
        <v>189.11</v>
      </c>
      <c r="V278" s="456"/>
      <c r="W278" s="456"/>
      <c r="X278" s="456"/>
      <c r="Y278" s="456"/>
      <c r="Z278" s="462">
        <f t="shared" si="97"/>
        <v>189.11</v>
      </c>
      <c r="AA278" s="462">
        <f t="shared" si="96"/>
        <v>3976.18</v>
      </c>
      <c r="AB278" s="489">
        <v>1000</v>
      </c>
    </row>
    <row r="279" spans="1:28" s="486" customFormat="1" ht="45">
      <c r="A279" s="456">
        <v>13</v>
      </c>
      <c r="B279" s="551" t="s">
        <v>840</v>
      </c>
      <c r="C279" s="476">
        <v>9901469300</v>
      </c>
      <c r="D279" s="552" t="s">
        <v>841</v>
      </c>
      <c r="E279" s="553" t="s">
        <v>59</v>
      </c>
      <c r="F279" s="502">
        <v>31</v>
      </c>
      <c r="G279" s="498">
        <v>77.59</v>
      </c>
      <c r="H279" s="462">
        <f t="shared" si="86"/>
        <v>2405.29</v>
      </c>
      <c r="I279" s="462">
        <f t="shared" si="87"/>
        <v>9310.8000000000011</v>
      </c>
      <c r="J279" s="463">
        <v>4</v>
      </c>
      <c r="K279" s="534"/>
      <c r="L279" s="462">
        <f t="shared" si="88"/>
        <v>1760</v>
      </c>
      <c r="M279" s="462">
        <v>1510</v>
      </c>
      <c r="N279" s="462">
        <v>250</v>
      </c>
      <c r="O279" s="462">
        <f t="shared" si="89"/>
        <v>4165.29</v>
      </c>
      <c r="P279" s="488">
        <f t="shared" si="90"/>
        <v>1279.2333333333333</v>
      </c>
      <c r="Q279" s="489">
        <f t="shared" si="91"/>
        <v>1261.709589041096</v>
      </c>
      <c r="R279" s="489">
        <f t="shared" si="92"/>
        <v>65.753424657534239</v>
      </c>
      <c r="S279" s="490">
        <f t="shared" si="93"/>
        <v>16350.800000000001</v>
      </c>
      <c r="T279" s="490">
        <f t="shared" si="94"/>
        <v>18957.496347031967</v>
      </c>
      <c r="U279" s="491">
        <f t="shared" si="95"/>
        <v>189.11</v>
      </c>
      <c r="V279" s="456"/>
      <c r="W279" s="456"/>
      <c r="X279" s="456"/>
      <c r="Y279" s="456"/>
      <c r="Z279" s="462">
        <f t="shared" si="97"/>
        <v>189.11</v>
      </c>
      <c r="AA279" s="462">
        <f t="shared" si="96"/>
        <v>3976.18</v>
      </c>
      <c r="AB279" s="489">
        <v>1000</v>
      </c>
    </row>
    <row r="280" spans="1:28" s="486" customFormat="1" ht="22.5">
      <c r="A280" s="456">
        <v>14</v>
      </c>
      <c r="B280" s="551" t="s">
        <v>842</v>
      </c>
      <c r="C280" s="476">
        <v>9901469514</v>
      </c>
      <c r="D280" s="552" t="s">
        <v>843</v>
      </c>
      <c r="E280" s="553" t="s">
        <v>59</v>
      </c>
      <c r="F280" s="502">
        <v>31</v>
      </c>
      <c r="G280" s="498">
        <v>77.59</v>
      </c>
      <c r="H280" s="462">
        <f t="shared" si="86"/>
        <v>2405.29</v>
      </c>
      <c r="I280" s="462">
        <f t="shared" si="87"/>
        <v>9310.8000000000011</v>
      </c>
      <c r="J280" s="463">
        <v>4</v>
      </c>
      <c r="K280" s="534"/>
      <c r="L280" s="462">
        <f t="shared" si="88"/>
        <v>1760</v>
      </c>
      <c r="M280" s="462">
        <v>1510</v>
      </c>
      <c r="N280" s="462">
        <v>250</v>
      </c>
      <c r="O280" s="462">
        <f t="shared" si="89"/>
        <v>4165.29</v>
      </c>
      <c r="P280" s="488">
        <f t="shared" si="90"/>
        <v>1279.2333333333333</v>
      </c>
      <c r="Q280" s="489">
        <f t="shared" si="91"/>
        <v>1261.709589041096</v>
      </c>
      <c r="R280" s="489">
        <f t="shared" si="92"/>
        <v>65.753424657534239</v>
      </c>
      <c r="S280" s="490">
        <f t="shared" si="93"/>
        <v>16350.800000000001</v>
      </c>
      <c r="T280" s="490">
        <f t="shared" si="94"/>
        <v>18957.496347031967</v>
      </c>
      <c r="U280" s="491">
        <f t="shared" si="95"/>
        <v>189.11</v>
      </c>
      <c r="V280" s="456"/>
      <c r="W280" s="456"/>
      <c r="X280" s="456"/>
      <c r="Y280" s="456"/>
      <c r="Z280" s="462">
        <f t="shared" si="97"/>
        <v>189.11</v>
      </c>
      <c r="AA280" s="462">
        <f t="shared" si="96"/>
        <v>3976.18</v>
      </c>
      <c r="AB280" s="489">
        <v>1000</v>
      </c>
    </row>
    <row r="281" spans="1:28" s="486" customFormat="1" ht="45">
      <c r="A281" s="456">
        <v>15</v>
      </c>
      <c r="B281" s="551" t="s">
        <v>844</v>
      </c>
      <c r="C281" s="476">
        <v>9901469485</v>
      </c>
      <c r="D281" s="552" t="s">
        <v>845</v>
      </c>
      <c r="E281" s="553" t="s">
        <v>59</v>
      </c>
      <c r="F281" s="502">
        <v>31</v>
      </c>
      <c r="G281" s="498">
        <v>77.59</v>
      </c>
      <c r="H281" s="462">
        <f t="shared" si="86"/>
        <v>2405.29</v>
      </c>
      <c r="I281" s="462">
        <f t="shared" si="87"/>
        <v>9310.8000000000011</v>
      </c>
      <c r="J281" s="463">
        <v>4</v>
      </c>
      <c r="K281" s="534"/>
      <c r="L281" s="462">
        <f t="shared" si="88"/>
        <v>1760</v>
      </c>
      <c r="M281" s="462">
        <v>1510</v>
      </c>
      <c r="N281" s="462">
        <v>250</v>
      </c>
      <c r="O281" s="462">
        <f t="shared" si="89"/>
        <v>4165.29</v>
      </c>
      <c r="P281" s="488">
        <f t="shared" si="90"/>
        <v>1279.2333333333333</v>
      </c>
      <c r="Q281" s="489">
        <f t="shared" si="91"/>
        <v>1261.709589041096</v>
      </c>
      <c r="R281" s="489">
        <f t="shared" si="92"/>
        <v>65.753424657534239</v>
      </c>
      <c r="S281" s="490">
        <f t="shared" si="93"/>
        <v>16350.800000000001</v>
      </c>
      <c r="T281" s="490">
        <f t="shared" si="94"/>
        <v>18957.496347031967</v>
      </c>
      <c r="U281" s="491">
        <f t="shared" si="95"/>
        <v>189.11</v>
      </c>
      <c r="V281" s="456"/>
      <c r="W281" s="456"/>
      <c r="X281" s="456"/>
      <c r="Y281" s="456"/>
      <c r="Z281" s="462">
        <f t="shared" si="97"/>
        <v>189.11</v>
      </c>
      <c r="AA281" s="462">
        <f t="shared" si="96"/>
        <v>3976.18</v>
      </c>
      <c r="AB281" s="489">
        <v>1000</v>
      </c>
    </row>
    <row r="282" spans="1:28" s="486" customFormat="1" ht="33.75">
      <c r="A282" s="456">
        <v>16</v>
      </c>
      <c r="B282" s="551" t="s">
        <v>846</v>
      </c>
      <c r="C282" s="476">
        <v>9901563271</v>
      </c>
      <c r="D282" s="552" t="s">
        <v>847</v>
      </c>
      <c r="E282" s="553" t="s">
        <v>59</v>
      </c>
      <c r="F282" s="502">
        <v>31</v>
      </c>
      <c r="G282" s="498">
        <v>77.59</v>
      </c>
      <c r="H282" s="462">
        <f t="shared" si="86"/>
        <v>2405.29</v>
      </c>
      <c r="I282" s="462">
        <f t="shared" si="87"/>
        <v>9310.8000000000011</v>
      </c>
      <c r="J282" s="463">
        <v>4</v>
      </c>
      <c r="K282" s="534"/>
      <c r="L282" s="462">
        <f t="shared" si="88"/>
        <v>1760</v>
      </c>
      <c r="M282" s="462">
        <v>1510</v>
      </c>
      <c r="N282" s="462">
        <v>250</v>
      </c>
      <c r="O282" s="462">
        <f t="shared" si="89"/>
        <v>4165.29</v>
      </c>
      <c r="P282" s="488">
        <f t="shared" si="90"/>
        <v>1279.2333333333333</v>
      </c>
      <c r="Q282" s="489">
        <f t="shared" si="91"/>
        <v>1261.709589041096</v>
      </c>
      <c r="R282" s="489">
        <f t="shared" si="92"/>
        <v>65.753424657534239</v>
      </c>
      <c r="S282" s="490">
        <f t="shared" si="93"/>
        <v>16350.800000000001</v>
      </c>
      <c r="T282" s="490">
        <f t="shared" si="94"/>
        <v>18957.496347031967</v>
      </c>
      <c r="U282" s="491">
        <f t="shared" si="95"/>
        <v>189.11</v>
      </c>
      <c r="V282" s="456"/>
      <c r="W282" s="456"/>
      <c r="X282" s="456"/>
      <c r="Y282" s="456"/>
      <c r="Z282" s="462">
        <f t="shared" si="97"/>
        <v>189.11</v>
      </c>
      <c r="AA282" s="462">
        <f t="shared" si="96"/>
        <v>3976.18</v>
      </c>
      <c r="AB282" s="489">
        <v>1000</v>
      </c>
    </row>
    <row r="283" spans="1:28" s="486" customFormat="1" ht="33.75">
      <c r="A283" s="456">
        <v>17</v>
      </c>
      <c r="B283" s="551" t="s">
        <v>848</v>
      </c>
      <c r="C283" s="476">
        <v>9901469969</v>
      </c>
      <c r="D283" s="552" t="s">
        <v>849</v>
      </c>
      <c r="E283" s="553" t="s">
        <v>59</v>
      </c>
      <c r="F283" s="502">
        <v>31</v>
      </c>
      <c r="G283" s="498">
        <v>77.59</v>
      </c>
      <c r="H283" s="462">
        <f t="shared" si="86"/>
        <v>2405.29</v>
      </c>
      <c r="I283" s="462">
        <f t="shared" si="87"/>
        <v>9310.8000000000011</v>
      </c>
      <c r="J283" s="463">
        <v>4</v>
      </c>
      <c r="K283" s="534"/>
      <c r="L283" s="462">
        <f t="shared" si="88"/>
        <v>1760</v>
      </c>
      <c r="M283" s="462">
        <v>1510</v>
      </c>
      <c r="N283" s="462">
        <v>250</v>
      </c>
      <c r="O283" s="462">
        <f t="shared" si="89"/>
        <v>4165.29</v>
      </c>
      <c r="P283" s="488">
        <f t="shared" si="90"/>
        <v>1279.2333333333333</v>
      </c>
      <c r="Q283" s="489">
        <f t="shared" si="91"/>
        <v>1261.709589041096</v>
      </c>
      <c r="R283" s="489">
        <f t="shared" si="92"/>
        <v>65.753424657534239</v>
      </c>
      <c r="S283" s="490">
        <f t="shared" si="93"/>
        <v>16350.800000000001</v>
      </c>
      <c r="T283" s="490">
        <f t="shared" si="94"/>
        <v>18957.496347031967</v>
      </c>
      <c r="U283" s="491">
        <f t="shared" si="95"/>
        <v>189.11</v>
      </c>
      <c r="V283" s="456"/>
      <c r="W283" s="456"/>
      <c r="X283" s="456"/>
      <c r="Y283" s="456"/>
      <c r="Z283" s="462">
        <f t="shared" si="97"/>
        <v>189.11</v>
      </c>
      <c r="AA283" s="462">
        <f t="shared" si="96"/>
        <v>3976.18</v>
      </c>
      <c r="AB283" s="489">
        <v>1000</v>
      </c>
    </row>
    <row r="284" spans="1:28" s="486" customFormat="1" ht="45">
      <c r="A284" s="456">
        <v>18</v>
      </c>
      <c r="B284" s="551" t="s">
        <v>850</v>
      </c>
      <c r="C284" s="476">
        <v>9901563273</v>
      </c>
      <c r="D284" s="552" t="s">
        <v>851</v>
      </c>
      <c r="E284" s="553" t="s">
        <v>59</v>
      </c>
      <c r="F284" s="502">
        <v>31</v>
      </c>
      <c r="G284" s="498">
        <v>77.59</v>
      </c>
      <c r="H284" s="462">
        <f t="shared" si="86"/>
        <v>2405.29</v>
      </c>
      <c r="I284" s="462">
        <f t="shared" si="87"/>
        <v>9310.8000000000011</v>
      </c>
      <c r="J284" s="463">
        <v>4</v>
      </c>
      <c r="K284" s="534"/>
      <c r="L284" s="462">
        <f t="shared" si="88"/>
        <v>1760</v>
      </c>
      <c r="M284" s="462">
        <v>1510</v>
      </c>
      <c r="N284" s="462">
        <v>250</v>
      </c>
      <c r="O284" s="462">
        <f t="shared" si="89"/>
        <v>4165.29</v>
      </c>
      <c r="P284" s="488">
        <f t="shared" si="90"/>
        <v>1279.2333333333333</v>
      </c>
      <c r="Q284" s="489">
        <f t="shared" si="91"/>
        <v>1261.709589041096</v>
      </c>
      <c r="R284" s="489">
        <f t="shared" si="92"/>
        <v>65.753424657534239</v>
      </c>
      <c r="S284" s="490">
        <f t="shared" si="93"/>
        <v>16350.800000000001</v>
      </c>
      <c r="T284" s="490">
        <f t="shared" si="94"/>
        <v>18957.496347031967</v>
      </c>
      <c r="U284" s="491">
        <f t="shared" si="95"/>
        <v>189.11</v>
      </c>
      <c r="V284" s="456"/>
      <c r="W284" s="456"/>
      <c r="X284" s="456"/>
      <c r="Y284" s="456"/>
      <c r="Z284" s="462">
        <f t="shared" si="97"/>
        <v>189.11</v>
      </c>
      <c r="AA284" s="462">
        <f t="shared" si="96"/>
        <v>3976.18</v>
      </c>
      <c r="AB284" s="489">
        <v>1000</v>
      </c>
    </row>
    <row r="285" spans="1:28" s="486" customFormat="1" ht="33.75">
      <c r="A285" s="456">
        <v>19</v>
      </c>
      <c r="B285" s="551" t="s">
        <v>852</v>
      </c>
      <c r="C285" s="476">
        <v>9901469598</v>
      </c>
      <c r="D285" s="552" t="s">
        <v>853</v>
      </c>
      <c r="E285" s="553" t="s">
        <v>59</v>
      </c>
      <c r="F285" s="502">
        <v>31</v>
      </c>
      <c r="G285" s="498">
        <v>77.59</v>
      </c>
      <c r="H285" s="462">
        <f t="shared" si="86"/>
        <v>2405.29</v>
      </c>
      <c r="I285" s="462">
        <f t="shared" si="87"/>
        <v>9310.8000000000011</v>
      </c>
      <c r="J285" s="463">
        <v>4</v>
      </c>
      <c r="K285" s="534"/>
      <c r="L285" s="462">
        <f t="shared" si="88"/>
        <v>1760</v>
      </c>
      <c r="M285" s="462">
        <v>1510</v>
      </c>
      <c r="N285" s="462">
        <v>250</v>
      </c>
      <c r="O285" s="462">
        <f t="shared" si="89"/>
        <v>4165.29</v>
      </c>
      <c r="P285" s="488">
        <f t="shared" si="90"/>
        <v>1279.2333333333333</v>
      </c>
      <c r="Q285" s="489">
        <f t="shared" si="91"/>
        <v>1261.709589041096</v>
      </c>
      <c r="R285" s="489">
        <f t="shared" si="92"/>
        <v>65.753424657534239</v>
      </c>
      <c r="S285" s="490">
        <f t="shared" si="93"/>
        <v>16350.800000000001</v>
      </c>
      <c r="T285" s="490">
        <f t="shared" si="94"/>
        <v>18957.496347031967</v>
      </c>
      <c r="U285" s="491">
        <f t="shared" si="95"/>
        <v>189.11</v>
      </c>
      <c r="V285" s="456"/>
      <c r="W285" s="456"/>
      <c r="X285" s="456"/>
      <c r="Y285" s="456"/>
      <c r="Z285" s="462">
        <f t="shared" si="97"/>
        <v>189.11</v>
      </c>
      <c r="AA285" s="462">
        <f t="shared" si="96"/>
        <v>3976.18</v>
      </c>
      <c r="AB285" s="489">
        <v>1000</v>
      </c>
    </row>
    <row r="286" spans="1:28" s="486" customFormat="1" ht="45">
      <c r="A286" s="456">
        <v>20</v>
      </c>
      <c r="B286" s="551" t="s">
        <v>854</v>
      </c>
      <c r="C286" s="476">
        <v>9901563626</v>
      </c>
      <c r="D286" s="552" t="s">
        <v>855</v>
      </c>
      <c r="E286" s="553" t="s">
        <v>59</v>
      </c>
      <c r="F286" s="502">
        <v>31</v>
      </c>
      <c r="G286" s="498">
        <v>77.59</v>
      </c>
      <c r="H286" s="462">
        <f t="shared" si="86"/>
        <v>2405.29</v>
      </c>
      <c r="I286" s="462">
        <f t="shared" si="87"/>
        <v>9310.8000000000011</v>
      </c>
      <c r="J286" s="463">
        <v>4</v>
      </c>
      <c r="K286" s="534"/>
      <c r="L286" s="462">
        <f t="shared" si="88"/>
        <v>1760</v>
      </c>
      <c r="M286" s="462">
        <v>1510</v>
      </c>
      <c r="N286" s="462">
        <v>250</v>
      </c>
      <c r="O286" s="462">
        <f t="shared" si="89"/>
        <v>4165.29</v>
      </c>
      <c r="P286" s="488">
        <f t="shared" si="90"/>
        <v>1279.2333333333333</v>
      </c>
      <c r="Q286" s="489">
        <f t="shared" si="91"/>
        <v>1261.709589041096</v>
      </c>
      <c r="R286" s="489">
        <f t="shared" si="92"/>
        <v>65.753424657534239</v>
      </c>
      <c r="S286" s="490">
        <f t="shared" si="93"/>
        <v>16350.800000000001</v>
      </c>
      <c r="T286" s="490">
        <f t="shared" si="94"/>
        <v>18957.496347031967</v>
      </c>
      <c r="U286" s="491">
        <f t="shared" si="95"/>
        <v>189.11</v>
      </c>
      <c r="V286" s="456"/>
      <c r="W286" s="456"/>
      <c r="X286" s="456"/>
      <c r="Y286" s="456"/>
      <c r="Z286" s="462">
        <f t="shared" si="97"/>
        <v>189.11</v>
      </c>
      <c r="AA286" s="462">
        <f t="shared" si="96"/>
        <v>3976.18</v>
      </c>
      <c r="AB286" s="489">
        <v>1000</v>
      </c>
    </row>
    <row r="287" spans="1:28" s="486" customFormat="1" ht="45">
      <c r="A287" s="456">
        <v>21</v>
      </c>
      <c r="B287" s="551" t="s">
        <v>856</v>
      </c>
      <c r="C287" s="476">
        <v>9901469505</v>
      </c>
      <c r="D287" s="552" t="s">
        <v>857</v>
      </c>
      <c r="E287" s="553" t="s">
        <v>59</v>
      </c>
      <c r="F287" s="502">
        <v>31</v>
      </c>
      <c r="G287" s="498">
        <v>77.59</v>
      </c>
      <c r="H287" s="462">
        <f t="shared" si="86"/>
        <v>2405.29</v>
      </c>
      <c r="I287" s="462">
        <f t="shared" si="87"/>
        <v>9310.8000000000011</v>
      </c>
      <c r="J287" s="463">
        <v>4</v>
      </c>
      <c r="K287" s="534"/>
      <c r="L287" s="462">
        <f t="shared" si="88"/>
        <v>1760</v>
      </c>
      <c r="M287" s="462">
        <v>1510</v>
      </c>
      <c r="N287" s="462">
        <v>250</v>
      </c>
      <c r="O287" s="462">
        <f t="shared" si="89"/>
        <v>4165.29</v>
      </c>
      <c r="P287" s="488">
        <f t="shared" si="90"/>
        <v>1279.2333333333333</v>
      </c>
      <c r="Q287" s="489">
        <f t="shared" si="91"/>
        <v>1261.709589041096</v>
      </c>
      <c r="R287" s="489">
        <f t="shared" si="92"/>
        <v>65.753424657534239</v>
      </c>
      <c r="S287" s="490">
        <f t="shared" si="93"/>
        <v>16350.800000000001</v>
      </c>
      <c r="T287" s="490">
        <f t="shared" si="94"/>
        <v>18957.496347031967</v>
      </c>
      <c r="U287" s="491">
        <f t="shared" si="95"/>
        <v>189.11</v>
      </c>
      <c r="V287" s="456"/>
      <c r="W287" s="456"/>
      <c r="X287" s="456"/>
      <c r="Y287" s="456"/>
      <c r="Z287" s="462">
        <f t="shared" si="97"/>
        <v>189.11</v>
      </c>
      <c r="AA287" s="462">
        <f t="shared" si="96"/>
        <v>3976.18</v>
      </c>
      <c r="AB287" s="489">
        <v>1000</v>
      </c>
    </row>
    <row r="288" spans="1:28" s="486" customFormat="1" ht="33.75">
      <c r="A288" s="456">
        <v>22</v>
      </c>
      <c r="B288" s="551" t="s">
        <v>858</v>
      </c>
      <c r="C288" s="476">
        <v>9901501070</v>
      </c>
      <c r="D288" s="552" t="s">
        <v>859</v>
      </c>
      <c r="E288" s="553" t="s">
        <v>59</v>
      </c>
      <c r="F288" s="502">
        <v>31</v>
      </c>
      <c r="G288" s="498">
        <v>77.59</v>
      </c>
      <c r="H288" s="462">
        <f t="shared" si="86"/>
        <v>2405.29</v>
      </c>
      <c r="I288" s="462">
        <f t="shared" si="87"/>
        <v>9310.8000000000011</v>
      </c>
      <c r="J288" s="463">
        <v>4</v>
      </c>
      <c r="K288" s="534"/>
      <c r="L288" s="462">
        <f t="shared" si="88"/>
        <v>1760</v>
      </c>
      <c r="M288" s="462">
        <v>1510</v>
      </c>
      <c r="N288" s="462">
        <v>250</v>
      </c>
      <c r="O288" s="462">
        <f t="shared" si="89"/>
        <v>4165.29</v>
      </c>
      <c r="P288" s="488">
        <f t="shared" si="90"/>
        <v>1279.2333333333333</v>
      </c>
      <c r="Q288" s="489">
        <f t="shared" si="91"/>
        <v>1261.709589041096</v>
      </c>
      <c r="R288" s="489">
        <f t="shared" si="92"/>
        <v>65.753424657534239</v>
      </c>
      <c r="S288" s="490">
        <f t="shared" si="93"/>
        <v>16350.800000000001</v>
      </c>
      <c r="T288" s="490">
        <f t="shared" si="94"/>
        <v>18957.496347031967</v>
      </c>
      <c r="U288" s="491">
        <f t="shared" si="95"/>
        <v>189.11</v>
      </c>
      <c r="V288" s="456"/>
      <c r="W288" s="456"/>
      <c r="X288" s="456"/>
      <c r="Y288" s="456"/>
      <c r="Z288" s="462">
        <f t="shared" si="97"/>
        <v>189.11</v>
      </c>
      <c r="AA288" s="462">
        <f t="shared" si="96"/>
        <v>3976.18</v>
      </c>
      <c r="AB288" s="489">
        <v>1000</v>
      </c>
    </row>
    <row r="289" spans="1:28" s="486" customFormat="1" ht="33.75">
      <c r="A289" s="456">
        <v>23</v>
      </c>
      <c r="B289" s="551" t="s">
        <v>860</v>
      </c>
      <c r="C289" s="476">
        <v>9901563303</v>
      </c>
      <c r="D289" s="552" t="s">
        <v>861</v>
      </c>
      <c r="E289" s="553" t="s">
        <v>59</v>
      </c>
      <c r="F289" s="502">
        <v>31</v>
      </c>
      <c r="G289" s="498">
        <v>77.59</v>
      </c>
      <c r="H289" s="462">
        <f t="shared" si="86"/>
        <v>2405.29</v>
      </c>
      <c r="I289" s="462">
        <f t="shared" si="87"/>
        <v>9310.8000000000011</v>
      </c>
      <c r="J289" s="463">
        <v>4</v>
      </c>
      <c r="K289" s="534"/>
      <c r="L289" s="462">
        <f t="shared" si="88"/>
        <v>1760</v>
      </c>
      <c r="M289" s="462">
        <v>1510</v>
      </c>
      <c r="N289" s="462">
        <v>250</v>
      </c>
      <c r="O289" s="462">
        <f t="shared" si="89"/>
        <v>4165.29</v>
      </c>
      <c r="P289" s="488">
        <f t="shared" si="90"/>
        <v>1279.2333333333333</v>
      </c>
      <c r="Q289" s="489">
        <f t="shared" si="91"/>
        <v>1261.709589041096</v>
      </c>
      <c r="R289" s="489">
        <f t="shared" si="92"/>
        <v>65.753424657534239</v>
      </c>
      <c r="S289" s="490">
        <f t="shared" si="93"/>
        <v>16350.800000000001</v>
      </c>
      <c r="T289" s="490">
        <f t="shared" si="94"/>
        <v>18957.496347031967</v>
      </c>
      <c r="U289" s="491">
        <f t="shared" si="95"/>
        <v>189.11</v>
      </c>
      <c r="V289" s="456"/>
      <c r="W289" s="456"/>
      <c r="X289" s="456"/>
      <c r="Y289" s="456"/>
      <c r="Z289" s="462">
        <f t="shared" si="97"/>
        <v>189.11</v>
      </c>
      <c r="AA289" s="462">
        <f t="shared" si="96"/>
        <v>3976.18</v>
      </c>
      <c r="AB289" s="489">
        <v>1000</v>
      </c>
    </row>
    <row r="290" spans="1:28" s="486" customFormat="1" ht="33.75">
      <c r="A290" s="456">
        <v>24</v>
      </c>
      <c r="B290" s="551" t="s">
        <v>862</v>
      </c>
      <c r="C290" s="476">
        <v>9901469576</v>
      </c>
      <c r="D290" s="552" t="s">
        <v>863</v>
      </c>
      <c r="E290" s="553" t="s">
        <v>59</v>
      </c>
      <c r="F290" s="502">
        <v>31</v>
      </c>
      <c r="G290" s="498">
        <v>77.59</v>
      </c>
      <c r="H290" s="462">
        <f t="shared" si="86"/>
        <v>2405.29</v>
      </c>
      <c r="I290" s="462">
        <f t="shared" si="87"/>
        <v>9310.8000000000011</v>
      </c>
      <c r="J290" s="463">
        <v>4</v>
      </c>
      <c r="K290" s="534"/>
      <c r="L290" s="462">
        <f t="shared" si="88"/>
        <v>1760</v>
      </c>
      <c r="M290" s="462">
        <v>1510</v>
      </c>
      <c r="N290" s="462">
        <v>250</v>
      </c>
      <c r="O290" s="462">
        <f t="shared" si="89"/>
        <v>4165.29</v>
      </c>
      <c r="P290" s="488">
        <f t="shared" si="90"/>
        <v>1279.2333333333333</v>
      </c>
      <c r="Q290" s="489">
        <f t="shared" si="91"/>
        <v>1261.709589041096</v>
      </c>
      <c r="R290" s="489">
        <f t="shared" si="92"/>
        <v>65.753424657534239</v>
      </c>
      <c r="S290" s="490">
        <f t="shared" si="93"/>
        <v>16350.800000000001</v>
      </c>
      <c r="T290" s="490">
        <f t="shared" si="94"/>
        <v>18957.496347031967</v>
      </c>
      <c r="U290" s="491">
        <f t="shared" si="95"/>
        <v>189.11</v>
      </c>
      <c r="V290" s="456"/>
      <c r="W290" s="456"/>
      <c r="X290" s="456"/>
      <c r="Y290" s="456"/>
      <c r="Z290" s="462">
        <f t="shared" si="97"/>
        <v>189.11</v>
      </c>
      <c r="AA290" s="462">
        <f t="shared" si="96"/>
        <v>3976.18</v>
      </c>
      <c r="AB290" s="489">
        <v>1000</v>
      </c>
    </row>
    <row r="291" spans="1:28" s="486" customFormat="1" ht="45">
      <c r="A291" s="456">
        <v>25</v>
      </c>
      <c r="B291" s="551" t="s">
        <v>864</v>
      </c>
      <c r="C291" s="476">
        <v>9901469312</v>
      </c>
      <c r="D291" s="552" t="s">
        <v>865</v>
      </c>
      <c r="E291" s="553" t="s">
        <v>59</v>
      </c>
      <c r="F291" s="502">
        <v>31</v>
      </c>
      <c r="G291" s="498">
        <v>77.59</v>
      </c>
      <c r="H291" s="462">
        <f t="shared" si="86"/>
        <v>2405.29</v>
      </c>
      <c r="I291" s="462">
        <f t="shared" si="87"/>
        <v>9310.8000000000011</v>
      </c>
      <c r="J291" s="463">
        <v>4</v>
      </c>
      <c r="K291" s="534"/>
      <c r="L291" s="462">
        <f t="shared" si="88"/>
        <v>1760</v>
      </c>
      <c r="M291" s="462">
        <v>1510</v>
      </c>
      <c r="N291" s="462">
        <v>250</v>
      </c>
      <c r="O291" s="462">
        <f t="shared" si="89"/>
        <v>4165.29</v>
      </c>
      <c r="P291" s="488">
        <f t="shared" si="90"/>
        <v>1279.2333333333333</v>
      </c>
      <c r="Q291" s="489">
        <f t="shared" si="91"/>
        <v>1261.709589041096</v>
      </c>
      <c r="R291" s="489">
        <f t="shared" si="92"/>
        <v>65.753424657534239</v>
      </c>
      <c r="S291" s="490">
        <f t="shared" si="93"/>
        <v>16350.800000000001</v>
      </c>
      <c r="T291" s="490">
        <f t="shared" si="94"/>
        <v>18957.496347031967</v>
      </c>
      <c r="U291" s="491">
        <f t="shared" si="95"/>
        <v>189.11</v>
      </c>
      <c r="V291" s="456"/>
      <c r="W291" s="456"/>
      <c r="X291" s="456"/>
      <c r="Y291" s="456"/>
      <c r="Z291" s="462">
        <f t="shared" si="97"/>
        <v>189.11</v>
      </c>
      <c r="AA291" s="462">
        <f t="shared" si="96"/>
        <v>3976.18</v>
      </c>
      <c r="AB291" s="489">
        <v>1000</v>
      </c>
    </row>
    <row r="292" spans="1:28" s="486" customFormat="1" ht="56.25">
      <c r="A292" s="456">
        <v>26</v>
      </c>
      <c r="B292" s="551" t="s">
        <v>866</v>
      </c>
      <c r="C292" s="476">
        <v>9901563304</v>
      </c>
      <c r="D292" s="552" t="s">
        <v>867</v>
      </c>
      <c r="E292" s="553" t="s">
        <v>59</v>
      </c>
      <c r="F292" s="502">
        <v>31</v>
      </c>
      <c r="G292" s="498">
        <v>77.59</v>
      </c>
      <c r="H292" s="462">
        <f t="shared" si="86"/>
        <v>2405.29</v>
      </c>
      <c r="I292" s="462">
        <f t="shared" si="87"/>
        <v>9310.8000000000011</v>
      </c>
      <c r="J292" s="463">
        <v>4</v>
      </c>
      <c r="K292" s="534"/>
      <c r="L292" s="462">
        <f t="shared" si="88"/>
        <v>1760</v>
      </c>
      <c r="M292" s="462">
        <v>1510</v>
      </c>
      <c r="N292" s="462">
        <v>250</v>
      </c>
      <c r="O292" s="462">
        <f t="shared" si="89"/>
        <v>4165.29</v>
      </c>
      <c r="P292" s="488">
        <f t="shared" si="90"/>
        <v>1279.2333333333333</v>
      </c>
      <c r="Q292" s="489">
        <f t="shared" si="91"/>
        <v>1261.709589041096</v>
      </c>
      <c r="R292" s="489">
        <f t="shared" si="92"/>
        <v>65.753424657534239</v>
      </c>
      <c r="S292" s="490">
        <f t="shared" si="93"/>
        <v>16350.800000000001</v>
      </c>
      <c r="T292" s="490">
        <f t="shared" si="94"/>
        <v>18957.496347031967</v>
      </c>
      <c r="U292" s="491">
        <f t="shared" si="95"/>
        <v>189.11</v>
      </c>
      <c r="V292" s="456"/>
      <c r="W292" s="456"/>
      <c r="X292" s="456"/>
      <c r="Y292" s="456"/>
      <c r="Z292" s="462">
        <f t="shared" si="97"/>
        <v>189.11</v>
      </c>
      <c r="AA292" s="462">
        <f t="shared" si="96"/>
        <v>3976.18</v>
      </c>
      <c r="AB292" s="489">
        <v>1000</v>
      </c>
    </row>
    <row r="293" spans="1:28" s="486" customFormat="1" ht="45">
      <c r="A293" s="456">
        <v>27</v>
      </c>
      <c r="B293" s="551" t="s">
        <v>868</v>
      </c>
      <c r="C293" s="476">
        <v>9901563305</v>
      </c>
      <c r="D293" s="552" t="s">
        <v>869</v>
      </c>
      <c r="E293" s="553" t="s">
        <v>59</v>
      </c>
      <c r="F293" s="502">
        <v>31</v>
      </c>
      <c r="G293" s="498">
        <v>77.59</v>
      </c>
      <c r="H293" s="462">
        <f t="shared" si="86"/>
        <v>2405.29</v>
      </c>
      <c r="I293" s="462">
        <f t="shared" si="87"/>
        <v>9310.8000000000011</v>
      </c>
      <c r="J293" s="463">
        <v>4</v>
      </c>
      <c r="K293" s="534"/>
      <c r="L293" s="462">
        <f t="shared" si="88"/>
        <v>1760</v>
      </c>
      <c r="M293" s="462">
        <v>1510</v>
      </c>
      <c r="N293" s="462">
        <v>250</v>
      </c>
      <c r="O293" s="462">
        <f t="shared" si="89"/>
        <v>4165.29</v>
      </c>
      <c r="P293" s="488">
        <f t="shared" si="90"/>
        <v>1279.2333333333333</v>
      </c>
      <c r="Q293" s="489">
        <f t="shared" si="91"/>
        <v>1261.709589041096</v>
      </c>
      <c r="R293" s="489">
        <f t="shared" si="92"/>
        <v>65.753424657534239</v>
      </c>
      <c r="S293" s="490">
        <f t="shared" si="93"/>
        <v>16350.800000000001</v>
      </c>
      <c r="T293" s="490">
        <f t="shared" si="94"/>
        <v>18957.496347031967</v>
      </c>
      <c r="U293" s="491">
        <f t="shared" si="95"/>
        <v>189.11</v>
      </c>
      <c r="V293" s="456"/>
      <c r="W293" s="456"/>
      <c r="X293" s="456"/>
      <c r="Y293" s="456"/>
      <c r="Z293" s="462">
        <f t="shared" si="97"/>
        <v>189.11</v>
      </c>
      <c r="AA293" s="462">
        <f t="shared" si="96"/>
        <v>3976.18</v>
      </c>
      <c r="AB293" s="489">
        <v>1000</v>
      </c>
    </row>
    <row r="294" spans="1:28" s="486" customFormat="1" ht="22.5">
      <c r="A294" s="456">
        <v>28</v>
      </c>
      <c r="B294" s="551" t="s">
        <v>870</v>
      </c>
      <c r="C294" s="476">
        <v>9901469971</v>
      </c>
      <c r="D294" s="552" t="s">
        <v>871</v>
      </c>
      <c r="E294" s="553" t="s">
        <v>59</v>
      </c>
      <c r="F294" s="502">
        <v>31</v>
      </c>
      <c r="G294" s="498">
        <v>77.59</v>
      </c>
      <c r="H294" s="462">
        <f t="shared" si="86"/>
        <v>2405.29</v>
      </c>
      <c r="I294" s="462">
        <f t="shared" si="87"/>
        <v>9310.8000000000011</v>
      </c>
      <c r="J294" s="463">
        <v>4</v>
      </c>
      <c r="K294" s="534"/>
      <c r="L294" s="462">
        <f t="shared" si="88"/>
        <v>1760</v>
      </c>
      <c r="M294" s="462">
        <v>1510</v>
      </c>
      <c r="N294" s="462">
        <v>250</v>
      </c>
      <c r="O294" s="462">
        <f t="shared" si="89"/>
        <v>4165.29</v>
      </c>
      <c r="P294" s="488">
        <f t="shared" si="90"/>
        <v>1279.2333333333333</v>
      </c>
      <c r="Q294" s="489">
        <f t="shared" si="91"/>
        <v>1261.709589041096</v>
      </c>
      <c r="R294" s="489">
        <f t="shared" si="92"/>
        <v>65.753424657534239</v>
      </c>
      <c r="S294" s="490">
        <f t="shared" si="93"/>
        <v>16350.800000000001</v>
      </c>
      <c r="T294" s="490">
        <f t="shared" si="94"/>
        <v>18957.496347031967</v>
      </c>
      <c r="U294" s="491">
        <f t="shared" si="95"/>
        <v>189.11</v>
      </c>
      <c r="V294" s="456"/>
      <c r="W294" s="456"/>
      <c r="X294" s="456"/>
      <c r="Y294" s="456"/>
      <c r="Z294" s="462">
        <f t="shared" si="97"/>
        <v>189.11</v>
      </c>
      <c r="AA294" s="462">
        <f t="shared" si="96"/>
        <v>3976.18</v>
      </c>
      <c r="AB294" s="489">
        <v>1000</v>
      </c>
    </row>
    <row r="295" spans="1:28" s="486" customFormat="1" ht="33.75">
      <c r="A295" s="456">
        <v>29</v>
      </c>
      <c r="B295" s="551" t="s">
        <v>872</v>
      </c>
      <c r="C295" s="476">
        <v>9901563274</v>
      </c>
      <c r="D295" s="552" t="s">
        <v>873</v>
      </c>
      <c r="E295" s="553" t="s">
        <v>59</v>
      </c>
      <c r="F295" s="502">
        <v>31</v>
      </c>
      <c r="G295" s="498">
        <v>77.59</v>
      </c>
      <c r="H295" s="462">
        <f t="shared" si="86"/>
        <v>2405.29</v>
      </c>
      <c r="I295" s="462">
        <f t="shared" si="87"/>
        <v>9310.8000000000011</v>
      </c>
      <c r="J295" s="463">
        <v>4</v>
      </c>
      <c r="K295" s="534"/>
      <c r="L295" s="462">
        <f t="shared" si="88"/>
        <v>1760</v>
      </c>
      <c r="M295" s="462">
        <v>1510</v>
      </c>
      <c r="N295" s="462">
        <v>250</v>
      </c>
      <c r="O295" s="462">
        <f t="shared" si="89"/>
        <v>4165.29</v>
      </c>
      <c r="P295" s="488">
        <f t="shared" si="90"/>
        <v>1279.2333333333333</v>
      </c>
      <c r="Q295" s="489">
        <f t="shared" si="91"/>
        <v>1261.709589041096</v>
      </c>
      <c r="R295" s="489">
        <f t="shared" si="92"/>
        <v>65.753424657534239</v>
      </c>
      <c r="S295" s="490">
        <f t="shared" si="93"/>
        <v>16350.800000000001</v>
      </c>
      <c r="T295" s="490">
        <f t="shared" si="94"/>
        <v>18957.496347031967</v>
      </c>
      <c r="U295" s="491">
        <f t="shared" si="95"/>
        <v>189.11</v>
      </c>
      <c r="V295" s="456"/>
      <c r="W295" s="456"/>
      <c r="X295" s="456"/>
      <c r="Y295" s="456"/>
      <c r="Z295" s="462">
        <f t="shared" si="97"/>
        <v>189.11</v>
      </c>
      <c r="AA295" s="462">
        <f t="shared" si="96"/>
        <v>3976.18</v>
      </c>
      <c r="AB295" s="489">
        <v>1000</v>
      </c>
    </row>
    <row r="296" spans="1:28" s="486" customFormat="1" ht="33.75">
      <c r="A296" s="456">
        <v>30</v>
      </c>
      <c r="B296" s="551" t="s">
        <v>874</v>
      </c>
      <c r="C296" s="476">
        <v>9901563276</v>
      </c>
      <c r="D296" s="552" t="s">
        <v>875</v>
      </c>
      <c r="E296" s="554" t="s">
        <v>59</v>
      </c>
      <c r="F296" s="502">
        <v>31</v>
      </c>
      <c r="G296" s="498">
        <v>77.59</v>
      </c>
      <c r="H296" s="462">
        <f t="shared" si="86"/>
        <v>2405.29</v>
      </c>
      <c r="I296" s="462">
        <f t="shared" si="87"/>
        <v>9310.8000000000011</v>
      </c>
      <c r="J296" s="463">
        <v>4</v>
      </c>
      <c r="K296" s="534"/>
      <c r="L296" s="462">
        <f t="shared" si="88"/>
        <v>1760</v>
      </c>
      <c r="M296" s="462">
        <v>1510</v>
      </c>
      <c r="N296" s="462">
        <v>250</v>
      </c>
      <c r="O296" s="462">
        <f t="shared" si="89"/>
        <v>4165.29</v>
      </c>
      <c r="P296" s="488">
        <f t="shared" si="90"/>
        <v>1279.2333333333333</v>
      </c>
      <c r="Q296" s="489">
        <f t="shared" si="91"/>
        <v>1261.709589041096</v>
      </c>
      <c r="R296" s="489">
        <f t="shared" si="92"/>
        <v>65.753424657534239</v>
      </c>
      <c r="S296" s="490">
        <f t="shared" si="93"/>
        <v>16350.800000000001</v>
      </c>
      <c r="T296" s="490">
        <f t="shared" si="94"/>
        <v>18957.496347031967</v>
      </c>
      <c r="U296" s="491">
        <f t="shared" si="95"/>
        <v>189.11</v>
      </c>
      <c r="V296" s="456"/>
      <c r="W296" s="456"/>
      <c r="X296" s="456"/>
      <c r="Y296" s="456"/>
      <c r="Z296" s="462">
        <f t="shared" si="97"/>
        <v>189.11</v>
      </c>
      <c r="AA296" s="462">
        <f t="shared" si="96"/>
        <v>3976.18</v>
      </c>
      <c r="AB296" s="489">
        <v>1000</v>
      </c>
    </row>
    <row r="297" spans="1:28" s="486" customFormat="1" ht="33.75">
      <c r="A297" s="456">
        <v>31</v>
      </c>
      <c r="B297" s="551" t="s">
        <v>876</v>
      </c>
      <c r="C297" s="476">
        <v>9901563278</v>
      </c>
      <c r="D297" s="552" t="s">
        <v>877</v>
      </c>
      <c r="E297" s="554" t="s">
        <v>59</v>
      </c>
      <c r="F297" s="502">
        <v>31</v>
      </c>
      <c r="G297" s="498">
        <v>77.59</v>
      </c>
      <c r="H297" s="462">
        <f t="shared" si="86"/>
        <v>2405.29</v>
      </c>
      <c r="I297" s="462">
        <f t="shared" si="87"/>
        <v>9310.8000000000011</v>
      </c>
      <c r="J297" s="463">
        <v>4</v>
      </c>
      <c r="K297" s="534"/>
      <c r="L297" s="462">
        <f t="shared" si="88"/>
        <v>1760</v>
      </c>
      <c r="M297" s="462">
        <v>1510</v>
      </c>
      <c r="N297" s="462">
        <v>250</v>
      </c>
      <c r="O297" s="462">
        <f t="shared" si="89"/>
        <v>4165.29</v>
      </c>
      <c r="P297" s="488">
        <f t="shared" si="90"/>
        <v>1279.2333333333333</v>
      </c>
      <c r="Q297" s="489">
        <f t="shared" si="91"/>
        <v>1261.709589041096</v>
      </c>
      <c r="R297" s="489">
        <f t="shared" si="92"/>
        <v>65.753424657534239</v>
      </c>
      <c r="S297" s="490">
        <f t="shared" si="93"/>
        <v>16350.800000000001</v>
      </c>
      <c r="T297" s="490">
        <f t="shared" si="94"/>
        <v>18957.496347031967</v>
      </c>
      <c r="U297" s="491">
        <f t="shared" si="95"/>
        <v>189.11</v>
      </c>
      <c r="V297" s="456"/>
      <c r="W297" s="456"/>
      <c r="X297" s="456"/>
      <c r="Y297" s="456"/>
      <c r="Z297" s="462">
        <f t="shared" si="97"/>
        <v>189.11</v>
      </c>
      <c r="AA297" s="462">
        <f t="shared" si="96"/>
        <v>3976.18</v>
      </c>
      <c r="AB297" s="489">
        <v>1000</v>
      </c>
    </row>
    <row r="298" spans="1:28" s="486" customFormat="1" ht="33.75">
      <c r="A298" s="456">
        <v>32</v>
      </c>
      <c r="B298" s="551" t="s">
        <v>878</v>
      </c>
      <c r="C298" s="476">
        <v>9901563306</v>
      </c>
      <c r="D298" s="552" t="s">
        <v>879</v>
      </c>
      <c r="E298" s="554" t="s">
        <v>89</v>
      </c>
      <c r="F298" s="502">
        <v>31</v>
      </c>
      <c r="G298" s="498">
        <v>75.64</v>
      </c>
      <c r="H298" s="462">
        <f t="shared" si="86"/>
        <v>2344.84</v>
      </c>
      <c r="I298" s="462">
        <f t="shared" si="87"/>
        <v>9076.7999999999993</v>
      </c>
      <c r="J298" s="463">
        <v>4</v>
      </c>
      <c r="K298" s="534"/>
      <c r="L298" s="462">
        <f t="shared" si="88"/>
        <v>1760</v>
      </c>
      <c r="M298" s="462">
        <v>1510</v>
      </c>
      <c r="N298" s="462">
        <v>250</v>
      </c>
      <c r="O298" s="462">
        <f t="shared" si="89"/>
        <v>4104.84</v>
      </c>
      <c r="P298" s="488">
        <f t="shared" si="90"/>
        <v>1259.7333333333333</v>
      </c>
      <c r="Q298" s="489">
        <f t="shared" si="91"/>
        <v>1242.476712328767</v>
      </c>
      <c r="R298" s="489">
        <f t="shared" si="92"/>
        <v>65.753424657534239</v>
      </c>
      <c r="S298" s="490">
        <f t="shared" si="93"/>
        <v>16116.8</v>
      </c>
      <c r="T298" s="490">
        <f t="shared" si="94"/>
        <v>18684.763470319635</v>
      </c>
      <c r="U298" s="491">
        <f t="shared" si="95"/>
        <v>186.19</v>
      </c>
      <c r="V298" s="456"/>
      <c r="W298" s="456"/>
      <c r="X298" s="456"/>
      <c r="Y298" s="456"/>
      <c r="Z298" s="462">
        <f t="shared" si="97"/>
        <v>186.19</v>
      </c>
      <c r="AA298" s="462">
        <f t="shared" si="96"/>
        <v>3918.65</v>
      </c>
      <c r="AB298" s="489">
        <v>1000</v>
      </c>
    </row>
    <row r="299" spans="1:28" s="486" customFormat="1" ht="33.75">
      <c r="A299" s="456">
        <v>33</v>
      </c>
      <c r="B299" s="551" t="s">
        <v>880</v>
      </c>
      <c r="C299" s="476">
        <v>9901563280</v>
      </c>
      <c r="D299" s="552" t="s">
        <v>881</v>
      </c>
      <c r="E299" s="554" t="s">
        <v>89</v>
      </c>
      <c r="F299" s="502">
        <v>31</v>
      </c>
      <c r="G299" s="498">
        <v>75.64</v>
      </c>
      <c r="H299" s="462">
        <f t="shared" si="86"/>
        <v>2344.84</v>
      </c>
      <c r="I299" s="462">
        <f t="shared" si="87"/>
        <v>9076.7999999999993</v>
      </c>
      <c r="J299" s="463">
        <v>4</v>
      </c>
      <c r="K299" s="534"/>
      <c r="L299" s="462">
        <f t="shared" si="88"/>
        <v>1760</v>
      </c>
      <c r="M299" s="462">
        <v>1510</v>
      </c>
      <c r="N299" s="462">
        <v>250</v>
      </c>
      <c r="O299" s="462">
        <f t="shared" si="89"/>
        <v>4104.84</v>
      </c>
      <c r="P299" s="488">
        <f t="shared" si="90"/>
        <v>1259.7333333333333</v>
      </c>
      <c r="Q299" s="489">
        <f t="shared" si="91"/>
        <v>1242.476712328767</v>
      </c>
      <c r="R299" s="489">
        <f t="shared" si="92"/>
        <v>65.753424657534239</v>
      </c>
      <c r="S299" s="490">
        <f t="shared" si="93"/>
        <v>16116.8</v>
      </c>
      <c r="T299" s="490">
        <f t="shared" si="94"/>
        <v>18684.763470319635</v>
      </c>
      <c r="U299" s="491">
        <f t="shared" si="95"/>
        <v>186.19</v>
      </c>
      <c r="V299" s="456"/>
      <c r="W299" s="456"/>
      <c r="X299" s="456"/>
      <c r="Y299" s="456"/>
      <c r="Z299" s="462">
        <f t="shared" si="97"/>
        <v>186.19</v>
      </c>
      <c r="AA299" s="462">
        <f t="shared" si="96"/>
        <v>3918.65</v>
      </c>
      <c r="AB299" s="489">
        <v>1000</v>
      </c>
    </row>
    <row r="300" spans="1:28" s="486" customFormat="1" ht="33.75">
      <c r="A300" s="456">
        <v>34</v>
      </c>
      <c r="B300" s="551" t="s">
        <v>882</v>
      </c>
      <c r="C300" s="476">
        <v>9901563281</v>
      </c>
      <c r="D300" s="552" t="s">
        <v>883</v>
      </c>
      <c r="E300" s="554" t="s">
        <v>89</v>
      </c>
      <c r="F300" s="502">
        <v>31</v>
      </c>
      <c r="G300" s="498">
        <v>75.64</v>
      </c>
      <c r="H300" s="462">
        <f t="shared" si="86"/>
        <v>2344.84</v>
      </c>
      <c r="I300" s="462">
        <f t="shared" si="87"/>
        <v>9076.7999999999993</v>
      </c>
      <c r="J300" s="463">
        <v>4</v>
      </c>
      <c r="K300" s="534"/>
      <c r="L300" s="462">
        <f t="shared" si="88"/>
        <v>1760</v>
      </c>
      <c r="M300" s="462">
        <v>1510</v>
      </c>
      <c r="N300" s="462">
        <v>250</v>
      </c>
      <c r="O300" s="462">
        <f t="shared" si="89"/>
        <v>4104.84</v>
      </c>
      <c r="P300" s="488">
        <f t="shared" si="90"/>
        <v>1259.7333333333333</v>
      </c>
      <c r="Q300" s="489">
        <f t="shared" si="91"/>
        <v>1242.476712328767</v>
      </c>
      <c r="R300" s="489">
        <f t="shared" si="92"/>
        <v>65.753424657534239</v>
      </c>
      <c r="S300" s="490">
        <f t="shared" si="93"/>
        <v>16116.8</v>
      </c>
      <c r="T300" s="490">
        <f t="shared" si="94"/>
        <v>18684.763470319635</v>
      </c>
      <c r="U300" s="491">
        <f t="shared" si="95"/>
        <v>186.19</v>
      </c>
      <c r="V300" s="456"/>
      <c r="W300" s="456"/>
      <c r="X300" s="456"/>
      <c r="Y300" s="456"/>
      <c r="Z300" s="462">
        <f t="shared" si="97"/>
        <v>186.19</v>
      </c>
      <c r="AA300" s="462">
        <f t="shared" si="96"/>
        <v>3918.65</v>
      </c>
      <c r="AB300" s="489">
        <v>1000</v>
      </c>
    </row>
    <row r="301" spans="1:28" s="486" customFormat="1" ht="33.75">
      <c r="A301" s="456">
        <v>35</v>
      </c>
      <c r="B301" s="551" t="s">
        <v>884</v>
      </c>
      <c r="C301" s="476">
        <v>9901563283</v>
      </c>
      <c r="D301" s="552" t="s">
        <v>885</v>
      </c>
      <c r="E301" s="554" t="s">
        <v>89</v>
      </c>
      <c r="F301" s="502">
        <v>31</v>
      </c>
      <c r="G301" s="498">
        <v>75.64</v>
      </c>
      <c r="H301" s="462">
        <f t="shared" si="86"/>
        <v>2344.84</v>
      </c>
      <c r="I301" s="462">
        <f t="shared" si="87"/>
        <v>9076.7999999999993</v>
      </c>
      <c r="J301" s="463">
        <v>4</v>
      </c>
      <c r="K301" s="534"/>
      <c r="L301" s="462">
        <f t="shared" si="88"/>
        <v>1760</v>
      </c>
      <c r="M301" s="462">
        <v>1510</v>
      </c>
      <c r="N301" s="462">
        <v>250</v>
      </c>
      <c r="O301" s="462">
        <f t="shared" si="89"/>
        <v>4104.84</v>
      </c>
      <c r="P301" s="488">
        <f t="shared" si="90"/>
        <v>1259.7333333333333</v>
      </c>
      <c r="Q301" s="489">
        <f t="shared" si="91"/>
        <v>1242.476712328767</v>
      </c>
      <c r="R301" s="489">
        <f t="shared" si="92"/>
        <v>65.753424657534239</v>
      </c>
      <c r="S301" s="490">
        <f t="shared" si="93"/>
        <v>16116.8</v>
      </c>
      <c r="T301" s="490">
        <f t="shared" si="94"/>
        <v>18684.763470319635</v>
      </c>
      <c r="U301" s="491">
        <f t="shared" si="95"/>
        <v>186.19</v>
      </c>
      <c r="V301" s="456"/>
      <c r="W301" s="456"/>
      <c r="X301" s="456"/>
      <c r="Y301" s="456"/>
      <c r="Z301" s="462">
        <f t="shared" si="97"/>
        <v>186.19</v>
      </c>
      <c r="AA301" s="462">
        <f t="shared" si="96"/>
        <v>3918.65</v>
      </c>
      <c r="AB301" s="489">
        <v>1000</v>
      </c>
    </row>
    <row r="302" spans="1:28" s="486" customFormat="1" ht="33.75">
      <c r="A302" s="456">
        <v>36</v>
      </c>
      <c r="B302" s="551" t="s">
        <v>886</v>
      </c>
      <c r="C302" s="476">
        <v>9901563284</v>
      </c>
      <c r="D302" s="552" t="s">
        <v>887</v>
      </c>
      <c r="E302" s="554" t="s">
        <v>89</v>
      </c>
      <c r="F302" s="502">
        <v>31</v>
      </c>
      <c r="G302" s="498">
        <v>75.64</v>
      </c>
      <c r="H302" s="462">
        <f t="shared" si="86"/>
        <v>2344.84</v>
      </c>
      <c r="I302" s="462">
        <f t="shared" si="87"/>
        <v>9076.7999999999993</v>
      </c>
      <c r="J302" s="463">
        <v>4</v>
      </c>
      <c r="K302" s="534"/>
      <c r="L302" s="462">
        <f t="shared" si="88"/>
        <v>1760</v>
      </c>
      <c r="M302" s="462">
        <v>1510</v>
      </c>
      <c r="N302" s="462">
        <v>250</v>
      </c>
      <c r="O302" s="462">
        <f t="shared" si="89"/>
        <v>4104.84</v>
      </c>
      <c r="P302" s="488">
        <f t="shared" si="90"/>
        <v>1259.7333333333333</v>
      </c>
      <c r="Q302" s="489">
        <f t="shared" si="91"/>
        <v>1242.476712328767</v>
      </c>
      <c r="R302" s="489">
        <f t="shared" si="92"/>
        <v>65.753424657534239</v>
      </c>
      <c r="S302" s="490">
        <f t="shared" si="93"/>
        <v>16116.8</v>
      </c>
      <c r="T302" s="490">
        <f t="shared" si="94"/>
        <v>18684.763470319635</v>
      </c>
      <c r="U302" s="491">
        <f t="shared" si="95"/>
        <v>186.19</v>
      </c>
      <c r="V302" s="456"/>
      <c r="W302" s="456"/>
      <c r="X302" s="456"/>
      <c r="Y302" s="456"/>
      <c r="Z302" s="462">
        <f t="shared" si="97"/>
        <v>186.19</v>
      </c>
      <c r="AA302" s="462">
        <f t="shared" si="96"/>
        <v>3918.65</v>
      </c>
      <c r="AB302" s="489">
        <v>1000</v>
      </c>
    </row>
    <row r="303" spans="1:28" s="486" customFormat="1" ht="33.75">
      <c r="A303" s="456">
        <v>37</v>
      </c>
      <c r="B303" s="551" t="s">
        <v>888</v>
      </c>
      <c r="C303" s="476">
        <v>9901563285</v>
      </c>
      <c r="D303" s="552" t="s">
        <v>889</v>
      </c>
      <c r="E303" s="554" t="s">
        <v>89</v>
      </c>
      <c r="F303" s="502">
        <v>31</v>
      </c>
      <c r="G303" s="498">
        <v>75.64</v>
      </c>
      <c r="H303" s="462">
        <f t="shared" si="86"/>
        <v>2344.84</v>
      </c>
      <c r="I303" s="462">
        <f t="shared" si="87"/>
        <v>9076.7999999999993</v>
      </c>
      <c r="J303" s="463">
        <v>4</v>
      </c>
      <c r="K303" s="534"/>
      <c r="L303" s="462">
        <f t="shared" si="88"/>
        <v>1760</v>
      </c>
      <c r="M303" s="462">
        <v>1510</v>
      </c>
      <c r="N303" s="462">
        <v>250</v>
      </c>
      <c r="O303" s="462">
        <f t="shared" si="89"/>
        <v>4104.84</v>
      </c>
      <c r="P303" s="488">
        <f t="shared" si="90"/>
        <v>1259.7333333333333</v>
      </c>
      <c r="Q303" s="489">
        <f t="shared" si="91"/>
        <v>1242.476712328767</v>
      </c>
      <c r="R303" s="489">
        <f t="shared" si="92"/>
        <v>65.753424657534239</v>
      </c>
      <c r="S303" s="490">
        <f t="shared" si="93"/>
        <v>16116.8</v>
      </c>
      <c r="T303" s="490">
        <f t="shared" si="94"/>
        <v>18684.763470319635</v>
      </c>
      <c r="U303" s="491">
        <f t="shared" si="95"/>
        <v>186.19</v>
      </c>
      <c r="V303" s="456"/>
      <c r="W303" s="456"/>
      <c r="X303" s="456"/>
      <c r="Y303" s="456"/>
      <c r="Z303" s="462">
        <f t="shared" si="97"/>
        <v>186.19</v>
      </c>
      <c r="AA303" s="462">
        <f t="shared" si="96"/>
        <v>3918.65</v>
      </c>
      <c r="AB303" s="489">
        <v>1000</v>
      </c>
    </row>
    <row r="304" spans="1:28" s="486" customFormat="1" ht="33.75">
      <c r="A304" s="456">
        <v>38</v>
      </c>
      <c r="B304" s="551" t="s">
        <v>890</v>
      </c>
      <c r="C304" s="476">
        <v>9901563286</v>
      </c>
      <c r="D304" s="552" t="s">
        <v>891</v>
      </c>
      <c r="E304" s="554" t="s">
        <v>89</v>
      </c>
      <c r="F304" s="502">
        <v>31</v>
      </c>
      <c r="G304" s="498">
        <v>75.64</v>
      </c>
      <c r="H304" s="462">
        <f t="shared" si="86"/>
        <v>2344.84</v>
      </c>
      <c r="I304" s="462">
        <f t="shared" si="87"/>
        <v>9076.7999999999993</v>
      </c>
      <c r="J304" s="463">
        <v>4</v>
      </c>
      <c r="K304" s="534"/>
      <c r="L304" s="462">
        <f t="shared" si="88"/>
        <v>1760</v>
      </c>
      <c r="M304" s="462">
        <v>1510</v>
      </c>
      <c r="N304" s="462">
        <v>250</v>
      </c>
      <c r="O304" s="462">
        <f t="shared" si="89"/>
        <v>4104.84</v>
      </c>
      <c r="P304" s="488">
        <f t="shared" si="90"/>
        <v>1259.7333333333333</v>
      </c>
      <c r="Q304" s="489">
        <f t="shared" si="91"/>
        <v>1242.476712328767</v>
      </c>
      <c r="R304" s="489">
        <f t="shared" si="92"/>
        <v>65.753424657534239</v>
      </c>
      <c r="S304" s="490">
        <f t="shared" si="93"/>
        <v>16116.8</v>
      </c>
      <c r="T304" s="490">
        <f t="shared" si="94"/>
        <v>18684.763470319635</v>
      </c>
      <c r="U304" s="491">
        <f t="shared" si="95"/>
        <v>186.19</v>
      </c>
      <c r="V304" s="456"/>
      <c r="W304" s="456"/>
      <c r="X304" s="456"/>
      <c r="Y304" s="456"/>
      <c r="Z304" s="462">
        <f t="shared" si="97"/>
        <v>186.19</v>
      </c>
      <c r="AA304" s="462">
        <f t="shared" si="96"/>
        <v>3918.65</v>
      </c>
      <c r="AB304" s="489">
        <v>1000</v>
      </c>
    </row>
    <row r="305" spans="1:28" s="486" customFormat="1" ht="56.25">
      <c r="A305" s="456">
        <v>39</v>
      </c>
      <c r="B305" s="551" t="s">
        <v>892</v>
      </c>
      <c r="C305" s="476">
        <v>9901563287</v>
      </c>
      <c r="D305" s="552" t="s">
        <v>893</v>
      </c>
      <c r="E305" s="554" t="s">
        <v>89</v>
      </c>
      <c r="F305" s="502">
        <v>31</v>
      </c>
      <c r="G305" s="498">
        <v>75.64</v>
      </c>
      <c r="H305" s="462">
        <f t="shared" si="86"/>
        <v>2344.84</v>
      </c>
      <c r="I305" s="462">
        <f t="shared" si="87"/>
        <v>9076.7999999999993</v>
      </c>
      <c r="J305" s="463">
        <v>4</v>
      </c>
      <c r="K305" s="534"/>
      <c r="L305" s="462">
        <f t="shared" si="88"/>
        <v>1760</v>
      </c>
      <c r="M305" s="462">
        <v>1510</v>
      </c>
      <c r="N305" s="462">
        <v>250</v>
      </c>
      <c r="O305" s="462">
        <f t="shared" si="89"/>
        <v>4104.84</v>
      </c>
      <c r="P305" s="488">
        <f t="shared" si="90"/>
        <v>1259.7333333333333</v>
      </c>
      <c r="Q305" s="489">
        <f t="shared" si="91"/>
        <v>1242.476712328767</v>
      </c>
      <c r="R305" s="489">
        <f t="shared" si="92"/>
        <v>65.753424657534239</v>
      </c>
      <c r="S305" s="490">
        <f t="shared" si="93"/>
        <v>16116.8</v>
      </c>
      <c r="T305" s="490">
        <f t="shared" si="94"/>
        <v>18684.763470319635</v>
      </c>
      <c r="U305" s="491">
        <f t="shared" si="95"/>
        <v>186.19</v>
      </c>
      <c r="V305" s="456"/>
      <c r="W305" s="456"/>
      <c r="X305" s="456"/>
      <c r="Y305" s="456"/>
      <c r="Z305" s="462">
        <f t="shared" si="97"/>
        <v>186.19</v>
      </c>
      <c r="AA305" s="462">
        <f t="shared" si="96"/>
        <v>3918.65</v>
      </c>
      <c r="AB305" s="489">
        <v>1000</v>
      </c>
    </row>
    <row r="306" spans="1:28" s="486" customFormat="1" ht="33.75">
      <c r="A306" s="456">
        <v>40</v>
      </c>
      <c r="B306" s="551" t="s">
        <v>894</v>
      </c>
      <c r="C306" s="476">
        <v>9901563290</v>
      </c>
      <c r="D306" s="552" t="s">
        <v>895</v>
      </c>
      <c r="E306" s="554" t="s">
        <v>89</v>
      </c>
      <c r="F306" s="502">
        <v>31</v>
      </c>
      <c r="G306" s="498">
        <v>75.64</v>
      </c>
      <c r="H306" s="462">
        <f t="shared" si="86"/>
        <v>2344.84</v>
      </c>
      <c r="I306" s="462">
        <f t="shared" si="87"/>
        <v>9076.7999999999993</v>
      </c>
      <c r="J306" s="463">
        <v>4</v>
      </c>
      <c r="K306" s="534"/>
      <c r="L306" s="462">
        <f t="shared" si="88"/>
        <v>1760</v>
      </c>
      <c r="M306" s="462">
        <v>1510</v>
      </c>
      <c r="N306" s="462">
        <v>250</v>
      </c>
      <c r="O306" s="462">
        <f t="shared" si="89"/>
        <v>4104.84</v>
      </c>
      <c r="P306" s="488">
        <f t="shared" si="90"/>
        <v>1259.7333333333333</v>
      </c>
      <c r="Q306" s="489">
        <f t="shared" si="91"/>
        <v>1242.476712328767</v>
      </c>
      <c r="R306" s="489">
        <f t="shared" si="92"/>
        <v>65.753424657534239</v>
      </c>
      <c r="S306" s="490">
        <f t="shared" si="93"/>
        <v>16116.8</v>
      </c>
      <c r="T306" s="490">
        <f t="shared" si="94"/>
        <v>18684.763470319635</v>
      </c>
      <c r="U306" s="491">
        <f t="shared" si="95"/>
        <v>186.19</v>
      </c>
      <c r="V306" s="456"/>
      <c r="W306" s="456"/>
      <c r="X306" s="456"/>
      <c r="Y306" s="456"/>
      <c r="Z306" s="462">
        <f t="shared" si="97"/>
        <v>186.19</v>
      </c>
      <c r="AA306" s="462">
        <f t="shared" si="96"/>
        <v>3918.65</v>
      </c>
      <c r="AB306" s="489">
        <v>1000</v>
      </c>
    </row>
    <row r="307" spans="1:28" s="486" customFormat="1" ht="33.75">
      <c r="A307" s="456">
        <v>41</v>
      </c>
      <c r="B307" s="551" t="s">
        <v>896</v>
      </c>
      <c r="C307" s="476">
        <v>9901563291</v>
      </c>
      <c r="D307" s="552" t="s">
        <v>897</v>
      </c>
      <c r="E307" s="554" t="s">
        <v>89</v>
      </c>
      <c r="F307" s="502">
        <v>31</v>
      </c>
      <c r="G307" s="498">
        <v>75.64</v>
      </c>
      <c r="H307" s="462">
        <f t="shared" si="86"/>
        <v>2344.84</v>
      </c>
      <c r="I307" s="462">
        <f t="shared" si="87"/>
        <v>9076.7999999999993</v>
      </c>
      <c r="J307" s="463">
        <v>4</v>
      </c>
      <c r="K307" s="534"/>
      <c r="L307" s="462">
        <f t="shared" si="88"/>
        <v>1760</v>
      </c>
      <c r="M307" s="462">
        <v>1510</v>
      </c>
      <c r="N307" s="462">
        <v>250</v>
      </c>
      <c r="O307" s="462">
        <f t="shared" si="89"/>
        <v>4104.84</v>
      </c>
      <c r="P307" s="488">
        <f t="shared" si="90"/>
        <v>1259.7333333333333</v>
      </c>
      <c r="Q307" s="489">
        <f t="shared" si="91"/>
        <v>1242.476712328767</v>
      </c>
      <c r="R307" s="489">
        <f t="shared" si="92"/>
        <v>65.753424657534239</v>
      </c>
      <c r="S307" s="490">
        <f t="shared" si="93"/>
        <v>16116.8</v>
      </c>
      <c r="T307" s="490">
        <f t="shared" si="94"/>
        <v>18684.763470319635</v>
      </c>
      <c r="U307" s="491">
        <f t="shared" si="95"/>
        <v>186.19</v>
      </c>
      <c r="V307" s="456"/>
      <c r="W307" s="456"/>
      <c r="X307" s="456"/>
      <c r="Y307" s="456"/>
      <c r="Z307" s="462">
        <f t="shared" si="97"/>
        <v>186.19</v>
      </c>
      <c r="AA307" s="462">
        <f t="shared" si="96"/>
        <v>3918.65</v>
      </c>
      <c r="AB307" s="489">
        <v>1000</v>
      </c>
    </row>
    <row r="308" spans="1:28" s="486" customFormat="1" ht="33.75">
      <c r="A308" s="456">
        <v>42</v>
      </c>
      <c r="B308" s="551" t="s">
        <v>898</v>
      </c>
      <c r="C308" s="476">
        <v>9901563293</v>
      </c>
      <c r="D308" s="552" t="s">
        <v>899</v>
      </c>
      <c r="E308" s="554" t="s">
        <v>89</v>
      </c>
      <c r="F308" s="502">
        <v>31</v>
      </c>
      <c r="G308" s="498">
        <v>75.64</v>
      </c>
      <c r="H308" s="462">
        <f t="shared" si="86"/>
        <v>2344.84</v>
      </c>
      <c r="I308" s="462">
        <f t="shared" si="87"/>
        <v>9076.7999999999993</v>
      </c>
      <c r="J308" s="463">
        <v>4</v>
      </c>
      <c r="K308" s="534"/>
      <c r="L308" s="462">
        <f t="shared" si="88"/>
        <v>1760</v>
      </c>
      <c r="M308" s="462">
        <v>1510</v>
      </c>
      <c r="N308" s="462">
        <v>250</v>
      </c>
      <c r="O308" s="462">
        <f t="shared" si="89"/>
        <v>4104.84</v>
      </c>
      <c r="P308" s="488">
        <f t="shared" si="90"/>
        <v>1259.7333333333333</v>
      </c>
      <c r="Q308" s="489">
        <f t="shared" si="91"/>
        <v>1242.476712328767</v>
      </c>
      <c r="R308" s="489">
        <f t="shared" si="92"/>
        <v>65.753424657534239</v>
      </c>
      <c r="S308" s="490">
        <f t="shared" si="93"/>
        <v>16116.8</v>
      </c>
      <c r="T308" s="490">
        <f t="shared" si="94"/>
        <v>18684.763470319635</v>
      </c>
      <c r="U308" s="491">
        <f t="shared" si="95"/>
        <v>186.19</v>
      </c>
      <c r="V308" s="456"/>
      <c r="W308" s="456"/>
      <c r="X308" s="456"/>
      <c r="Y308" s="456"/>
      <c r="Z308" s="462">
        <f t="shared" si="97"/>
        <v>186.19</v>
      </c>
      <c r="AA308" s="462">
        <f t="shared" si="96"/>
        <v>3918.65</v>
      </c>
      <c r="AB308" s="489">
        <v>1000</v>
      </c>
    </row>
    <row r="309" spans="1:28" s="486" customFormat="1" ht="45">
      <c r="A309" s="456">
        <v>43</v>
      </c>
      <c r="B309" s="551" t="s">
        <v>900</v>
      </c>
      <c r="C309" s="476">
        <v>9901563295</v>
      </c>
      <c r="D309" s="552" t="s">
        <v>901</v>
      </c>
      <c r="E309" s="554" t="s">
        <v>89</v>
      </c>
      <c r="F309" s="502">
        <v>31</v>
      </c>
      <c r="G309" s="498">
        <v>75.64</v>
      </c>
      <c r="H309" s="462">
        <f t="shared" si="86"/>
        <v>2344.84</v>
      </c>
      <c r="I309" s="462">
        <f t="shared" si="87"/>
        <v>9076.7999999999993</v>
      </c>
      <c r="J309" s="463">
        <v>4</v>
      </c>
      <c r="K309" s="534"/>
      <c r="L309" s="462">
        <f t="shared" si="88"/>
        <v>1760</v>
      </c>
      <c r="M309" s="462">
        <v>1510</v>
      </c>
      <c r="N309" s="462">
        <v>250</v>
      </c>
      <c r="O309" s="462">
        <f t="shared" si="89"/>
        <v>4104.84</v>
      </c>
      <c r="P309" s="488">
        <f t="shared" si="90"/>
        <v>1259.7333333333333</v>
      </c>
      <c r="Q309" s="489">
        <f t="shared" si="91"/>
        <v>1242.476712328767</v>
      </c>
      <c r="R309" s="489">
        <f t="shared" si="92"/>
        <v>65.753424657534239</v>
      </c>
      <c r="S309" s="490">
        <f t="shared" si="93"/>
        <v>16116.8</v>
      </c>
      <c r="T309" s="490">
        <f t="shared" si="94"/>
        <v>18684.763470319635</v>
      </c>
      <c r="U309" s="491">
        <f t="shared" si="95"/>
        <v>186.19</v>
      </c>
      <c r="V309" s="456"/>
      <c r="W309" s="456"/>
      <c r="X309" s="456"/>
      <c r="Y309" s="456"/>
      <c r="Z309" s="462">
        <f t="shared" si="97"/>
        <v>186.19</v>
      </c>
      <c r="AA309" s="462">
        <f t="shared" si="96"/>
        <v>3918.65</v>
      </c>
      <c r="AB309" s="489">
        <v>1000</v>
      </c>
    </row>
    <row r="310" spans="1:28" s="486" customFormat="1" ht="45">
      <c r="A310" s="456">
        <v>44</v>
      </c>
      <c r="B310" s="551" t="s">
        <v>902</v>
      </c>
      <c r="C310" s="476">
        <v>9901563307</v>
      </c>
      <c r="D310" s="552" t="s">
        <v>903</v>
      </c>
      <c r="E310" s="554" t="s">
        <v>89</v>
      </c>
      <c r="F310" s="502">
        <v>31</v>
      </c>
      <c r="G310" s="498">
        <v>75.64</v>
      </c>
      <c r="H310" s="462">
        <f t="shared" si="86"/>
        <v>2344.84</v>
      </c>
      <c r="I310" s="462">
        <f t="shared" si="87"/>
        <v>9076.7999999999993</v>
      </c>
      <c r="J310" s="463">
        <v>4</v>
      </c>
      <c r="K310" s="534"/>
      <c r="L310" s="462">
        <f t="shared" si="88"/>
        <v>1760</v>
      </c>
      <c r="M310" s="462">
        <v>1510</v>
      </c>
      <c r="N310" s="462">
        <v>250</v>
      </c>
      <c r="O310" s="462">
        <f t="shared" si="89"/>
        <v>4104.84</v>
      </c>
      <c r="P310" s="488">
        <f t="shared" si="90"/>
        <v>1259.7333333333333</v>
      </c>
      <c r="Q310" s="489">
        <f t="shared" si="91"/>
        <v>1242.476712328767</v>
      </c>
      <c r="R310" s="489">
        <f t="shared" si="92"/>
        <v>65.753424657534239</v>
      </c>
      <c r="S310" s="490">
        <f t="shared" si="93"/>
        <v>16116.8</v>
      </c>
      <c r="T310" s="490">
        <f t="shared" si="94"/>
        <v>18684.763470319635</v>
      </c>
      <c r="U310" s="491">
        <f t="shared" si="95"/>
        <v>186.19</v>
      </c>
      <c r="V310" s="456"/>
      <c r="W310" s="456"/>
      <c r="X310" s="456"/>
      <c r="Y310" s="456"/>
      <c r="Z310" s="462">
        <f t="shared" si="97"/>
        <v>186.19</v>
      </c>
      <c r="AA310" s="462">
        <f t="shared" si="96"/>
        <v>3918.65</v>
      </c>
      <c r="AB310" s="489">
        <v>1000</v>
      </c>
    </row>
    <row r="311" spans="1:28" s="486" customFormat="1" ht="33.75">
      <c r="A311" s="456">
        <v>45</v>
      </c>
      <c r="B311" s="551" t="s">
        <v>904</v>
      </c>
      <c r="C311" s="476">
        <v>9901563308</v>
      </c>
      <c r="D311" s="552" t="s">
        <v>905</v>
      </c>
      <c r="E311" s="554" t="s">
        <v>89</v>
      </c>
      <c r="F311" s="502">
        <v>31</v>
      </c>
      <c r="G311" s="498">
        <v>75.64</v>
      </c>
      <c r="H311" s="462">
        <f t="shared" si="86"/>
        <v>2344.84</v>
      </c>
      <c r="I311" s="462">
        <f t="shared" si="87"/>
        <v>9076.7999999999993</v>
      </c>
      <c r="J311" s="463">
        <v>4</v>
      </c>
      <c r="K311" s="534"/>
      <c r="L311" s="462">
        <f t="shared" si="88"/>
        <v>1760</v>
      </c>
      <c r="M311" s="462">
        <v>1510</v>
      </c>
      <c r="N311" s="462">
        <v>250</v>
      </c>
      <c r="O311" s="462">
        <f t="shared" si="89"/>
        <v>4104.84</v>
      </c>
      <c r="P311" s="488">
        <f t="shared" si="90"/>
        <v>1259.7333333333333</v>
      </c>
      <c r="Q311" s="489">
        <f t="shared" si="91"/>
        <v>1242.476712328767</v>
      </c>
      <c r="R311" s="489">
        <f t="shared" si="92"/>
        <v>65.753424657534239</v>
      </c>
      <c r="S311" s="490">
        <f t="shared" si="93"/>
        <v>16116.8</v>
      </c>
      <c r="T311" s="490">
        <f t="shared" si="94"/>
        <v>18684.763470319635</v>
      </c>
      <c r="U311" s="491">
        <f t="shared" si="95"/>
        <v>186.19</v>
      </c>
      <c r="V311" s="456"/>
      <c r="W311" s="456"/>
      <c r="X311" s="456"/>
      <c r="Y311" s="456"/>
      <c r="Z311" s="462">
        <f t="shared" si="97"/>
        <v>186.19</v>
      </c>
      <c r="AA311" s="462">
        <f t="shared" si="96"/>
        <v>3918.65</v>
      </c>
      <c r="AB311" s="489">
        <v>1000</v>
      </c>
    </row>
    <row r="312" spans="1:28" s="486" customFormat="1" ht="33.75">
      <c r="A312" s="456">
        <v>46</v>
      </c>
      <c r="B312" s="551" t="s">
        <v>906</v>
      </c>
      <c r="C312" s="476">
        <v>9901563309</v>
      </c>
      <c r="D312" s="552" t="s">
        <v>907</v>
      </c>
      <c r="E312" s="554" t="s">
        <v>89</v>
      </c>
      <c r="F312" s="502">
        <v>31</v>
      </c>
      <c r="G312" s="498">
        <v>75.64</v>
      </c>
      <c r="H312" s="462">
        <f t="shared" si="86"/>
        <v>2344.84</v>
      </c>
      <c r="I312" s="462">
        <f t="shared" si="87"/>
        <v>9076.7999999999993</v>
      </c>
      <c r="J312" s="463">
        <v>4</v>
      </c>
      <c r="K312" s="534"/>
      <c r="L312" s="462">
        <f t="shared" si="88"/>
        <v>1760</v>
      </c>
      <c r="M312" s="462">
        <v>1510</v>
      </c>
      <c r="N312" s="462">
        <v>250</v>
      </c>
      <c r="O312" s="462">
        <f t="shared" si="89"/>
        <v>4104.84</v>
      </c>
      <c r="P312" s="488">
        <f t="shared" si="90"/>
        <v>1259.7333333333333</v>
      </c>
      <c r="Q312" s="489">
        <f t="shared" si="91"/>
        <v>1242.476712328767</v>
      </c>
      <c r="R312" s="489">
        <f t="shared" si="92"/>
        <v>65.753424657534239</v>
      </c>
      <c r="S312" s="490">
        <f t="shared" si="93"/>
        <v>16116.8</v>
      </c>
      <c r="T312" s="490">
        <f t="shared" si="94"/>
        <v>18684.763470319635</v>
      </c>
      <c r="U312" s="491">
        <f t="shared" si="95"/>
        <v>186.19</v>
      </c>
      <c r="V312" s="456"/>
      <c r="W312" s="456"/>
      <c r="X312" s="456"/>
      <c r="Y312" s="456"/>
      <c r="Z312" s="462">
        <f t="shared" si="97"/>
        <v>186.19</v>
      </c>
      <c r="AA312" s="462">
        <f t="shared" si="96"/>
        <v>3918.65</v>
      </c>
      <c r="AB312" s="489">
        <v>1000</v>
      </c>
    </row>
    <row r="313" spans="1:28" s="486" customFormat="1" ht="45">
      <c r="A313" s="456">
        <v>47</v>
      </c>
      <c r="B313" s="551" t="s">
        <v>908</v>
      </c>
      <c r="C313" s="476">
        <v>9901563310</v>
      </c>
      <c r="D313" s="552" t="s">
        <v>909</v>
      </c>
      <c r="E313" s="553" t="s">
        <v>35</v>
      </c>
      <c r="F313" s="502">
        <v>31</v>
      </c>
      <c r="G313" s="498">
        <v>71.400000000000006</v>
      </c>
      <c r="H313" s="462">
        <f t="shared" si="86"/>
        <v>2213.4</v>
      </c>
      <c r="I313" s="462">
        <f t="shared" si="87"/>
        <v>8568</v>
      </c>
      <c r="J313" s="463">
        <v>4</v>
      </c>
      <c r="K313" s="534"/>
      <c r="L313" s="462">
        <f t="shared" si="88"/>
        <v>1760</v>
      </c>
      <c r="M313" s="462">
        <v>1510</v>
      </c>
      <c r="N313" s="462">
        <v>250</v>
      </c>
      <c r="O313" s="462">
        <f t="shared" si="89"/>
        <v>3973.4</v>
      </c>
      <c r="P313" s="488">
        <f t="shared" si="90"/>
        <v>1217.3333333333333</v>
      </c>
      <c r="Q313" s="489">
        <f t="shared" si="91"/>
        <v>1200.6575342465753</v>
      </c>
      <c r="R313" s="489">
        <f t="shared" si="92"/>
        <v>65.753424657534239</v>
      </c>
      <c r="S313" s="490">
        <f t="shared" si="93"/>
        <v>15608</v>
      </c>
      <c r="T313" s="490">
        <f t="shared" si="94"/>
        <v>18091.744292237443</v>
      </c>
      <c r="U313" s="491">
        <f t="shared" si="95"/>
        <v>179.84</v>
      </c>
      <c r="V313" s="456"/>
      <c r="W313" s="456"/>
      <c r="X313" s="456"/>
      <c r="Y313" s="456"/>
      <c r="Z313" s="462">
        <f t="shared" si="97"/>
        <v>179.84</v>
      </c>
      <c r="AA313" s="462">
        <f t="shared" si="96"/>
        <v>3793.56</v>
      </c>
      <c r="AB313" s="489">
        <v>1000</v>
      </c>
    </row>
    <row r="314" spans="1:28" s="486" customFormat="1" ht="33.75">
      <c r="A314" s="456">
        <v>48</v>
      </c>
      <c r="B314" s="551" t="s">
        <v>910</v>
      </c>
      <c r="C314" s="476">
        <v>9901563311</v>
      </c>
      <c r="D314" s="552" t="s">
        <v>911</v>
      </c>
      <c r="E314" s="553" t="s">
        <v>35</v>
      </c>
      <c r="F314" s="502">
        <v>31</v>
      </c>
      <c r="G314" s="498">
        <v>71.400000000000006</v>
      </c>
      <c r="H314" s="462">
        <f t="shared" si="86"/>
        <v>2213.4</v>
      </c>
      <c r="I314" s="462">
        <f t="shared" si="87"/>
        <v>8568</v>
      </c>
      <c r="J314" s="463">
        <v>4</v>
      </c>
      <c r="K314" s="534"/>
      <c r="L314" s="462">
        <f t="shared" si="88"/>
        <v>1760</v>
      </c>
      <c r="M314" s="462">
        <v>1510</v>
      </c>
      <c r="N314" s="462">
        <v>250</v>
      </c>
      <c r="O314" s="462">
        <f t="shared" si="89"/>
        <v>3973.4</v>
      </c>
      <c r="P314" s="488">
        <f t="shared" si="90"/>
        <v>1217.3333333333333</v>
      </c>
      <c r="Q314" s="489">
        <f t="shared" si="91"/>
        <v>1200.6575342465753</v>
      </c>
      <c r="R314" s="489">
        <f t="shared" si="92"/>
        <v>65.753424657534239</v>
      </c>
      <c r="S314" s="490">
        <f t="shared" si="93"/>
        <v>15608</v>
      </c>
      <c r="T314" s="490">
        <f t="shared" si="94"/>
        <v>18091.744292237443</v>
      </c>
      <c r="U314" s="491">
        <f t="shared" si="95"/>
        <v>179.84</v>
      </c>
      <c r="V314" s="456"/>
      <c r="W314" s="456"/>
      <c r="X314" s="456"/>
      <c r="Y314" s="456"/>
      <c r="Z314" s="462">
        <f t="shared" si="97"/>
        <v>179.84</v>
      </c>
      <c r="AA314" s="462">
        <f t="shared" si="96"/>
        <v>3793.56</v>
      </c>
      <c r="AB314" s="489">
        <v>1000</v>
      </c>
    </row>
    <row r="315" spans="1:28" s="486" customFormat="1" ht="45">
      <c r="A315" s="456">
        <v>49</v>
      </c>
      <c r="B315" s="551" t="s">
        <v>912</v>
      </c>
      <c r="C315" s="476">
        <v>9901563312</v>
      </c>
      <c r="D315" s="552" t="s">
        <v>913</v>
      </c>
      <c r="E315" s="553" t="s">
        <v>35</v>
      </c>
      <c r="F315" s="502">
        <v>31</v>
      </c>
      <c r="G315" s="498">
        <v>71.400000000000006</v>
      </c>
      <c r="H315" s="462">
        <f t="shared" si="86"/>
        <v>2213.4</v>
      </c>
      <c r="I315" s="462">
        <f t="shared" si="87"/>
        <v>8568</v>
      </c>
      <c r="J315" s="463">
        <v>4</v>
      </c>
      <c r="K315" s="534"/>
      <c r="L315" s="462">
        <f t="shared" si="88"/>
        <v>1760</v>
      </c>
      <c r="M315" s="462">
        <v>1510</v>
      </c>
      <c r="N315" s="462">
        <v>250</v>
      </c>
      <c r="O315" s="462">
        <f t="shared" si="89"/>
        <v>3973.4</v>
      </c>
      <c r="P315" s="488">
        <f t="shared" si="90"/>
        <v>1217.3333333333333</v>
      </c>
      <c r="Q315" s="489">
        <f t="shared" si="91"/>
        <v>1200.6575342465753</v>
      </c>
      <c r="R315" s="489">
        <f t="shared" si="92"/>
        <v>65.753424657534239</v>
      </c>
      <c r="S315" s="490">
        <f t="shared" si="93"/>
        <v>15608</v>
      </c>
      <c r="T315" s="490">
        <f t="shared" si="94"/>
        <v>18091.744292237443</v>
      </c>
      <c r="U315" s="491">
        <f t="shared" si="95"/>
        <v>179.84</v>
      </c>
      <c r="V315" s="456"/>
      <c r="W315" s="456"/>
      <c r="X315" s="456"/>
      <c r="Y315" s="456"/>
      <c r="Z315" s="462">
        <f t="shared" si="97"/>
        <v>179.84</v>
      </c>
      <c r="AA315" s="462">
        <f t="shared" si="96"/>
        <v>3793.56</v>
      </c>
      <c r="AB315" s="489">
        <v>1000</v>
      </c>
    </row>
    <row r="316" spans="1:28" s="486" customFormat="1" ht="45">
      <c r="A316" s="456">
        <v>50</v>
      </c>
      <c r="B316" s="551" t="s">
        <v>914</v>
      </c>
      <c r="C316" s="476">
        <v>9901563313</v>
      </c>
      <c r="D316" s="552" t="s">
        <v>915</v>
      </c>
      <c r="E316" s="553" t="s">
        <v>35</v>
      </c>
      <c r="F316" s="502">
        <v>31</v>
      </c>
      <c r="G316" s="498">
        <v>71.400000000000006</v>
      </c>
      <c r="H316" s="462">
        <f t="shared" si="86"/>
        <v>2213.4</v>
      </c>
      <c r="I316" s="462">
        <f t="shared" si="87"/>
        <v>8568</v>
      </c>
      <c r="J316" s="463">
        <v>4</v>
      </c>
      <c r="K316" s="534"/>
      <c r="L316" s="462">
        <f t="shared" si="88"/>
        <v>1760</v>
      </c>
      <c r="M316" s="462">
        <v>1510</v>
      </c>
      <c r="N316" s="462">
        <v>250</v>
      </c>
      <c r="O316" s="462">
        <f t="shared" si="89"/>
        <v>3973.4</v>
      </c>
      <c r="P316" s="488">
        <f t="shared" si="90"/>
        <v>1217.3333333333333</v>
      </c>
      <c r="Q316" s="489">
        <f t="shared" si="91"/>
        <v>1200.6575342465753</v>
      </c>
      <c r="R316" s="489">
        <f t="shared" si="92"/>
        <v>65.753424657534239</v>
      </c>
      <c r="S316" s="490">
        <f t="shared" si="93"/>
        <v>15608</v>
      </c>
      <c r="T316" s="490">
        <f t="shared" si="94"/>
        <v>18091.744292237443</v>
      </c>
      <c r="U316" s="491">
        <f t="shared" si="95"/>
        <v>179.84</v>
      </c>
      <c r="V316" s="456"/>
      <c r="W316" s="456"/>
      <c r="X316" s="456"/>
      <c r="Y316" s="456"/>
      <c r="Z316" s="462">
        <f t="shared" si="97"/>
        <v>179.84</v>
      </c>
      <c r="AA316" s="462">
        <f t="shared" si="96"/>
        <v>3793.56</v>
      </c>
      <c r="AB316" s="489">
        <v>1000</v>
      </c>
    </row>
    <row r="317" spans="1:28" s="486" customFormat="1" ht="12">
      <c r="A317" s="456">
        <v>51</v>
      </c>
      <c r="B317" s="551" t="s">
        <v>916</v>
      </c>
      <c r="C317" s="476">
        <v>9901563314</v>
      </c>
      <c r="D317" s="555" t="s">
        <v>917</v>
      </c>
      <c r="E317" s="553" t="s">
        <v>35</v>
      </c>
      <c r="F317" s="502">
        <v>31</v>
      </c>
      <c r="G317" s="498">
        <v>71.400000000000006</v>
      </c>
      <c r="H317" s="462">
        <f t="shared" si="86"/>
        <v>2213.4</v>
      </c>
      <c r="I317" s="462">
        <f t="shared" si="87"/>
        <v>8568</v>
      </c>
      <c r="J317" s="463">
        <v>4</v>
      </c>
      <c r="K317" s="534"/>
      <c r="L317" s="462">
        <f t="shared" si="88"/>
        <v>1760</v>
      </c>
      <c r="M317" s="462">
        <v>1510</v>
      </c>
      <c r="N317" s="462">
        <v>250</v>
      </c>
      <c r="O317" s="462">
        <f t="shared" si="89"/>
        <v>3973.4</v>
      </c>
      <c r="P317" s="488">
        <f t="shared" si="90"/>
        <v>1217.3333333333333</v>
      </c>
      <c r="Q317" s="489">
        <f t="shared" si="91"/>
        <v>1200.6575342465753</v>
      </c>
      <c r="R317" s="489">
        <f t="shared" si="92"/>
        <v>65.753424657534239</v>
      </c>
      <c r="S317" s="490">
        <f t="shared" si="93"/>
        <v>15608</v>
      </c>
      <c r="T317" s="490">
        <f t="shared" si="94"/>
        <v>18091.744292237443</v>
      </c>
      <c r="U317" s="491">
        <f t="shared" si="95"/>
        <v>179.84</v>
      </c>
      <c r="V317" s="456"/>
      <c r="W317" s="456"/>
      <c r="X317" s="456"/>
      <c r="Y317" s="456"/>
      <c r="Z317" s="462">
        <f t="shared" si="97"/>
        <v>179.84</v>
      </c>
      <c r="AA317" s="462">
        <f t="shared" si="96"/>
        <v>3793.56</v>
      </c>
      <c r="AB317" s="489">
        <v>1000</v>
      </c>
    </row>
    <row r="318" spans="1:28" s="486" customFormat="1" ht="33.75">
      <c r="A318" s="456">
        <v>52</v>
      </c>
      <c r="B318" s="551" t="s">
        <v>918</v>
      </c>
      <c r="C318" s="476">
        <v>9901563315</v>
      </c>
      <c r="D318" s="552" t="s">
        <v>919</v>
      </c>
      <c r="E318" s="553" t="s">
        <v>35</v>
      </c>
      <c r="F318" s="502">
        <v>31</v>
      </c>
      <c r="G318" s="498">
        <v>71.400000000000006</v>
      </c>
      <c r="H318" s="462">
        <f t="shared" si="86"/>
        <v>2213.4</v>
      </c>
      <c r="I318" s="462">
        <f t="shared" si="87"/>
        <v>8568</v>
      </c>
      <c r="J318" s="463">
        <v>4</v>
      </c>
      <c r="K318" s="534"/>
      <c r="L318" s="462">
        <f t="shared" si="88"/>
        <v>1760</v>
      </c>
      <c r="M318" s="462">
        <v>1510</v>
      </c>
      <c r="N318" s="462">
        <v>250</v>
      </c>
      <c r="O318" s="462">
        <f t="shared" si="89"/>
        <v>3973.4</v>
      </c>
      <c r="P318" s="488">
        <f t="shared" si="90"/>
        <v>1217.3333333333333</v>
      </c>
      <c r="Q318" s="489">
        <f t="shared" si="91"/>
        <v>1200.6575342465753</v>
      </c>
      <c r="R318" s="489">
        <f t="shared" si="92"/>
        <v>65.753424657534239</v>
      </c>
      <c r="S318" s="490">
        <f t="shared" si="93"/>
        <v>15608</v>
      </c>
      <c r="T318" s="490">
        <f t="shared" si="94"/>
        <v>18091.744292237443</v>
      </c>
      <c r="U318" s="491">
        <f t="shared" si="95"/>
        <v>179.84</v>
      </c>
      <c r="V318" s="456"/>
      <c r="W318" s="456"/>
      <c r="X318" s="456"/>
      <c r="Y318" s="456"/>
      <c r="Z318" s="462">
        <f t="shared" si="97"/>
        <v>179.84</v>
      </c>
      <c r="AA318" s="462">
        <f t="shared" si="96"/>
        <v>3793.56</v>
      </c>
      <c r="AB318" s="489">
        <v>1000</v>
      </c>
    </row>
    <row r="319" spans="1:28" s="486" customFormat="1" ht="33.75">
      <c r="A319" s="456">
        <v>53</v>
      </c>
      <c r="B319" s="551" t="s">
        <v>920</v>
      </c>
      <c r="C319" s="476">
        <v>9901488894</v>
      </c>
      <c r="D319" s="552" t="s">
        <v>921</v>
      </c>
      <c r="E319" s="553" t="s">
        <v>35</v>
      </c>
      <c r="F319" s="502">
        <v>31</v>
      </c>
      <c r="G319" s="498">
        <v>71.400000000000006</v>
      </c>
      <c r="H319" s="462">
        <f t="shared" si="86"/>
        <v>2213.4</v>
      </c>
      <c r="I319" s="462">
        <f t="shared" si="87"/>
        <v>8568</v>
      </c>
      <c r="J319" s="463">
        <v>4</v>
      </c>
      <c r="K319" s="534"/>
      <c r="L319" s="462">
        <f t="shared" si="88"/>
        <v>1760</v>
      </c>
      <c r="M319" s="462">
        <v>1510</v>
      </c>
      <c r="N319" s="462">
        <v>250</v>
      </c>
      <c r="O319" s="462">
        <f t="shared" si="89"/>
        <v>3973.4</v>
      </c>
      <c r="P319" s="488">
        <f t="shared" si="90"/>
        <v>1217.3333333333333</v>
      </c>
      <c r="Q319" s="489">
        <f t="shared" si="91"/>
        <v>1200.6575342465753</v>
      </c>
      <c r="R319" s="489">
        <f t="shared" si="92"/>
        <v>65.753424657534239</v>
      </c>
      <c r="S319" s="490">
        <f t="shared" si="93"/>
        <v>15608</v>
      </c>
      <c r="T319" s="490">
        <f t="shared" si="94"/>
        <v>18091.744292237443</v>
      </c>
      <c r="U319" s="491">
        <f t="shared" si="95"/>
        <v>179.84</v>
      </c>
      <c r="V319" s="456"/>
      <c r="W319" s="456"/>
      <c r="X319" s="456"/>
      <c r="Y319" s="456"/>
      <c r="Z319" s="462">
        <f t="shared" si="97"/>
        <v>179.84</v>
      </c>
      <c r="AA319" s="462">
        <f t="shared" si="96"/>
        <v>3793.56</v>
      </c>
      <c r="AB319" s="489">
        <v>1000</v>
      </c>
    </row>
    <row r="320" spans="1:28" s="486" customFormat="1" ht="45">
      <c r="A320" s="456">
        <v>54</v>
      </c>
      <c r="B320" s="551" t="s">
        <v>922</v>
      </c>
      <c r="C320" s="476">
        <v>9901563316</v>
      </c>
      <c r="D320" s="552" t="s">
        <v>923</v>
      </c>
      <c r="E320" s="553" t="s">
        <v>35</v>
      </c>
      <c r="F320" s="502">
        <v>31</v>
      </c>
      <c r="G320" s="498">
        <v>71.400000000000006</v>
      </c>
      <c r="H320" s="462">
        <f t="shared" si="86"/>
        <v>2213.4</v>
      </c>
      <c r="I320" s="462">
        <f t="shared" si="87"/>
        <v>8568</v>
      </c>
      <c r="J320" s="463">
        <v>4</v>
      </c>
      <c r="K320" s="534"/>
      <c r="L320" s="462">
        <f t="shared" si="88"/>
        <v>1760</v>
      </c>
      <c r="M320" s="462">
        <v>1510</v>
      </c>
      <c r="N320" s="462">
        <v>250</v>
      </c>
      <c r="O320" s="462">
        <f t="shared" si="89"/>
        <v>3973.4</v>
      </c>
      <c r="P320" s="488">
        <f t="shared" si="90"/>
        <v>1217.3333333333333</v>
      </c>
      <c r="Q320" s="489">
        <f t="shared" si="91"/>
        <v>1200.6575342465753</v>
      </c>
      <c r="R320" s="489">
        <f t="shared" si="92"/>
        <v>65.753424657534239</v>
      </c>
      <c r="S320" s="490">
        <f t="shared" si="93"/>
        <v>15608</v>
      </c>
      <c r="T320" s="490">
        <f t="shared" si="94"/>
        <v>18091.744292237443</v>
      </c>
      <c r="U320" s="491">
        <f t="shared" si="95"/>
        <v>179.84</v>
      </c>
      <c r="V320" s="456"/>
      <c r="W320" s="456"/>
      <c r="X320" s="456"/>
      <c r="Y320" s="456"/>
      <c r="Z320" s="462">
        <f t="shared" si="97"/>
        <v>179.84</v>
      </c>
      <c r="AA320" s="462">
        <f t="shared" si="96"/>
        <v>3793.56</v>
      </c>
      <c r="AB320" s="489">
        <v>1000</v>
      </c>
    </row>
    <row r="321" spans="1:28" s="486" customFormat="1" ht="22.5">
      <c r="A321" s="456">
        <v>55</v>
      </c>
      <c r="B321" s="551" t="s">
        <v>924</v>
      </c>
      <c r="C321" s="476">
        <v>9901563317</v>
      </c>
      <c r="D321" s="552" t="s">
        <v>925</v>
      </c>
      <c r="E321" s="553" t="s">
        <v>35</v>
      </c>
      <c r="F321" s="502">
        <v>31</v>
      </c>
      <c r="G321" s="498">
        <v>71.400000000000006</v>
      </c>
      <c r="H321" s="462">
        <f t="shared" si="86"/>
        <v>2213.4</v>
      </c>
      <c r="I321" s="462">
        <f t="shared" si="87"/>
        <v>8568</v>
      </c>
      <c r="J321" s="463">
        <v>4</v>
      </c>
      <c r="K321" s="534"/>
      <c r="L321" s="462">
        <f t="shared" si="88"/>
        <v>1760</v>
      </c>
      <c r="M321" s="462">
        <v>1510</v>
      </c>
      <c r="N321" s="462">
        <v>250</v>
      </c>
      <c r="O321" s="462">
        <f t="shared" si="89"/>
        <v>3973.4</v>
      </c>
      <c r="P321" s="488">
        <f t="shared" si="90"/>
        <v>1217.3333333333333</v>
      </c>
      <c r="Q321" s="489">
        <f t="shared" si="91"/>
        <v>1200.6575342465753</v>
      </c>
      <c r="R321" s="489">
        <f t="shared" si="92"/>
        <v>65.753424657534239</v>
      </c>
      <c r="S321" s="490">
        <f t="shared" si="93"/>
        <v>15608</v>
      </c>
      <c r="T321" s="490">
        <f t="shared" si="94"/>
        <v>18091.744292237443</v>
      </c>
      <c r="U321" s="491">
        <f t="shared" si="95"/>
        <v>179.84</v>
      </c>
      <c r="V321" s="456"/>
      <c r="W321" s="456"/>
      <c r="X321" s="456"/>
      <c r="Y321" s="456"/>
      <c r="Z321" s="462">
        <f t="shared" si="97"/>
        <v>179.84</v>
      </c>
      <c r="AA321" s="462">
        <f t="shared" si="96"/>
        <v>3793.56</v>
      </c>
      <c r="AB321" s="489">
        <v>1000</v>
      </c>
    </row>
    <row r="322" spans="1:28" s="486" customFormat="1" ht="22.5">
      <c r="A322" s="456">
        <v>56</v>
      </c>
      <c r="B322" s="551" t="s">
        <v>926</v>
      </c>
      <c r="C322" s="476">
        <v>9901563332</v>
      </c>
      <c r="D322" s="552" t="s">
        <v>927</v>
      </c>
      <c r="E322" s="553" t="s">
        <v>35</v>
      </c>
      <c r="F322" s="502">
        <v>31</v>
      </c>
      <c r="G322" s="498">
        <v>71.400000000000006</v>
      </c>
      <c r="H322" s="462">
        <f t="shared" si="86"/>
        <v>2213.4</v>
      </c>
      <c r="I322" s="462">
        <f t="shared" si="87"/>
        <v>8568</v>
      </c>
      <c r="J322" s="463">
        <v>4</v>
      </c>
      <c r="K322" s="534"/>
      <c r="L322" s="462">
        <f t="shared" si="88"/>
        <v>1760</v>
      </c>
      <c r="M322" s="462">
        <v>1510</v>
      </c>
      <c r="N322" s="462">
        <v>250</v>
      </c>
      <c r="O322" s="462">
        <f t="shared" si="89"/>
        <v>3973.4</v>
      </c>
      <c r="P322" s="488">
        <f t="shared" si="90"/>
        <v>1217.3333333333333</v>
      </c>
      <c r="Q322" s="489">
        <f t="shared" si="91"/>
        <v>1200.6575342465753</v>
      </c>
      <c r="R322" s="489">
        <f t="shared" si="92"/>
        <v>65.753424657534239</v>
      </c>
      <c r="S322" s="490">
        <f t="shared" si="93"/>
        <v>15608</v>
      </c>
      <c r="T322" s="490">
        <f t="shared" si="94"/>
        <v>18091.744292237443</v>
      </c>
      <c r="U322" s="491">
        <f t="shared" si="95"/>
        <v>179.84</v>
      </c>
      <c r="V322" s="456"/>
      <c r="W322" s="456"/>
      <c r="X322" s="456"/>
      <c r="Y322" s="456"/>
      <c r="Z322" s="462">
        <f t="shared" si="97"/>
        <v>179.84</v>
      </c>
      <c r="AA322" s="462">
        <f t="shared" si="96"/>
        <v>3793.56</v>
      </c>
      <c r="AB322" s="489">
        <v>1000</v>
      </c>
    </row>
    <row r="323" spans="1:28" s="486" customFormat="1" ht="45">
      <c r="A323" s="456">
        <v>57</v>
      </c>
      <c r="B323" s="551" t="s">
        <v>928</v>
      </c>
      <c r="C323" s="476">
        <v>9901563333</v>
      </c>
      <c r="D323" s="552" t="s">
        <v>929</v>
      </c>
      <c r="E323" s="553" t="s">
        <v>35</v>
      </c>
      <c r="F323" s="502">
        <v>31</v>
      </c>
      <c r="G323" s="498">
        <v>71.400000000000006</v>
      </c>
      <c r="H323" s="462">
        <f t="shared" si="86"/>
        <v>2213.4</v>
      </c>
      <c r="I323" s="462">
        <f t="shared" si="87"/>
        <v>8568</v>
      </c>
      <c r="J323" s="463">
        <v>4</v>
      </c>
      <c r="K323" s="534"/>
      <c r="L323" s="462">
        <f t="shared" si="88"/>
        <v>1760</v>
      </c>
      <c r="M323" s="462">
        <v>1510</v>
      </c>
      <c r="N323" s="462">
        <v>250</v>
      </c>
      <c r="O323" s="462">
        <f t="shared" si="89"/>
        <v>3973.4</v>
      </c>
      <c r="P323" s="488">
        <f t="shared" si="90"/>
        <v>1217.3333333333333</v>
      </c>
      <c r="Q323" s="489">
        <f t="shared" si="91"/>
        <v>1200.6575342465753</v>
      </c>
      <c r="R323" s="489">
        <f t="shared" si="92"/>
        <v>65.753424657534239</v>
      </c>
      <c r="S323" s="490">
        <f t="shared" si="93"/>
        <v>15608</v>
      </c>
      <c r="T323" s="490">
        <f t="shared" si="94"/>
        <v>18091.744292237443</v>
      </c>
      <c r="U323" s="491">
        <f t="shared" si="95"/>
        <v>179.84</v>
      </c>
      <c r="V323" s="456"/>
      <c r="W323" s="456"/>
      <c r="X323" s="456"/>
      <c r="Y323" s="456"/>
      <c r="Z323" s="462">
        <f t="shared" si="97"/>
        <v>179.84</v>
      </c>
      <c r="AA323" s="462">
        <f t="shared" si="96"/>
        <v>3793.56</v>
      </c>
      <c r="AB323" s="489">
        <v>1000</v>
      </c>
    </row>
    <row r="324" spans="1:28" s="486" customFormat="1" ht="33.75">
      <c r="A324" s="456">
        <v>58</v>
      </c>
      <c r="B324" s="551" t="s">
        <v>930</v>
      </c>
      <c r="C324" s="476">
        <v>9901563337</v>
      </c>
      <c r="D324" s="552" t="s">
        <v>931</v>
      </c>
      <c r="E324" s="553" t="s">
        <v>35</v>
      </c>
      <c r="F324" s="502">
        <v>31</v>
      </c>
      <c r="G324" s="498">
        <v>71.400000000000006</v>
      </c>
      <c r="H324" s="462">
        <f t="shared" si="86"/>
        <v>2213.4</v>
      </c>
      <c r="I324" s="462">
        <f t="shared" si="87"/>
        <v>8568</v>
      </c>
      <c r="J324" s="463">
        <v>4</v>
      </c>
      <c r="K324" s="534"/>
      <c r="L324" s="462">
        <f t="shared" si="88"/>
        <v>1760</v>
      </c>
      <c r="M324" s="462">
        <v>1510</v>
      </c>
      <c r="N324" s="462">
        <v>250</v>
      </c>
      <c r="O324" s="462">
        <f t="shared" si="89"/>
        <v>3973.4</v>
      </c>
      <c r="P324" s="488">
        <f t="shared" si="90"/>
        <v>1217.3333333333333</v>
      </c>
      <c r="Q324" s="489">
        <f t="shared" si="91"/>
        <v>1200.6575342465753</v>
      </c>
      <c r="R324" s="489">
        <f t="shared" si="92"/>
        <v>65.753424657534239</v>
      </c>
      <c r="S324" s="490">
        <f t="shared" si="93"/>
        <v>15608</v>
      </c>
      <c r="T324" s="490">
        <f t="shared" si="94"/>
        <v>18091.744292237443</v>
      </c>
      <c r="U324" s="491">
        <f t="shared" si="95"/>
        <v>179.84</v>
      </c>
      <c r="V324" s="456"/>
      <c r="W324" s="456"/>
      <c r="X324" s="456"/>
      <c r="Y324" s="456"/>
      <c r="Z324" s="462">
        <f t="shared" si="97"/>
        <v>179.84</v>
      </c>
      <c r="AA324" s="462">
        <f t="shared" si="96"/>
        <v>3793.56</v>
      </c>
      <c r="AB324" s="489">
        <v>1000</v>
      </c>
    </row>
    <row r="325" spans="1:28" s="486" customFormat="1" ht="33.75">
      <c r="A325" s="456">
        <v>59</v>
      </c>
      <c r="B325" s="551" t="s">
        <v>932</v>
      </c>
      <c r="C325" s="476">
        <v>9901563339</v>
      </c>
      <c r="D325" s="552" t="s">
        <v>933</v>
      </c>
      <c r="E325" s="553" t="s">
        <v>35</v>
      </c>
      <c r="F325" s="502">
        <v>31</v>
      </c>
      <c r="G325" s="498">
        <v>71.400000000000006</v>
      </c>
      <c r="H325" s="462">
        <f t="shared" si="86"/>
        <v>2213.4</v>
      </c>
      <c r="I325" s="462">
        <f t="shared" si="87"/>
        <v>8568</v>
      </c>
      <c r="J325" s="463">
        <v>4</v>
      </c>
      <c r="K325" s="534"/>
      <c r="L325" s="462">
        <f t="shared" si="88"/>
        <v>1760</v>
      </c>
      <c r="M325" s="462">
        <v>1510</v>
      </c>
      <c r="N325" s="462">
        <v>250</v>
      </c>
      <c r="O325" s="462">
        <f t="shared" si="89"/>
        <v>3973.4</v>
      </c>
      <c r="P325" s="488">
        <f t="shared" si="90"/>
        <v>1217.3333333333333</v>
      </c>
      <c r="Q325" s="489">
        <f t="shared" si="91"/>
        <v>1200.6575342465753</v>
      </c>
      <c r="R325" s="489">
        <f t="shared" si="92"/>
        <v>65.753424657534239</v>
      </c>
      <c r="S325" s="490">
        <f t="shared" si="93"/>
        <v>15608</v>
      </c>
      <c r="T325" s="490">
        <f t="shared" si="94"/>
        <v>18091.744292237443</v>
      </c>
      <c r="U325" s="491">
        <f t="shared" si="95"/>
        <v>179.84</v>
      </c>
      <c r="V325" s="456"/>
      <c r="W325" s="456"/>
      <c r="X325" s="456"/>
      <c r="Y325" s="456"/>
      <c r="Z325" s="462">
        <f t="shared" si="97"/>
        <v>179.84</v>
      </c>
      <c r="AA325" s="462">
        <f t="shared" si="96"/>
        <v>3793.56</v>
      </c>
      <c r="AB325" s="489">
        <v>1000</v>
      </c>
    </row>
    <row r="326" spans="1:28" s="486" customFormat="1" ht="12">
      <c r="A326" s="456">
        <v>60</v>
      </c>
      <c r="B326" s="551" t="s">
        <v>934</v>
      </c>
      <c r="C326" s="476">
        <v>9901469906</v>
      </c>
      <c r="D326" s="555" t="s">
        <v>935</v>
      </c>
      <c r="E326" s="553" t="s">
        <v>35</v>
      </c>
      <c r="F326" s="502">
        <v>31</v>
      </c>
      <c r="G326" s="498">
        <v>71.400000000000006</v>
      </c>
      <c r="H326" s="462">
        <f t="shared" si="86"/>
        <v>2213.4</v>
      </c>
      <c r="I326" s="462">
        <f t="shared" si="87"/>
        <v>8568</v>
      </c>
      <c r="J326" s="463">
        <v>4</v>
      </c>
      <c r="K326" s="534"/>
      <c r="L326" s="462">
        <f t="shared" si="88"/>
        <v>1760</v>
      </c>
      <c r="M326" s="462">
        <v>1510</v>
      </c>
      <c r="N326" s="462">
        <v>250</v>
      </c>
      <c r="O326" s="462">
        <f t="shared" si="89"/>
        <v>3973.4</v>
      </c>
      <c r="P326" s="488">
        <f t="shared" si="90"/>
        <v>1217.3333333333333</v>
      </c>
      <c r="Q326" s="489">
        <f t="shared" si="91"/>
        <v>1200.6575342465753</v>
      </c>
      <c r="R326" s="489">
        <f t="shared" si="92"/>
        <v>65.753424657534239</v>
      </c>
      <c r="S326" s="490">
        <f t="shared" si="93"/>
        <v>15608</v>
      </c>
      <c r="T326" s="490">
        <f t="shared" si="94"/>
        <v>18091.744292237443</v>
      </c>
      <c r="U326" s="491">
        <f t="shared" si="95"/>
        <v>179.84</v>
      </c>
      <c r="V326" s="456"/>
      <c r="W326" s="456"/>
      <c r="X326" s="456"/>
      <c r="Y326" s="456"/>
      <c r="Z326" s="462">
        <f t="shared" si="97"/>
        <v>179.84</v>
      </c>
      <c r="AA326" s="462">
        <f t="shared" si="96"/>
        <v>3793.56</v>
      </c>
      <c r="AB326" s="489">
        <v>1000</v>
      </c>
    </row>
    <row r="327" spans="1:28" s="486" customFormat="1" ht="12">
      <c r="A327" s="456">
        <v>61</v>
      </c>
      <c r="B327" s="551" t="s">
        <v>936</v>
      </c>
      <c r="C327" s="476">
        <v>9901563341</v>
      </c>
      <c r="D327" s="555" t="s">
        <v>937</v>
      </c>
      <c r="E327" s="470" t="s">
        <v>132</v>
      </c>
      <c r="F327" s="502">
        <v>31</v>
      </c>
      <c r="G327" s="498">
        <v>75.64</v>
      </c>
      <c r="H327" s="462">
        <f t="shared" si="86"/>
        <v>2344.84</v>
      </c>
      <c r="I327" s="462">
        <f t="shared" si="87"/>
        <v>9076.7999999999993</v>
      </c>
      <c r="J327" s="463">
        <v>4</v>
      </c>
      <c r="K327" s="534"/>
      <c r="L327" s="462">
        <f t="shared" si="88"/>
        <v>1760</v>
      </c>
      <c r="M327" s="462">
        <v>1510</v>
      </c>
      <c r="N327" s="462">
        <v>250</v>
      </c>
      <c r="O327" s="462">
        <f t="shared" si="89"/>
        <v>4104.84</v>
      </c>
      <c r="P327" s="488">
        <f t="shared" si="90"/>
        <v>1259.7333333333333</v>
      </c>
      <c r="Q327" s="489">
        <f t="shared" si="91"/>
        <v>1242.476712328767</v>
      </c>
      <c r="R327" s="489">
        <f t="shared" si="92"/>
        <v>65.753424657534239</v>
      </c>
      <c r="S327" s="490">
        <f t="shared" si="93"/>
        <v>16116.8</v>
      </c>
      <c r="T327" s="490">
        <f t="shared" si="94"/>
        <v>18684.763470319635</v>
      </c>
      <c r="U327" s="491">
        <f t="shared" si="95"/>
        <v>186.19</v>
      </c>
      <c r="V327" s="456"/>
      <c r="W327" s="456"/>
      <c r="X327" s="456"/>
      <c r="Y327" s="456"/>
      <c r="Z327" s="462">
        <f t="shared" si="97"/>
        <v>186.19</v>
      </c>
      <c r="AA327" s="462">
        <f t="shared" si="96"/>
        <v>3918.65</v>
      </c>
      <c r="AB327" s="489">
        <v>1000</v>
      </c>
    </row>
    <row r="328" spans="1:28" s="486" customFormat="1" ht="12">
      <c r="A328" s="456">
        <v>62</v>
      </c>
      <c r="B328" s="551" t="s">
        <v>938</v>
      </c>
      <c r="C328" s="476">
        <v>9901563343</v>
      </c>
      <c r="D328" s="555" t="s">
        <v>939</v>
      </c>
      <c r="E328" s="470" t="s">
        <v>132</v>
      </c>
      <c r="F328" s="502">
        <v>31</v>
      </c>
      <c r="G328" s="498">
        <v>75.64</v>
      </c>
      <c r="H328" s="462">
        <f t="shared" si="86"/>
        <v>2344.84</v>
      </c>
      <c r="I328" s="462">
        <f t="shared" si="87"/>
        <v>9076.7999999999993</v>
      </c>
      <c r="J328" s="463">
        <v>4</v>
      </c>
      <c r="K328" s="534"/>
      <c r="L328" s="462">
        <f t="shared" si="88"/>
        <v>1760</v>
      </c>
      <c r="M328" s="462">
        <v>1510</v>
      </c>
      <c r="N328" s="462">
        <v>250</v>
      </c>
      <c r="O328" s="462">
        <f t="shared" si="89"/>
        <v>4104.84</v>
      </c>
      <c r="P328" s="488">
        <f t="shared" si="90"/>
        <v>1259.7333333333333</v>
      </c>
      <c r="Q328" s="489">
        <f t="shared" si="91"/>
        <v>1242.476712328767</v>
      </c>
      <c r="R328" s="489">
        <f t="shared" si="92"/>
        <v>65.753424657534239</v>
      </c>
      <c r="S328" s="490">
        <f t="shared" si="93"/>
        <v>16116.8</v>
      </c>
      <c r="T328" s="490">
        <f t="shared" si="94"/>
        <v>18684.763470319635</v>
      </c>
      <c r="U328" s="491">
        <f t="shared" si="95"/>
        <v>186.19</v>
      </c>
      <c r="V328" s="456"/>
      <c r="W328" s="456"/>
      <c r="X328" s="456"/>
      <c r="Y328" s="456"/>
      <c r="Z328" s="462">
        <f t="shared" si="97"/>
        <v>186.19</v>
      </c>
      <c r="AA328" s="462">
        <f t="shared" si="96"/>
        <v>3918.65</v>
      </c>
      <c r="AB328" s="489">
        <v>1000</v>
      </c>
    </row>
    <row r="329" spans="1:28" s="486" customFormat="1" ht="12">
      <c r="A329" s="456">
        <v>63</v>
      </c>
      <c r="B329" s="556"/>
      <c r="C329" s="557">
        <v>9901563348</v>
      </c>
      <c r="D329" s="558" t="s">
        <v>940</v>
      </c>
      <c r="E329" s="553" t="s">
        <v>35</v>
      </c>
      <c r="F329" s="502">
        <v>31</v>
      </c>
      <c r="G329" s="498">
        <v>71.400000000000006</v>
      </c>
      <c r="H329" s="462">
        <f t="shared" si="86"/>
        <v>2213.4</v>
      </c>
      <c r="I329" s="462">
        <f t="shared" si="87"/>
        <v>8568</v>
      </c>
      <c r="J329" s="463">
        <v>4</v>
      </c>
      <c r="K329" s="534"/>
      <c r="L329" s="462">
        <f t="shared" si="88"/>
        <v>1760</v>
      </c>
      <c r="M329" s="462">
        <v>1510</v>
      </c>
      <c r="N329" s="462">
        <v>250</v>
      </c>
      <c r="O329" s="462">
        <f t="shared" si="89"/>
        <v>3973.4</v>
      </c>
      <c r="P329" s="488">
        <f t="shared" si="90"/>
        <v>1217.3333333333333</v>
      </c>
      <c r="Q329" s="489">
        <f t="shared" si="91"/>
        <v>1200.6575342465753</v>
      </c>
      <c r="R329" s="489">
        <f t="shared" si="92"/>
        <v>65.753424657534239</v>
      </c>
      <c r="S329" s="490">
        <f t="shared" si="93"/>
        <v>15608</v>
      </c>
      <c r="T329" s="490">
        <f t="shared" si="94"/>
        <v>18091.744292237443</v>
      </c>
      <c r="U329" s="491">
        <f t="shared" si="95"/>
        <v>179.84</v>
      </c>
      <c r="V329" s="456"/>
      <c r="W329" s="456"/>
      <c r="X329" s="559"/>
      <c r="Y329" s="559"/>
      <c r="Z329" s="462">
        <f t="shared" si="97"/>
        <v>179.84</v>
      </c>
      <c r="AA329" s="462">
        <f t="shared" si="96"/>
        <v>3793.56</v>
      </c>
      <c r="AB329" s="489">
        <v>1000</v>
      </c>
    </row>
    <row r="330" spans="1:28" s="486" customFormat="1" ht="12">
      <c r="A330" s="456">
        <v>64</v>
      </c>
      <c r="B330" s="556"/>
      <c r="C330" s="501">
        <v>9901563349</v>
      </c>
      <c r="D330" s="522" t="s">
        <v>941</v>
      </c>
      <c r="E330" s="553" t="s">
        <v>62</v>
      </c>
      <c r="F330" s="502">
        <v>31</v>
      </c>
      <c r="G330" s="560">
        <v>75.64</v>
      </c>
      <c r="H330" s="519">
        <f t="shared" si="86"/>
        <v>2344.84</v>
      </c>
      <c r="I330" s="462">
        <f t="shared" si="87"/>
        <v>9076.7999999999993</v>
      </c>
      <c r="J330" s="463">
        <v>4</v>
      </c>
      <c r="K330" s="561"/>
      <c r="L330" s="462">
        <f t="shared" si="88"/>
        <v>1760</v>
      </c>
      <c r="M330" s="462">
        <v>1510</v>
      </c>
      <c r="N330" s="462">
        <v>250</v>
      </c>
      <c r="O330" s="462">
        <f t="shared" si="89"/>
        <v>4104.84</v>
      </c>
      <c r="P330" s="488">
        <f t="shared" si="90"/>
        <v>1259.7333333333333</v>
      </c>
      <c r="Q330" s="489">
        <f t="shared" si="91"/>
        <v>1242.476712328767</v>
      </c>
      <c r="R330" s="489">
        <f t="shared" si="92"/>
        <v>65.753424657534239</v>
      </c>
      <c r="S330" s="490">
        <f t="shared" si="93"/>
        <v>16116.8</v>
      </c>
      <c r="T330" s="490">
        <f t="shared" si="94"/>
        <v>18684.763470319635</v>
      </c>
      <c r="U330" s="491">
        <f t="shared" si="95"/>
        <v>186.19</v>
      </c>
      <c r="V330" s="456"/>
      <c r="W330" s="456"/>
      <c r="X330" s="559"/>
      <c r="Y330" s="559"/>
      <c r="Z330" s="462">
        <f t="shared" si="97"/>
        <v>186.19</v>
      </c>
      <c r="AA330" s="462">
        <f t="shared" si="96"/>
        <v>3918.65</v>
      </c>
      <c r="AB330" s="489">
        <v>1000</v>
      </c>
    </row>
    <row r="331" spans="1:28" s="486" customFormat="1" ht="12">
      <c r="A331" s="456">
        <v>65</v>
      </c>
      <c r="B331" s="556"/>
      <c r="C331" s="501" t="s">
        <v>942</v>
      </c>
      <c r="D331" s="522" t="s">
        <v>943</v>
      </c>
      <c r="E331" s="553" t="s">
        <v>39</v>
      </c>
      <c r="F331" s="562">
        <v>31</v>
      </c>
      <c r="G331" s="560">
        <v>78.25</v>
      </c>
      <c r="H331" s="519">
        <f t="shared" ref="H331:H334" si="98">+F331*G331</f>
        <v>2425.75</v>
      </c>
      <c r="I331" s="462">
        <f t="shared" ref="I331:I334" si="99">G331*120</f>
        <v>9390</v>
      </c>
      <c r="J331" s="463">
        <v>4</v>
      </c>
      <c r="K331" s="561"/>
      <c r="L331" s="462">
        <f t="shared" ref="L331:L334" si="100">M331+N331</f>
        <v>1760</v>
      </c>
      <c r="M331" s="462">
        <v>1510</v>
      </c>
      <c r="N331" s="462">
        <v>250</v>
      </c>
      <c r="O331" s="462">
        <f t="shared" ref="O331:O334" si="101">+H331+M331+N331+K331</f>
        <v>4185.75</v>
      </c>
      <c r="P331" s="488">
        <f t="shared" ref="P331:P334" si="102">(((G331*120)+(K331+M331)*4)/12)</f>
        <v>1285.8333333333333</v>
      </c>
      <c r="Q331" s="489">
        <f t="shared" ref="Q331:Q334" si="103">(((G331*30)+M331+K331)/365*120)</f>
        <v>1268.2191780821918</v>
      </c>
      <c r="R331" s="489">
        <f t="shared" ref="R331:R334" si="104">+(200/365)*120</f>
        <v>65.753424657534239</v>
      </c>
      <c r="S331" s="490">
        <f t="shared" ref="S331:S334" si="105">(((G331*120)+((K331+M331+N331)*4)))</f>
        <v>16430</v>
      </c>
      <c r="T331" s="490">
        <f t="shared" ref="T331:T334" si="106">+S331+R331+Q331+P331</f>
        <v>19049.805936073059</v>
      </c>
      <c r="U331" s="491">
        <f t="shared" ref="U331:U334" si="107">ROUND((((H331+K331+M331)*4.83)/100),2)</f>
        <v>190.1</v>
      </c>
      <c r="V331" s="456"/>
      <c r="W331" s="456"/>
      <c r="X331" s="559"/>
      <c r="Y331" s="559"/>
      <c r="Z331" s="462">
        <f t="shared" si="97"/>
        <v>190.1</v>
      </c>
      <c r="AA331" s="462">
        <f t="shared" ref="AA331:AA334" si="108">+O331-Z331</f>
        <v>3995.65</v>
      </c>
      <c r="AB331" s="489">
        <v>1000</v>
      </c>
    </row>
    <row r="332" spans="1:28" s="486" customFormat="1" ht="12">
      <c r="A332" s="456">
        <v>66</v>
      </c>
      <c r="B332" s="556"/>
      <c r="C332" s="509">
        <v>9901430604</v>
      </c>
      <c r="D332" s="522" t="s">
        <v>944</v>
      </c>
      <c r="E332" s="553" t="s">
        <v>35</v>
      </c>
      <c r="F332" s="563">
        <v>31</v>
      </c>
      <c r="G332" s="525">
        <v>71.400000000000006</v>
      </c>
      <c r="H332" s="519">
        <f t="shared" si="98"/>
        <v>2213.4</v>
      </c>
      <c r="I332" s="462">
        <f t="shared" si="99"/>
        <v>8568</v>
      </c>
      <c r="J332" s="463">
        <v>4</v>
      </c>
      <c r="K332" s="561"/>
      <c r="L332" s="462">
        <f t="shared" si="100"/>
        <v>1760</v>
      </c>
      <c r="M332" s="462">
        <v>1510</v>
      </c>
      <c r="N332" s="462">
        <v>250</v>
      </c>
      <c r="O332" s="462">
        <f t="shared" si="101"/>
        <v>3973.4</v>
      </c>
      <c r="P332" s="488">
        <f t="shared" si="102"/>
        <v>1217.3333333333333</v>
      </c>
      <c r="Q332" s="489">
        <f t="shared" si="103"/>
        <v>1200.6575342465753</v>
      </c>
      <c r="R332" s="489">
        <f t="shared" si="104"/>
        <v>65.753424657534239</v>
      </c>
      <c r="S332" s="490">
        <f t="shared" si="105"/>
        <v>15608</v>
      </c>
      <c r="T332" s="490">
        <f t="shared" si="106"/>
        <v>18091.744292237443</v>
      </c>
      <c r="U332" s="491">
        <f t="shared" si="107"/>
        <v>179.84</v>
      </c>
      <c r="V332" s="456"/>
      <c r="W332" s="456"/>
      <c r="X332" s="559"/>
      <c r="Y332" s="559"/>
      <c r="Z332" s="462">
        <f t="shared" ref="Z332:Z334" si="109">V332+W332+X332+Y332+U332</f>
        <v>179.84</v>
      </c>
      <c r="AA332" s="462">
        <f t="shared" si="108"/>
        <v>3793.56</v>
      </c>
      <c r="AB332" s="489">
        <v>1000</v>
      </c>
    </row>
    <row r="333" spans="1:28" s="486" customFormat="1" ht="12">
      <c r="A333" s="456">
        <v>67</v>
      </c>
      <c r="B333" s="556"/>
      <c r="C333" s="501">
        <v>9901576038</v>
      </c>
      <c r="D333" s="522" t="s">
        <v>945</v>
      </c>
      <c r="E333" s="553" t="s">
        <v>35</v>
      </c>
      <c r="F333" s="563">
        <v>31</v>
      </c>
      <c r="G333" s="525">
        <v>71.400000000000006</v>
      </c>
      <c r="H333" s="519">
        <f t="shared" si="98"/>
        <v>2213.4</v>
      </c>
      <c r="I333" s="462">
        <f t="shared" si="99"/>
        <v>8568</v>
      </c>
      <c r="J333" s="463">
        <v>4</v>
      </c>
      <c r="K333" s="561"/>
      <c r="L333" s="462">
        <f t="shared" si="100"/>
        <v>1760</v>
      </c>
      <c r="M333" s="462">
        <v>1510</v>
      </c>
      <c r="N333" s="462">
        <v>250</v>
      </c>
      <c r="O333" s="462">
        <f t="shared" si="101"/>
        <v>3973.4</v>
      </c>
      <c r="P333" s="488">
        <f t="shared" si="102"/>
        <v>1217.3333333333333</v>
      </c>
      <c r="Q333" s="489">
        <f t="shared" si="103"/>
        <v>1200.6575342465753</v>
      </c>
      <c r="R333" s="489">
        <f t="shared" si="104"/>
        <v>65.753424657534239</v>
      </c>
      <c r="S333" s="490">
        <f t="shared" si="105"/>
        <v>15608</v>
      </c>
      <c r="T333" s="490">
        <f t="shared" si="106"/>
        <v>18091.744292237443</v>
      </c>
      <c r="U333" s="491">
        <f t="shared" si="107"/>
        <v>179.84</v>
      </c>
      <c r="V333" s="456"/>
      <c r="W333" s="456"/>
      <c r="X333" s="559"/>
      <c r="Y333" s="559"/>
      <c r="Z333" s="462">
        <f t="shared" si="109"/>
        <v>179.84</v>
      </c>
      <c r="AA333" s="462">
        <f t="shared" si="108"/>
        <v>3793.56</v>
      </c>
      <c r="AB333" s="489">
        <v>1000</v>
      </c>
    </row>
    <row r="334" spans="1:28" s="486" customFormat="1" ht="12">
      <c r="A334" s="456">
        <v>68</v>
      </c>
      <c r="B334" s="556"/>
      <c r="C334" s="501">
        <v>9901576027</v>
      </c>
      <c r="D334" s="522" t="s">
        <v>946</v>
      </c>
      <c r="E334" s="564" t="s">
        <v>1175</v>
      </c>
      <c r="F334" s="563">
        <v>31</v>
      </c>
      <c r="G334" s="525">
        <v>71.400000000000006</v>
      </c>
      <c r="H334" s="519">
        <f t="shared" si="98"/>
        <v>2213.4</v>
      </c>
      <c r="I334" s="462">
        <f t="shared" si="99"/>
        <v>8568</v>
      </c>
      <c r="J334" s="463">
        <v>4</v>
      </c>
      <c r="K334" s="561"/>
      <c r="L334" s="462">
        <f t="shared" si="100"/>
        <v>1760</v>
      </c>
      <c r="M334" s="462">
        <v>1510</v>
      </c>
      <c r="N334" s="462">
        <v>250</v>
      </c>
      <c r="O334" s="462">
        <f t="shared" si="101"/>
        <v>3973.4</v>
      </c>
      <c r="P334" s="488">
        <f t="shared" si="102"/>
        <v>1217.3333333333333</v>
      </c>
      <c r="Q334" s="489">
        <f t="shared" si="103"/>
        <v>1200.6575342465753</v>
      </c>
      <c r="R334" s="489">
        <f t="shared" si="104"/>
        <v>65.753424657534239</v>
      </c>
      <c r="S334" s="490">
        <f t="shared" si="105"/>
        <v>15608</v>
      </c>
      <c r="T334" s="490">
        <f t="shared" si="106"/>
        <v>18091.744292237443</v>
      </c>
      <c r="U334" s="491">
        <f t="shared" si="107"/>
        <v>179.84</v>
      </c>
      <c r="V334" s="456"/>
      <c r="W334" s="456"/>
      <c r="X334" s="559"/>
      <c r="Y334" s="559"/>
      <c r="Z334" s="462">
        <f t="shared" si="109"/>
        <v>179.84</v>
      </c>
      <c r="AA334" s="462">
        <f t="shared" si="108"/>
        <v>3793.56</v>
      </c>
      <c r="AB334" s="489">
        <v>1000</v>
      </c>
    </row>
    <row r="335" spans="1:28" s="507" customFormat="1" ht="12">
      <c r="A335" s="456">
        <v>1</v>
      </c>
      <c r="B335" s="457" t="s">
        <v>2110</v>
      </c>
      <c r="C335" s="497">
        <v>9901442782</v>
      </c>
      <c r="D335" s="459" t="s">
        <v>2111</v>
      </c>
      <c r="E335" s="460" t="s">
        <v>46</v>
      </c>
      <c r="F335" s="461">
        <v>31</v>
      </c>
      <c r="G335" s="498">
        <v>73.59</v>
      </c>
      <c r="H335" s="462">
        <f t="shared" ref="H335:H398" si="110">+F335*G335</f>
        <v>2281.29</v>
      </c>
      <c r="I335" s="462">
        <f t="shared" ref="I335:I398" si="111">G335*120</f>
        <v>8830.8000000000011</v>
      </c>
      <c r="J335" s="463">
        <v>4</v>
      </c>
      <c r="K335" s="534">
        <v>75</v>
      </c>
      <c r="L335" s="462">
        <f t="shared" ref="L335:L398" si="112">M335+N335</f>
        <v>1760</v>
      </c>
      <c r="M335" s="462">
        <v>1510</v>
      </c>
      <c r="N335" s="462">
        <v>250</v>
      </c>
      <c r="O335" s="462">
        <f t="shared" ref="O335:O398" si="113">+H335+M335+N335+K335</f>
        <v>4116.29</v>
      </c>
      <c r="P335" s="488">
        <f t="shared" ref="P335:P398" si="114">(((G335*120)+(K335+M335)*4)/12)</f>
        <v>1264.2333333333333</v>
      </c>
      <c r="Q335" s="489">
        <f t="shared" ref="Q335:Q398" si="115">(((G335*30)+M335+K335)/365*120)</f>
        <v>1246.9150684931508</v>
      </c>
      <c r="R335" s="489">
        <f t="shared" ref="R335:R398" si="116">+(200/365)*120</f>
        <v>65.753424657534239</v>
      </c>
      <c r="S335" s="490">
        <f t="shared" ref="S335:S398" si="117">(((G335*120)+((K335+M335+N335)*4)))</f>
        <v>16170.800000000001</v>
      </c>
      <c r="T335" s="490">
        <f t="shared" ref="T335:T398" si="118">+S335+R335+Q335+P335</f>
        <v>18747.701826484019</v>
      </c>
      <c r="U335" s="491">
        <f t="shared" ref="U335:U398" si="119">ROUND((((H335+K335+M335)*4.83)/100),2)</f>
        <v>186.74</v>
      </c>
      <c r="V335" s="498">
        <f>(O335-N335)*11%</f>
        <v>425.2919</v>
      </c>
      <c r="W335" s="498"/>
      <c r="X335" s="498"/>
      <c r="Y335" s="498">
        <v>189</v>
      </c>
      <c r="Z335" s="462">
        <f t="shared" ref="Z335:Z398" si="120">V335+W335+X335+Y335+U335</f>
        <v>801.03189999999995</v>
      </c>
      <c r="AA335" s="462">
        <f t="shared" ref="AA335:AA398" si="121">+O335-Z335</f>
        <v>3315.2581</v>
      </c>
      <c r="AB335" s="489">
        <v>1000</v>
      </c>
    </row>
    <row r="336" spans="1:28" s="507" customFormat="1" ht="12">
      <c r="A336" s="456">
        <v>2</v>
      </c>
      <c r="B336" s="466" t="s">
        <v>2112</v>
      </c>
      <c r="C336" s="497">
        <v>9901443760</v>
      </c>
      <c r="D336" s="459" t="s">
        <v>2113</v>
      </c>
      <c r="E336" s="460" t="s">
        <v>1175</v>
      </c>
      <c r="F336" s="461">
        <v>31</v>
      </c>
      <c r="G336" s="498">
        <v>71.400000000000006</v>
      </c>
      <c r="H336" s="462">
        <f t="shared" si="110"/>
        <v>2213.4</v>
      </c>
      <c r="I336" s="462">
        <f t="shared" si="111"/>
        <v>8568</v>
      </c>
      <c r="J336" s="463">
        <v>4</v>
      </c>
      <c r="K336" s="534">
        <v>75</v>
      </c>
      <c r="L336" s="462">
        <f t="shared" si="112"/>
        <v>1760</v>
      </c>
      <c r="M336" s="462">
        <v>1510</v>
      </c>
      <c r="N336" s="462">
        <v>250</v>
      </c>
      <c r="O336" s="462">
        <f t="shared" si="113"/>
        <v>4048.4</v>
      </c>
      <c r="P336" s="488">
        <f t="shared" si="114"/>
        <v>1242.3333333333333</v>
      </c>
      <c r="Q336" s="489">
        <f t="shared" si="115"/>
        <v>1225.3150684931506</v>
      </c>
      <c r="R336" s="489">
        <f t="shared" si="116"/>
        <v>65.753424657534239</v>
      </c>
      <c r="S336" s="490">
        <f t="shared" si="117"/>
        <v>15908</v>
      </c>
      <c r="T336" s="490">
        <f t="shared" si="118"/>
        <v>18441.401826484016</v>
      </c>
      <c r="U336" s="491">
        <f t="shared" si="119"/>
        <v>183.46</v>
      </c>
      <c r="V336" s="498"/>
      <c r="W336" s="498"/>
      <c r="X336" s="498"/>
      <c r="Y336" s="498"/>
      <c r="Z336" s="462">
        <f t="shared" si="120"/>
        <v>183.46</v>
      </c>
      <c r="AA336" s="462">
        <f t="shared" si="121"/>
        <v>3864.94</v>
      </c>
      <c r="AB336" s="489">
        <v>1000</v>
      </c>
    </row>
    <row r="337" spans="1:28" s="507" customFormat="1" ht="12">
      <c r="A337" s="456">
        <v>3</v>
      </c>
      <c r="B337" s="466" t="s">
        <v>2114</v>
      </c>
      <c r="C337" s="497">
        <v>9901442772</v>
      </c>
      <c r="D337" s="459" t="s">
        <v>2115</v>
      </c>
      <c r="E337" s="460" t="s">
        <v>72</v>
      </c>
      <c r="F337" s="461">
        <v>31</v>
      </c>
      <c r="G337" s="498">
        <v>71.400000000000006</v>
      </c>
      <c r="H337" s="462">
        <f t="shared" si="110"/>
        <v>2213.4</v>
      </c>
      <c r="I337" s="462">
        <f t="shared" si="111"/>
        <v>8568</v>
      </c>
      <c r="J337" s="463">
        <v>4</v>
      </c>
      <c r="K337" s="534">
        <v>75</v>
      </c>
      <c r="L337" s="462">
        <f t="shared" si="112"/>
        <v>1760</v>
      </c>
      <c r="M337" s="462">
        <v>1510</v>
      </c>
      <c r="N337" s="462">
        <v>250</v>
      </c>
      <c r="O337" s="462">
        <f t="shared" si="113"/>
        <v>4048.4</v>
      </c>
      <c r="P337" s="488">
        <f t="shared" si="114"/>
        <v>1242.3333333333333</v>
      </c>
      <c r="Q337" s="489">
        <f t="shared" si="115"/>
        <v>1225.3150684931506</v>
      </c>
      <c r="R337" s="489">
        <f t="shared" si="116"/>
        <v>65.753424657534239</v>
      </c>
      <c r="S337" s="490">
        <f t="shared" si="117"/>
        <v>15908</v>
      </c>
      <c r="T337" s="490">
        <f t="shared" si="118"/>
        <v>18441.401826484016</v>
      </c>
      <c r="U337" s="491">
        <f t="shared" si="119"/>
        <v>183.46</v>
      </c>
      <c r="V337" s="498"/>
      <c r="W337" s="498">
        <v>10</v>
      </c>
      <c r="X337" s="498"/>
      <c r="Y337" s="498">
        <v>750.77</v>
      </c>
      <c r="Z337" s="462">
        <f t="shared" si="120"/>
        <v>944.23</v>
      </c>
      <c r="AA337" s="462">
        <f t="shared" si="121"/>
        <v>3104.17</v>
      </c>
      <c r="AB337" s="489">
        <v>1000</v>
      </c>
    </row>
    <row r="338" spans="1:28" s="507" customFormat="1" ht="12">
      <c r="A338" s="456">
        <v>4</v>
      </c>
      <c r="B338" s="466" t="s">
        <v>2116</v>
      </c>
      <c r="C338" s="497">
        <v>9901443734</v>
      </c>
      <c r="D338" s="459" t="s">
        <v>2117</v>
      </c>
      <c r="E338" s="460" t="s">
        <v>46</v>
      </c>
      <c r="F338" s="461">
        <v>31</v>
      </c>
      <c r="G338" s="498">
        <v>73.59</v>
      </c>
      <c r="H338" s="462">
        <f t="shared" si="110"/>
        <v>2281.29</v>
      </c>
      <c r="I338" s="462">
        <f t="shared" si="111"/>
        <v>8830.8000000000011</v>
      </c>
      <c r="J338" s="463">
        <v>4</v>
      </c>
      <c r="K338" s="534">
        <v>75</v>
      </c>
      <c r="L338" s="462">
        <f t="shared" si="112"/>
        <v>1760</v>
      </c>
      <c r="M338" s="462">
        <v>1510</v>
      </c>
      <c r="N338" s="462">
        <v>250</v>
      </c>
      <c r="O338" s="462">
        <f t="shared" si="113"/>
        <v>4116.29</v>
      </c>
      <c r="P338" s="488">
        <f t="shared" si="114"/>
        <v>1264.2333333333333</v>
      </c>
      <c r="Q338" s="489">
        <f t="shared" si="115"/>
        <v>1246.9150684931508</v>
      </c>
      <c r="R338" s="489">
        <f t="shared" si="116"/>
        <v>65.753424657534239</v>
      </c>
      <c r="S338" s="490">
        <f t="shared" si="117"/>
        <v>16170.800000000001</v>
      </c>
      <c r="T338" s="490">
        <f t="shared" si="118"/>
        <v>18747.701826484019</v>
      </c>
      <c r="U338" s="491">
        <f t="shared" si="119"/>
        <v>186.74</v>
      </c>
      <c r="V338" s="498">
        <f>(O338-N338)*11%</f>
        <v>425.2919</v>
      </c>
      <c r="W338" s="498"/>
      <c r="X338" s="498"/>
      <c r="Y338" s="498"/>
      <c r="Z338" s="462">
        <f t="shared" si="120"/>
        <v>612.03189999999995</v>
      </c>
      <c r="AA338" s="462">
        <f t="shared" si="121"/>
        <v>3504.2581</v>
      </c>
      <c r="AB338" s="489">
        <v>1000</v>
      </c>
    </row>
    <row r="339" spans="1:28" s="507" customFormat="1" ht="12">
      <c r="A339" s="456">
        <v>5</v>
      </c>
      <c r="B339" s="457" t="s">
        <v>2118</v>
      </c>
      <c r="C339" s="497">
        <v>9901442644</v>
      </c>
      <c r="D339" s="459" t="s">
        <v>2119</v>
      </c>
      <c r="E339" s="460" t="s">
        <v>77</v>
      </c>
      <c r="F339" s="461">
        <v>31</v>
      </c>
      <c r="G339" s="498">
        <v>72.540000000000006</v>
      </c>
      <c r="H339" s="462">
        <f t="shared" si="110"/>
        <v>2248.7400000000002</v>
      </c>
      <c r="I339" s="462">
        <f t="shared" si="111"/>
        <v>8704.8000000000011</v>
      </c>
      <c r="J339" s="463">
        <v>4</v>
      </c>
      <c r="K339" s="534">
        <v>75</v>
      </c>
      <c r="L339" s="462">
        <f t="shared" si="112"/>
        <v>1760</v>
      </c>
      <c r="M339" s="462">
        <v>1510</v>
      </c>
      <c r="N339" s="462">
        <v>250</v>
      </c>
      <c r="O339" s="462">
        <f t="shared" si="113"/>
        <v>4083.7400000000002</v>
      </c>
      <c r="P339" s="488">
        <f t="shared" si="114"/>
        <v>1253.7333333333333</v>
      </c>
      <c r="Q339" s="489">
        <f t="shared" si="115"/>
        <v>1236.5589041095891</v>
      </c>
      <c r="R339" s="489">
        <f t="shared" si="116"/>
        <v>65.753424657534239</v>
      </c>
      <c r="S339" s="490">
        <f t="shared" si="117"/>
        <v>16044.800000000001</v>
      </c>
      <c r="T339" s="490">
        <f t="shared" si="118"/>
        <v>18600.845662100459</v>
      </c>
      <c r="U339" s="491">
        <f t="shared" si="119"/>
        <v>185.17</v>
      </c>
      <c r="V339" s="498"/>
      <c r="W339" s="498"/>
      <c r="X339" s="498"/>
      <c r="Y339" s="498">
        <v>796.97</v>
      </c>
      <c r="Z339" s="462">
        <f t="shared" si="120"/>
        <v>982.14</v>
      </c>
      <c r="AA339" s="462">
        <f t="shared" si="121"/>
        <v>3101.6000000000004</v>
      </c>
      <c r="AB339" s="489">
        <v>1000</v>
      </c>
    </row>
    <row r="340" spans="1:28" s="507" customFormat="1" ht="12">
      <c r="A340" s="456">
        <v>6</v>
      </c>
      <c r="B340" s="457" t="s">
        <v>2120</v>
      </c>
      <c r="C340" s="497">
        <v>9901442424</v>
      </c>
      <c r="D340" s="459" t="s">
        <v>2121</v>
      </c>
      <c r="E340" s="460" t="s">
        <v>46</v>
      </c>
      <c r="F340" s="461">
        <v>31</v>
      </c>
      <c r="G340" s="498">
        <v>73.59</v>
      </c>
      <c r="H340" s="462">
        <f t="shared" si="110"/>
        <v>2281.29</v>
      </c>
      <c r="I340" s="462">
        <f t="shared" si="111"/>
        <v>8830.8000000000011</v>
      </c>
      <c r="J340" s="463">
        <v>4</v>
      </c>
      <c r="K340" s="534">
        <v>75</v>
      </c>
      <c r="L340" s="462">
        <f t="shared" si="112"/>
        <v>1760</v>
      </c>
      <c r="M340" s="462">
        <v>1510</v>
      </c>
      <c r="N340" s="462">
        <v>250</v>
      </c>
      <c r="O340" s="462">
        <f t="shared" si="113"/>
        <v>4116.29</v>
      </c>
      <c r="P340" s="488">
        <f t="shared" si="114"/>
        <v>1264.2333333333333</v>
      </c>
      <c r="Q340" s="489">
        <f t="shared" si="115"/>
        <v>1246.9150684931508</v>
      </c>
      <c r="R340" s="489">
        <f t="shared" si="116"/>
        <v>65.753424657534239</v>
      </c>
      <c r="S340" s="490">
        <f t="shared" si="117"/>
        <v>16170.800000000001</v>
      </c>
      <c r="T340" s="490">
        <f t="shared" si="118"/>
        <v>18747.701826484019</v>
      </c>
      <c r="U340" s="491">
        <f t="shared" si="119"/>
        <v>186.74</v>
      </c>
      <c r="V340" s="498">
        <f>(O340-N340)*11%</f>
        <v>425.2919</v>
      </c>
      <c r="W340" s="498"/>
      <c r="X340" s="498"/>
      <c r="Y340" s="498"/>
      <c r="Z340" s="462">
        <f t="shared" si="120"/>
        <v>612.03189999999995</v>
      </c>
      <c r="AA340" s="462">
        <f t="shared" si="121"/>
        <v>3504.2581</v>
      </c>
      <c r="AB340" s="489">
        <v>1000</v>
      </c>
    </row>
    <row r="341" spans="1:28" s="507" customFormat="1" ht="12">
      <c r="A341" s="456">
        <v>7</v>
      </c>
      <c r="B341" s="457" t="s">
        <v>2122</v>
      </c>
      <c r="C341" s="497">
        <v>9901442638</v>
      </c>
      <c r="D341" s="459" t="s">
        <v>2123</v>
      </c>
      <c r="E341" s="460" t="s">
        <v>32</v>
      </c>
      <c r="F341" s="461">
        <v>31</v>
      </c>
      <c r="G341" s="498">
        <v>71.400000000000006</v>
      </c>
      <c r="H341" s="462">
        <f t="shared" si="110"/>
        <v>2213.4</v>
      </c>
      <c r="I341" s="462">
        <f t="shared" si="111"/>
        <v>8568</v>
      </c>
      <c r="J341" s="463">
        <v>4</v>
      </c>
      <c r="K341" s="534">
        <v>75</v>
      </c>
      <c r="L341" s="462">
        <f t="shared" si="112"/>
        <v>1760</v>
      </c>
      <c r="M341" s="462">
        <v>1510</v>
      </c>
      <c r="N341" s="462">
        <v>250</v>
      </c>
      <c r="O341" s="462">
        <f t="shared" si="113"/>
        <v>4048.4</v>
      </c>
      <c r="P341" s="488">
        <f t="shared" si="114"/>
        <v>1242.3333333333333</v>
      </c>
      <c r="Q341" s="489">
        <f t="shared" si="115"/>
        <v>1225.3150684931506</v>
      </c>
      <c r="R341" s="489">
        <f t="shared" si="116"/>
        <v>65.753424657534239</v>
      </c>
      <c r="S341" s="490">
        <f t="shared" si="117"/>
        <v>15908</v>
      </c>
      <c r="T341" s="490">
        <f t="shared" si="118"/>
        <v>18441.401826484016</v>
      </c>
      <c r="U341" s="491">
        <f t="shared" si="119"/>
        <v>183.46</v>
      </c>
      <c r="V341" s="498"/>
      <c r="W341" s="498"/>
      <c r="X341" s="498"/>
      <c r="Y341" s="498">
        <v>1230.67</v>
      </c>
      <c r="Z341" s="462">
        <f t="shared" si="120"/>
        <v>1414.13</v>
      </c>
      <c r="AA341" s="462">
        <f t="shared" si="121"/>
        <v>2634.27</v>
      </c>
      <c r="AB341" s="489">
        <v>1000</v>
      </c>
    </row>
    <row r="342" spans="1:28" s="507" customFormat="1" ht="12">
      <c r="A342" s="456">
        <v>8</v>
      </c>
      <c r="B342" s="457" t="s">
        <v>2124</v>
      </c>
      <c r="C342" s="497">
        <v>9901443706</v>
      </c>
      <c r="D342" s="459" t="s">
        <v>2125</v>
      </c>
      <c r="E342" s="460" t="s">
        <v>46</v>
      </c>
      <c r="F342" s="461">
        <v>31</v>
      </c>
      <c r="G342" s="498">
        <v>73.59</v>
      </c>
      <c r="H342" s="462">
        <f t="shared" si="110"/>
        <v>2281.29</v>
      </c>
      <c r="I342" s="462">
        <f t="shared" si="111"/>
        <v>8830.8000000000011</v>
      </c>
      <c r="J342" s="463">
        <v>4</v>
      </c>
      <c r="K342" s="534">
        <v>75</v>
      </c>
      <c r="L342" s="462">
        <f t="shared" si="112"/>
        <v>1760</v>
      </c>
      <c r="M342" s="462">
        <v>1510</v>
      </c>
      <c r="N342" s="462">
        <v>250</v>
      </c>
      <c r="O342" s="462">
        <f t="shared" si="113"/>
        <v>4116.29</v>
      </c>
      <c r="P342" s="488">
        <f t="shared" si="114"/>
        <v>1264.2333333333333</v>
      </c>
      <c r="Q342" s="489">
        <f t="shared" si="115"/>
        <v>1246.9150684931508</v>
      </c>
      <c r="R342" s="489">
        <f t="shared" si="116"/>
        <v>65.753424657534239</v>
      </c>
      <c r="S342" s="490">
        <f t="shared" si="117"/>
        <v>16170.800000000001</v>
      </c>
      <c r="T342" s="490">
        <f t="shared" si="118"/>
        <v>18747.701826484019</v>
      </c>
      <c r="U342" s="491">
        <f t="shared" si="119"/>
        <v>186.74</v>
      </c>
      <c r="V342" s="498"/>
      <c r="W342" s="498"/>
      <c r="X342" s="498"/>
      <c r="Y342" s="498">
        <v>1442.42</v>
      </c>
      <c r="Z342" s="462">
        <f t="shared" si="120"/>
        <v>1629.16</v>
      </c>
      <c r="AA342" s="462">
        <f t="shared" si="121"/>
        <v>2487.13</v>
      </c>
      <c r="AB342" s="489">
        <v>1000</v>
      </c>
    </row>
    <row r="343" spans="1:28" s="507" customFormat="1" ht="12">
      <c r="A343" s="456">
        <v>9</v>
      </c>
      <c r="B343" s="466" t="s">
        <v>2126</v>
      </c>
      <c r="C343" s="497">
        <v>9901442988</v>
      </c>
      <c r="D343" s="459" t="s">
        <v>2127</v>
      </c>
      <c r="E343" s="460" t="s">
        <v>46</v>
      </c>
      <c r="F343" s="461">
        <v>31</v>
      </c>
      <c r="G343" s="498">
        <v>73.59</v>
      </c>
      <c r="H343" s="462">
        <f t="shared" si="110"/>
        <v>2281.29</v>
      </c>
      <c r="I343" s="462">
        <f t="shared" si="111"/>
        <v>8830.8000000000011</v>
      </c>
      <c r="J343" s="463">
        <v>4</v>
      </c>
      <c r="K343" s="534">
        <v>75</v>
      </c>
      <c r="L343" s="462">
        <f t="shared" si="112"/>
        <v>1760</v>
      </c>
      <c r="M343" s="462">
        <v>1510</v>
      </c>
      <c r="N343" s="462">
        <v>250</v>
      </c>
      <c r="O343" s="462">
        <f t="shared" si="113"/>
        <v>4116.29</v>
      </c>
      <c r="P343" s="488">
        <f t="shared" si="114"/>
        <v>1264.2333333333333</v>
      </c>
      <c r="Q343" s="489">
        <f t="shared" si="115"/>
        <v>1246.9150684931508</v>
      </c>
      <c r="R343" s="489">
        <f t="shared" si="116"/>
        <v>65.753424657534239</v>
      </c>
      <c r="S343" s="490">
        <f t="shared" si="117"/>
        <v>16170.800000000001</v>
      </c>
      <c r="T343" s="490">
        <f t="shared" si="118"/>
        <v>18747.701826484019</v>
      </c>
      <c r="U343" s="491">
        <f t="shared" si="119"/>
        <v>186.74</v>
      </c>
      <c r="V343" s="498"/>
      <c r="W343" s="498">
        <v>10</v>
      </c>
      <c r="X343" s="498"/>
      <c r="Y343" s="498"/>
      <c r="Z343" s="462">
        <f t="shared" si="120"/>
        <v>196.74</v>
      </c>
      <c r="AA343" s="462">
        <f t="shared" si="121"/>
        <v>3919.55</v>
      </c>
      <c r="AB343" s="489">
        <v>1000</v>
      </c>
    </row>
    <row r="344" spans="1:28" s="507" customFormat="1" ht="12">
      <c r="A344" s="456">
        <v>10</v>
      </c>
      <c r="B344" s="457" t="s">
        <v>2128</v>
      </c>
      <c r="C344" s="497">
        <v>9901442889</v>
      </c>
      <c r="D344" s="459" t="s">
        <v>2129</v>
      </c>
      <c r="E344" s="460" t="s">
        <v>32</v>
      </c>
      <c r="F344" s="461">
        <v>31</v>
      </c>
      <c r="G344" s="498">
        <v>71.400000000000006</v>
      </c>
      <c r="H344" s="462">
        <f t="shared" si="110"/>
        <v>2213.4</v>
      </c>
      <c r="I344" s="462">
        <f t="shared" si="111"/>
        <v>8568</v>
      </c>
      <c r="J344" s="463">
        <v>4</v>
      </c>
      <c r="K344" s="534">
        <v>75</v>
      </c>
      <c r="L344" s="462">
        <f t="shared" si="112"/>
        <v>1760</v>
      </c>
      <c r="M344" s="462">
        <v>1510</v>
      </c>
      <c r="N344" s="462">
        <v>250</v>
      </c>
      <c r="O344" s="462">
        <f t="shared" si="113"/>
        <v>4048.4</v>
      </c>
      <c r="P344" s="488">
        <f t="shared" si="114"/>
        <v>1242.3333333333333</v>
      </c>
      <c r="Q344" s="489">
        <f t="shared" si="115"/>
        <v>1225.3150684931506</v>
      </c>
      <c r="R344" s="489">
        <f t="shared" si="116"/>
        <v>65.753424657534239</v>
      </c>
      <c r="S344" s="490">
        <f t="shared" si="117"/>
        <v>15908</v>
      </c>
      <c r="T344" s="490">
        <f t="shared" si="118"/>
        <v>18441.401826484016</v>
      </c>
      <c r="U344" s="491">
        <f t="shared" si="119"/>
        <v>183.46</v>
      </c>
      <c r="V344" s="498"/>
      <c r="W344" s="498"/>
      <c r="X344" s="498"/>
      <c r="Y344" s="498"/>
      <c r="Z344" s="462">
        <f t="shared" si="120"/>
        <v>183.46</v>
      </c>
      <c r="AA344" s="462">
        <f t="shared" si="121"/>
        <v>3864.94</v>
      </c>
      <c r="AB344" s="489">
        <v>1000</v>
      </c>
    </row>
    <row r="345" spans="1:28" s="507" customFormat="1" ht="12">
      <c r="A345" s="456">
        <v>11</v>
      </c>
      <c r="B345" s="466" t="s">
        <v>2130</v>
      </c>
      <c r="C345" s="497">
        <v>9901442773</v>
      </c>
      <c r="D345" s="459" t="s">
        <v>2131</v>
      </c>
      <c r="E345" s="460" t="s">
        <v>1175</v>
      </c>
      <c r="F345" s="461">
        <v>31</v>
      </c>
      <c r="G345" s="498">
        <v>71.400000000000006</v>
      </c>
      <c r="H345" s="462">
        <f t="shared" si="110"/>
        <v>2213.4</v>
      </c>
      <c r="I345" s="462">
        <f t="shared" si="111"/>
        <v>8568</v>
      </c>
      <c r="J345" s="463">
        <v>4</v>
      </c>
      <c r="K345" s="534">
        <v>75</v>
      </c>
      <c r="L345" s="462">
        <f t="shared" si="112"/>
        <v>1760</v>
      </c>
      <c r="M345" s="462">
        <v>1510</v>
      </c>
      <c r="N345" s="462">
        <v>250</v>
      </c>
      <c r="O345" s="462">
        <f t="shared" si="113"/>
        <v>4048.4</v>
      </c>
      <c r="P345" s="488">
        <f t="shared" si="114"/>
        <v>1242.3333333333333</v>
      </c>
      <c r="Q345" s="489">
        <f t="shared" si="115"/>
        <v>1225.3150684931506</v>
      </c>
      <c r="R345" s="489">
        <f t="shared" si="116"/>
        <v>65.753424657534239</v>
      </c>
      <c r="S345" s="490">
        <f t="shared" si="117"/>
        <v>15908</v>
      </c>
      <c r="T345" s="490">
        <f t="shared" si="118"/>
        <v>18441.401826484016</v>
      </c>
      <c r="U345" s="491">
        <f t="shared" si="119"/>
        <v>183.46</v>
      </c>
      <c r="V345" s="498">
        <f>(O345-N345)*11%</f>
        <v>417.82400000000001</v>
      </c>
      <c r="W345" s="498"/>
      <c r="X345" s="498"/>
      <c r="Y345" s="498"/>
      <c r="Z345" s="462">
        <f t="shared" si="120"/>
        <v>601.28399999999999</v>
      </c>
      <c r="AA345" s="462">
        <f t="shared" si="121"/>
        <v>3447.116</v>
      </c>
      <c r="AB345" s="489">
        <v>1000</v>
      </c>
    </row>
    <row r="346" spans="1:28" s="507" customFormat="1" ht="12">
      <c r="A346" s="456">
        <v>12</v>
      </c>
      <c r="B346" s="457" t="s">
        <v>2132</v>
      </c>
      <c r="C346" s="497">
        <v>9901442997</v>
      </c>
      <c r="D346" s="459" t="s">
        <v>2133</v>
      </c>
      <c r="E346" s="460" t="s">
        <v>46</v>
      </c>
      <c r="F346" s="461">
        <v>31</v>
      </c>
      <c r="G346" s="498">
        <v>73.59</v>
      </c>
      <c r="H346" s="462">
        <f t="shared" si="110"/>
        <v>2281.29</v>
      </c>
      <c r="I346" s="462">
        <f t="shared" si="111"/>
        <v>8830.8000000000011</v>
      </c>
      <c r="J346" s="463">
        <v>4</v>
      </c>
      <c r="K346" s="534">
        <v>75</v>
      </c>
      <c r="L346" s="462">
        <f t="shared" si="112"/>
        <v>1760</v>
      </c>
      <c r="M346" s="462">
        <v>1510</v>
      </c>
      <c r="N346" s="462">
        <v>250</v>
      </c>
      <c r="O346" s="462">
        <f t="shared" si="113"/>
        <v>4116.29</v>
      </c>
      <c r="P346" s="488">
        <f t="shared" si="114"/>
        <v>1264.2333333333333</v>
      </c>
      <c r="Q346" s="489">
        <f t="shared" si="115"/>
        <v>1246.9150684931508</v>
      </c>
      <c r="R346" s="489">
        <f t="shared" si="116"/>
        <v>65.753424657534239</v>
      </c>
      <c r="S346" s="490">
        <f t="shared" si="117"/>
        <v>16170.800000000001</v>
      </c>
      <c r="T346" s="490">
        <f t="shared" si="118"/>
        <v>18747.701826484019</v>
      </c>
      <c r="U346" s="491">
        <f t="shared" si="119"/>
        <v>186.74</v>
      </c>
      <c r="V346" s="498"/>
      <c r="W346" s="569">
        <v>10</v>
      </c>
      <c r="X346" s="498"/>
      <c r="Y346" s="498">
        <v>1388.43</v>
      </c>
      <c r="Z346" s="462">
        <f t="shared" si="120"/>
        <v>1585.17</v>
      </c>
      <c r="AA346" s="462">
        <f t="shared" si="121"/>
        <v>2531.12</v>
      </c>
      <c r="AB346" s="489">
        <v>1000</v>
      </c>
    </row>
    <row r="347" spans="1:28" s="507" customFormat="1" ht="12">
      <c r="A347" s="456">
        <v>13</v>
      </c>
      <c r="B347" s="457" t="s">
        <v>2134</v>
      </c>
      <c r="C347" s="497">
        <v>9901442440</v>
      </c>
      <c r="D347" s="459" t="s">
        <v>2135</v>
      </c>
      <c r="E347" s="460" t="s">
        <v>46</v>
      </c>
      <c r="F347" s="461">
        <v>31</v>
      </c>
      <c r="G347" s="498">
        <v>73.59</v>
      </c>
      <c r="H347" s="462">
        <f t="shared" si="110"/>
        <v>2281.29</v>
      </c>
      <c r="I347" s="462">
        <f t="shared" si="111"/>
        <v>8830.8000000000011</v>
      </c>
      <c r="J347" s="463">
        <v>4</v>
      </c>
      <c r="K347" s="534">
        <v>75</v>
      </c>
      <c r="L347" s="462">
        <f t="shared" si="112"/>
        <v>1760</v>
      </c>
      <c r="M347" s="462">
        <v>1510</v>
      </c>
      <c r="N347" s="462">
        <v>250</v>
      </c>
      <c r="O347" s="462">
        <f t="shared" si="113"/>
        <v>4116.29</v>
      </c>
      <c r="P347" s="488">
        <f t="shared" si="114"/>
        <v>1264.2333333333333</v>
      </c>
      <c r="Q347" s="489">
        <f t="shared" si="115"/>
        <v>1246.9150684931508</v>
      </c>
      <c r="R347" s="489">
        <f t="shared" si="116"/>
        <v>65.753424657534239</v>
      </c>
      <c r="S347" s="490">
        <f t="shared" si="117"/>
        <v>16170.800000000001</v>
      </c>
      <c r="T347" s="490">
        <f t="shared" si="118"/>
        <v>18747.701826484019</v>
      </c>
      <c r="U347" s="491">
        <f t="shared" si="119"/>
        <v>186.74</v>
      </c>
      <c r="V347" s="498"/>
      <c r="W347" s="498"/>
      <c r="X347" s="498"/>
      <c r="Y347" s="498">
        <v>1199.52</v>
      </c>
      <c r="Z347" s="462">
        <f t="shared" si="120"/>
        <v>1386.26</v>
      </c>
      <c r="AA347" s="462">
        <f t="shared" si="121"/>
        <v>2730.0299999999997</v>
      </c>
      <c r="AB347" s="489">
        <v>1000</v>
      </c>
    </row>
    <row r="348" spans="1:28" s="507" customFormat="1" ht="12">
      <c r="A348" s="456">
        <v>14</v>
      </c>
      <c r="B348" s="466" t="s">
        <v>2136</v>
      </c>
      <c r="C348" s="497">
        <v>9901442778</v>
      </c>
      <c r="D348" s="459" t="s">
        <v>2137</v>
      </c>
      <c r="E348" s="460" t="s">
        <v>39</v>
      </c>
      <c r="F348" s="461">
        <v>31</v>
      </c>
      <c r="G348" s="498">
        <v>78.25</v>
      </c>
      <c r="H348" s="462">
        <f t="shared" si="110"/>
        <v>2425.75</v>
      </c>
      <c r="I348" s="462">
        <f t="shared" si="111"/>
        <v>9390</v>
      </c>
      <c r="J348" s="463">
        <v>4</v>
      </c>
      <c r="K348" s="534">
        <v>75</v>
      </c>
      <c r="L348" s="462">
        <f t="shared" si="112"/>
        <v>1760</v>
      </c>
      <c r="M348" s="462">
        <v>1510</v>
      </c>
      <c r="N348" s="462">
        <v>250</v>
      </c>
      <c r="O348" s="462">
        <f t="shared" si="113"/>
        <v>4260.75</v>
      </c>
      <c r="P348" s="488">
        <f t="shared" si="114"/>
        <v>1310.8333333333333</v>
      </c>
      <c r="Q348" s="489">
        <f t="shared" si="115"/>
        <v>1292.8767123287671</v>
      </c>
      <c r="R348" s="489">
        <f t="shared" si="116"/>
        <v>65.753424657534239</v>
      </c>
      <c r="S348" s="490">
        <f t="shared" si="117"/>
        <v>16730</v>
      </c>
      <c r="T348" s="490">
        <f t="shared" si="118"/>
        <v>19399.463470319632</v>
      </c>
      <c r="U348" s="491">
        <f t="shared" si="119"/>
        <v>193.72</v>
      </c>
      <c r="V348" s="498">
        <f>(O348-N348)*11%</f>
        <v>441.1825</v>
      </c>
      <c r="W348" s="498"/>
      <c r="X348" s="498"/>
      <c r="Y348" s="498"/>
      <c r="Z348" s="462">
        <f t="shared" si="120"/>
        <v>634.90250000000003</v>
      </c>
      <c r="AA348" s="462">
        <f t="shared" si="121"/>
        <v>3625.8474999999999</v>
      </c>
      <c r="AB348" s="489">
        <v>1000</v>
      </c>
    </row>
    <row r="349" spans="1:28" s="507" customFormat="1">
      <c r="A349" s="456">
        <v>15</v>
      </c>
      <c r="B349" s="466" t="s">
        <v>2138</v>
      </c>
      <c r="C349" s="4">
        <v>9901442849</v>
      </c>
      <c r="D349" s="459" t="s">
        <v>2139</v>
      </c>
      <c r="E349" s="460" t="s">
        <v>39</v>
      </c>
      <c r="F349" s="461">
        <v>31</v>
      </c>
      <c r="G349" s="498">
        <v>78.25</v>
      </c>
      <c r="H349" s="462">
        <f t="shared" si="110"/>
        <v>2425.75</v>
      </c>
      <c r="I349" s="462">
        <f t="shared" si="111"/>
        <v>9390</v>
      </c>
      <c r="J349" s="463">
        <v>4</v>
      </c>
      <c r="K349" s="534">
        <v>75</v>
      </c>
      <c r="L349" s="462">
        <f t="shared" si="112"/>
        <v>1760</v>
      </c>
      <c r="M349" s="462">
        <v>1510</v>
      </c>
      <c r="N349" s="462">
        <v>250</v>
      </c>
      <c r="O349" s="462">
        <f t="shared" si="113"/>
        <v>4260.75</v>
      </c>
      <c r="P349" s="488">
        <f t="shared" si="114"/>
        <v>1310.8333333333333</v>
      </c>
      <c r="Q349" s="489">
        <f t="shared" si="115"/>
        <v>1292.8767123287671</v>
      </c>
      <c r="R349" s="489">
        <f t="shared" si="116"/>
        <v>65.753424657534239</v>
      </c>
      <c r="S349" s="490">
        <f t="shared" si="117"/>
        <v>16730</v>
      </c>
      <c r="T349" s="490">
        <f t="shared" si="118"/>
        <v>19399.463470319632</v>
      </c>
      <c r="U349" s="491">
        <f t="shared" si="119"/>
        <v>193.72</v>
      </c>
      <c r="V349" s="498">
        <f>(O349-N349)*11%</f>
        <v>441.1825</v>
      </c>
      <c r="W349" s="498"/>
      <c r="X349" s="498"/>
      <c r="Y349" s="498"/>
      <c r="Z349" s="462">
        <f t="shared" si="120"/>
        <v>634.90250000000003</v>
      </c>
      <c r="AA349" s="462">
        <f t="shared" si="121"/>
        <v>3625.8474999999999</v>
      </c>
      <c r="AB349" s="489">
        <v>1000</v>
      </c>
    </row>
    <row r="350" spans="1:28" s="507" customFormat="1" ht="12">
      <c r="A350" s="456">
        <v>16</v>
      </c>
      <c r="B350" s="466" t="s">
        <v>2140</v>
      </c>
      <c r="C350" s="497">
        <v>9901443178</v>
      </c>
      <c r="D350" s="459" t="s">
        <v>2141</v>
      </c>
      <c r="E350" s="460" t="s">
        <v>32</v>
      </c>
      <c r="F350" s="461">
        <v>31</v>
      </c>
      <c r="G350" s="498">
        <v>71.400000000000006</v>
      </c>
      <c r="H350" s="462">
        <f t="shared" si="110"/>
        <v>2213.4</v>
      </c>
      <c r="I350" s="462">
        <f t="shared" si="111"/>
        <v>8568</v>
      </c>
      <c r="J350" s="463">
        <v>4</v>
      </c>
      <c r="K350" s="534">
        <v>50</v>
      </c>
      <c r="L350" s="462">
        <f t="shared" si="112"/>
        <v>1760</v>
      </c>
      <c r="M350" s="462">
        <v>1510</v>
      </c>
      <c r="N350" s="462">
        <v>250</v>
      </c>
      <c r="O350" s="462">
        <f t="shared" si="113"/>
        <v>4023.4</v>
      </c>
      <c r="P350" s="488">
        <f t="shared" si="114"/>
        <v>1234</v>
      </c>
      <c r="Q350" s="489">
        <f t="shared" si="115"/>
        <v>1217.0958904109589</v>
      </c>
      <c r="R350" s="489">
        <f t="shared" si="116"/>
        <v>65.753424657534239</v>
      </c>
      <c r="S350" s="490">
        <f t="shared" si="117"/>
        <v>15808</v>
      </c>
      <c r="T350" s="490">
        <f t="shared" si="118"/>
        <v>18324.849315068492</v>
      </c>
      <c r="U350" s="491">
        <f t="shared" si="119"/>
        <v>182.26</v>
      </c>
      <c r="V350" s="498"/>
      <c r="W350" s="498"/>
      <c r="X350" s="498"/>
      <c r="Y350" s="498">
        <v>1532.35</v>
      </c>
      <c r="Z350" s="462">
        <f t="shared" si="120"/>
        <v>1714.61</v>
      </c>
      <c r="AA350" s="462">
        <f t="shared" si="121"/>
        <v>2308.79</v>
      </c>
      <c r="AB350" s="489">
        <v>1000</v>
      </c>
    </row>
    <row r="351" spans="1:28" s="507" customFormat="1" ht="12">
      <c r="A351" s="456">
        <v>17</v>
      </c>
      <c r="B351" s="466" t="s">
        <v>2142</v>
      </c>
      <c r="C351" s="497">
        <v>9901443710</v>
      </c>
      <c r="D351" s="459" t="s">
        <v>2143</v>
      </c>
      <c r="E351" s="460" t="s">
        <v>39</v>
      </c>
      <c r="F351" s="461">
        <v>31</v>
      </c>
      <c r="G351" s="498">
        <v>78.25</v>
      </c>
      <c r="H351" s="462">
        <f t="shared" si="110"/>
        <v>2425.75</v>
      </c>
      <c r="I351" s="462">
        <f t="shared" si="111"/>
        <v>9390</v>
      </c>
      <c r="J351" s="463">
        <v>4</v>
      </c>
      <c r="K351" s="534">
        <v>75</v>
      </c>
      <c r="L351" s="462">
        <f t="shared" si="112"/>
        <v>1760</v>
      </c>
      <c r="M351" s="462">
        <v>1510</v>
      </c>
      <c r="N351" s="462">
        <v>250</v>
      </c>
      <c r="O351" s="462">
        <f t="shared" si="113"/>
        <v>4260.75</v>
      </c>
      <c r="P351" s="488">
        <f t="shared" si="114"/>
        <v>1310.8333333333333</v>
      </c>
      <c r="Q351" s="489">
        <f t="shared" si="115"/>
        <v>1292.8767123287671</v>
      </c>
      <c r="R351" s="489">
        <f t="shared" si="116"/>
        <v>65.753424657534239</v>
      </c>
      <c r="S351" s="490">
        <f t="shared" si="117"/>
        <v>16730</v>
      </c>
      <c r="T351" s="490">
        <f t="shared" si="118"/>
        <v>19399.463470319632</v>
      </c>
      <c r="U351" s="491">
        <f t="shared" si="119"/>
        <v>193.72</v>
      </c>
      <c r="V351" s="498"/>
      <c r="W351" s="498">
        <v>10</v>
      </c>
      <c r="X351" s="498"/>
      <c r="Y351" s="498">
        <v>1463.59</v>
      </c>
      <c r="Z351" s="462">
        <f t="shared" si="120"/>
        <v>1667.31</v>
      </c>
      <c r="AA351" s="462">
        <f t="shared" si="121"/>
        <v>2593.44</v>
      </c>
      <c r="AB351" s="489">
        <v>1000</v>
      </c>
    </row>
    <row r="352" spans="1:28" s="507" customFormat="1" ht="12">
      <c r="A352" s="456">
        <v>18</v>
      </c>
      <c r="B352" s="457" t="s">
        <v>2144</v>
      </c>
      <c r="C352" s="497">
        <v>9901442652</v>
      </c>
      <c r="D352" s="459" t="s">
        <v>2145</v>
      </c>
      <c r="E352" s="460" t="s">
        <v>44</v>
      </c>
      <c r="F352" s="461">
        <v>31</v>
      </c>
      <c r="G352" s="498">
        <v>72.540000000000006</v>
      </c>
      <c r="H352" s="462">
        <f t="shared" si="110"/>
        <v>2248.7400000000002</v>
      </c>
      <c r="I352" s="462">
        <f t="shared" si="111"/>
        <v>8704.8000000000011</v>
      </c>
      <c r="J352" s="463">
        <v>4</v>
      </c>
      <c r="K352" s="534">
        <v>75</v>
      </c>
      <c r="L352" s="462">
        <f t="shared" si="112"/>
        <v>1760</v>
      </c>
      <c r="M352" s="462">
        <v>1510</v>
      </c>
      <c r="N352" s="462">
        <v>250</v>
      </c>
      <c r="O352" s="462">
        <f t="shared" si="113"/>
        <v>4083.7400000000002</v>
      </c>
      <c r="P352" s="488">
        <f t="shared" si="114"/>
        <v>1253.7333333333333</v>
      </c>
      <c r="Q352" s="489">
        <f t="shared" si="115"/>
        <v>1236.5589041095891</v>
      </c>
      <c r="R352" s="489">
        <f t="shared" si="116"/>
        <v>65.753424657534239</v>
      </c>
      <c r="S352" s="490">
        <f t="shared" si="117"/>
        <v>16044.800000000001</v>
      </c>
      <c r="T352" s="490">
        <f t="shared" si="118"/>
        <v>18600.845662100459</v>
      </c>
      <c r="U352" s="491">
        <f t="shared" si="119"/>
        <v>185.17</v>
      </c>
      <c r="V352" s="498">
        <f>(O352-N352)*11%</f>
        <v>421.71140000000003</v>
      </c>
      <c r="W352" s="498"/>
      <c r="X352" s="498"/>
      <c r="Y352" s="498"/>
      <c r="Z352" s="462">
        <f t="shared" si="120"/>
        <v>606.88139999999999</v>
      </c>
      <c r="AA352" s="462">
        <f t="shared" si="121"/>
        <v>3476.8586000000005</v>
      </c>
      <c r="AB352" s="489">
        <v>1000</v>
      </c>
    </row>
    <row r="353" spans="1:30" s="507" customFormat="1" ht="12">
      <c r="A353" s="456">
        <v>19</v>
      </c>
      <c r="B353" s="457" t="s">
        <v>2146</v>
      </c>
      <c r="C353" s="497">
        <v>9901443761</v>
      </c>
      <c r="D353" s="459" t="s">
        <v>2147</v>
      </c>
      <c r="E353" s="460" t="s">
        <v>47</v>
      </c>
      <c r="F353" s="461">
        <v>31</v>
      </c>
      <c r="G353" s="498">
        <v>74.63</v>
      </c>
      <c r="H353" s="462">
        <f t="shared" si="110"/>
        <v>2313.5299999999997</v>
      </c>
      <c r="I353" s="462">
        <f t="shared" si="111"/>
        <v>8955.5999999999985</v>
      </c>
      <c r="J353" s="463">
        <v>4</v>
      </c>
      <c r="K353" s="534">
        <v>75</v>
      </c>
      <c r="L353" s="462">
        <f t="shared" si="112"/>
        <v>1760</v>
      </c>
      <c r="M353" s="462">
        <v>1510</v>
      </c>
      <c r="N353" s="462">
        <v>250</v>
      </c>
      <c r="O353" s="462">
        <f t="shared" si="113"/>
        <v>4148.53</v>
      </c>
      <c r="P353" s="488">
        <f t="shared" si="114"/>
        <v>1274.6333333333332</v>
      </c>
      <c r="Q353" s="489">
        <f t="shared" si="115"/>
        <v>1257.172602739726</v>
      </c>
      <c r="R353" s="489">
        <f t="shared" si="116"/>
        <v>65.753424657534239</v>
      </c>
      <c r="S353" s="490">
        <f t="shared" si="117"/>
        <v>16295.599999999999</v>
      </c>
      <c r="T353" s="490">
        <f t="shared" si="118"/>
        <v>18893.159360730591</v>
      </c>
      <c r="U353" s="491">
        <f t="shared" si="119"/>
        <v>188.3</v>
      </c>
      <c r="V353" s="624">
        <f>(O353-N353)*11%</f>
        <v>428.83829999999995</v>
      </c>
      <c r="W353" s="498"/>
      <c r="X353" s="498"/>
      <c r="Y353" s="498">
        <v>1655.96</v>
      </c>
      <c r="Z353" s="462">
        <f t="shared" si="120"/>
        <v>2273.0983000000001</v>
      </c>
      <c r="AA353" s="462">
        <f t="shared" si="121"/>
        <v>1875.4316999999996</v>
      </c>
      <c r="AB353" s="489">
        <v>1000</v>
      </c>
    </row>
    <row r="354" spans="1:30" s="507" customFormat="1" ht="12">
      <c r="A354" s="456">
        <v>20</v>
      </c>
      <c r="B354" s="457" t="s">
        <v>2148</v>
      </c>
      <c r="C354" s="497">
        <v>9901442672</v>
      </c>
      <c r="D354" s="459" t="s">
        <v>2149</v>
      </c>
      <c r="E354" s="460" t="s">
        <v>32</v>
      </c>
      <c r="F354" s="461">
        <v>31</v>
      </c>
      <c r="G354" s="498">
        <v>71.400000000000006</v>
      </c>
      <c r="H354" s="462">
        <f t="shared" si="110"/>
        <v>2213.4</v>
      </c>
      <c r="I354" s="462">
        <f t="shared" si="111"/>
        <v>8568</v>
      </c>
      <c r="J354" s="463">
        <v>4</v>
      </c>
      <c r="K354" s="534">
        <v>50</v>
      </c>
      <c r="L354" s="462">
        <f t="shared" si="112"/>
        <v>1760</v>
      </c>
      <c r="M354" s="462">
        <v>1510</v>
      </c>
      <c r="N354" s="462">
        <v>250</v>
      </c>
      <c r="O354" s="462">
        <f t="shared" si="113"/>
        <v>4023.4</v>
      </c>
      <c r="P354" s="488">
        <f t="shared" si="114"/>
        <v>1234</v>
      </c>
      <c r="Q354" s="489">
        <f t="shared" si="115"/>
        <v>1217.0958904109589</v>
      </c>
      <c r="R354" s="489">
        <f t="shared" si="116"/>
        <v>65.753424657534239</v>
      </c>
      <c r="S354" s="490">
        <f t="shared" si="117"/>
        <v>15808</v>
      </c>
      <c r="T354" s="490">
        <f t="shared" si="118"/>
        <v>18324.849315068492</v>
      </c>
      <c r="U354" s="491">
        <f t="shared" si="119"/>
        <v>182.26</v>
      </c>
      <c r="V354" s="498"/>
      <c r="W354" s="498"/>
      <c r="X354" s="498"/>
      <c r="Y354" s="498">
        <v>2012.61</v>
      </c>
      <c r="Z354" s="462">
        <f t="shared" si="120"/>
        <v>2194.87</v>
      </c>
      <c r="AA354" s="462">
        <f t="shared" si="121"/>
        <v>1828.5300000000002</v>
      </c>
      <c r="AB354" s="489">
        <v>1000</v>
      </c>
    </row>
    <row r="355" spans="1:30" s="507" customFormat="1" ht="12">
      <c r="A355" s="456">
        <v>21</v>
      </c>
      <c r="B355" s="466" t="s">
        <v>2150</v>
      </c>
      <c r="C355" s="528">
        <v>9901443703</v>
      </c>
      <c r="D355" s="459" t="s">
        <v>2151</v>
      </c>
      <c r="E355" s="460" t="s">
        <v>132</v>
      </c>
      <c r="F355" s="461">
        <v>31</v>
      </c>
      <c r="G355" s="498">
        <v>75.64</v>
      </c>
      <c r="H355" s="462">
        <f t="shared" si="110"/>
        <v>2344.84</v>
      </c>
      <c r="I355" s="462">
        <f t="shared" si="111"/>
        <v>9076.7999999999993</v>
      </c>
      <c r="J355" s="463">
        <v>4</v>
      </c>
      <c r="K355" s="534">
        <v>75</v>
      </c>
      <c r="L355" s="462">
        <f t="shared" si="112"/>
        <v>1760</v>
      </c>
      <c r="M355" s="462">
        <v>1510</v>
      </c>
      <c r="N355" s="462">
        <v>250</v>
      </c>
      <c r="O355" s="462">
        <f t="shared" si="113"/>
        <v>4179.84</v>
      </c>
      <c r="P355" s="488">
        <f t="shared" si="114"/>
        <v>1284.7333333333333</v>
      </c>
      <c r="Q355" s="489">
        <f t="shared" si="115"/>
        <v>1267.1342465753423</v>
      </c>
      <c r="R355" s="489">
        <f t="shared" si="116"/>
        <v>65.753424657534239</v>
      </c>
      <c r="S355" s="490">
        <f t="shared" si="117"/>
        <v>16416.8</v>
      </c>
      <c r="T355" s="490">
        <f t="shared" si="118"/>
        <v>19034.421004566208</v>
      </c>
      <c r="U355" s="491">
        <f t="shared" si="119"/>
        <v>189.81</v>
      </c>
      <c r="V355" s="498">
        <f>(O355-N355)*11%</f>
        <v>432.2824</v>
      </c>
      <c r="W355" s="498"/>
      <c r="X355" s="498"/>
      <c r="Y355" s="498"/>
      <c r="Z355" s="462">
        <f t="shared" si="120"/>
        <v>622.0924</v>
      </c>
      <c r="AA355" s="462">
        <f t="shared" si="121"/>
        <v>3557.7476000000001</v>
      </c>
      <c r="AB355" s="489">
        <v>1000</v>
      </c>
    </row>
    <row r="356" spans="1:30" s="507" customFormat="1" ht="12">
      <c r="A356" s="456">
        <v>22</v>
      </c>
      <c r="B356" s="457" t="s">
        <v>2152</v>
      </c>
      <c r="C356" s="497">
        <v>9901442416</v>
      </c>
      <c r="D356" s="459" t="s">
        <v>2153</v>
      </c>
      <c r="E356" s="460" t="s">
        <v>44</v>
      </c>
      <c r="F356" s="461">
        <v>31</v>
      </c>
      <c r="G356" s="498">
        <v>72.540000000000006</v>
      </c>
      <c r="H356" s="462">
        <f t="shared" si="110"/>
        <v>2248.7400000000002</v>
      </c>
      <c r="I356" s="462">
        <f t="shared" si="111"/>
        <v>8704.8000000000011</v>
      </c>
      <c r="J356" s="463">
        <v>4</v>
      </c>
      <c r="K356" s="534">
        <v>75</v>
      </c>
      <c r="L356" s="462">
        <f t="shared" si="112"/>
        <v>1760</v>
      </c>
      <c r="M356" s="462">
        <v>1510</v>
      </c>
      <c r="N356" s="462">
        <v>250</v>
      </c>
      <c r="O356" s="462">
        <f t="shared" si="113"/>
        <v>4083.7400000000002</v>
      </c>
      <c r="P356" s="488">
        <f t="shared" si="114"/>
        <v>1253.7333333333333</v>
      </c>
      <c r="Q356" s="489">
        <f t="shared" si="115"/>
        <v>1236.5589041095891</v>
      </c>
      <c r="R356" s="489">
        <f t="shared" si="116"/>
        <v>65.753424657534239</v>
      </c>
      <c r="S356" s="490">
        <f t="shared" si="117"/>
        <v>16044.800000000001</v>
      </c>
      <c r="T356" s="490">
        <f t="shared" si="118"/>
        <v>18600.845662100459</v>
      </c>
      <c r="U356" s="491">
        <f t="shared" si="119"/>
        <v>185.17</v>
      </c>
      <c r="V356" s="498">
        <f>(O356-N356)*11%</f>
        <v>421.71140000000003</v>
      </c>
      <c r="W356" s="498"/>
      <c r="X356" s="498"/>
      <c r="Y356" s="498"/>
      <c r="Z356" s="462">
        <f t="shared" si="120"/>
        <v>606.88139999999999</v>
      </c>
      <c r="AA356" s="462">
        <f t="shared" si="121"/>
        <v>3476.8586000000005</v>
      </c>
      <c r="AB356" s="489">
        <v>1000</v>
      </c>
    </row>
    <row r="357" spans="1:30" s="507" customFormat="1" ht="12">
      <c r="A357" s="456">
        <v>23</v>
      </c>
      <c r="B357" s="457" t="s">
        <v>2154</v>
      </c>
      <c r="C357" s="497">
        <v>9901442989</v>
      </c>
      <c r="D357" s="459" t="s">
        <v>2155</v>
      </c>
      <c r="E357" s="460" t="s">
        <v>47</v>
      </c>
      <c r="F357" s="461">
        <v>31</v>
      </c>
      <c r="G357" s="498">
        <v>74.63</v>
      </c>
      <c r="H357" s="462">
        <f t="shared" si="110"/>
        <v>2313.5299999999997</v>
      </c>
      <c r="I357" s="462">
        <f t="shared" si="111"/>
        <v>8955.5999999999985</v>
      </c>
      <c r="J357" s="463">
        <v>4</v>
      </c>
      <c r="K357" s="534">
        <v>75</v>
      </c>
      <c r="L357" s="462">
        <f t="shared" si="112"/>
        <v>1760</v>
      </c>
      <c r="M357" s="462">
        <v>1510</v>
      </c>
      <c r="N357" s="462">
        <v>250</v>
      </c>
      <c r="O357" s="462">
        <f t="shared" si="113"/>
        <v>4148.53</v>
      </c>
      <c r="P357" s="488">
        <f t="shared" si="114"/>
        <v>1274.6333333333332</v>
      </c>
      <c r="Q357" s="489">
        <f t="shared" si="115"/>
        <v>1257.172602739726</v>
      </c>
      <c r="R357" s="489">
        <f t="shared" si="116"/>
        <v>65.753424657534239</v>
      </c>
      <c r="S357" s="490">
        <f t="shared" si="117"/>
        <v>16295.599999999999</v>
      </c>
      <c r="T357" s="490">
        <f t="shared" si="118"/>
        <v>18893.159360730591</v>
      </c>
      <c r="U357" s="491">
        <f t="shared" si="119"/>
        <v>188.3</v>
      </c>
      <c r="V357" s="498">
        <f>(O357-N357)*11%</f>
        <v>428.83829999999995</v>
      </c>
      <c r="W357" s="498"/>
      <c r="X357" s="498"/>
      <c r="Y357" s="498">
        <v>1382.43</v>
      </c>
      <c r="Z357" s="462">
        <f t="shared" si="120"/>
        <v>1999.5682999999999</v>
      </c>
      <c r="AA357" s="462">
        <f t="shared" si="121"/>
        <v>2148.9616999999998</v>
      </c>
      <c r="AB357" s="489">
        <v>1000</v>
      </c>
    </row>
    <row r="358" spans="1:30" s="507" customFormat="1" ht="12">
      <c r="A358" s="456">
        <v>24</v>
      </c>
      <c r="B358" s="457" t="s">
        <v>2156</v>
      </c>
      <c r="C358" s="497">
        <v>9901443142</v>
      </c>
      <c r="D358" s="459" t="s">
        <v>2157</v>
      </c>
      <c r="E358" s="460" t="s">
        <v>1175</v>
      </c>
      <c r="F358" s="461">
        <v>31</v>
      </c>
      <c r="G358" s="498">
        <v>71.400000000000006</v>
      </c>
      <c r="H358" s="462">
        <f t="shared" si="110"/>
        <v>2213.4</v>
      </c>
      <c r="I358" s="462">
        <f t="shared" si="111"/>
        <v>8568</v>
      </c>
      <c r="J358" s="463">
        <v>4</v>
      </c>
      <c r="K358" s="534">
        <v>50</v>
      </c>
      <c r="L358" s="462">
        <f t="shared" si="112"/>
        <v>1760</v>
      </c>
      <c r="M358" s="462">
        <v>1510</v>
      </c>
      <c r="N358" s="462">
        <v>250</v>
      </c>
      <c r="O358" s="462">
        <f t="shared" si="113"/>
        <v>4023.4</v>
      </c>
      <c r="P358" s="488">
        <f t="shared" si="114"/>
        <v>1234</v>
      </c>
      <c r="Q358" s="489">
        <f t="shared" si="115"/>
        <v>1217.0958904109589</v>
      </c>
      <c r="R358" s="489">
        <f t="shared" si="116"/>
        <v>65.753424657534239</v>
      </c>
      <c r="S358" s="490">
        <f t="shared" si="117"/>
        <v>15808</v>
      </c>
      <c r="T358" s="490">
        <f t="shared" si="118"/>
        <v>18324.849315068492</v>
      </c>
      <c r="U358" s="491">
        <f t="shared" si="119"/>
        <v>182.26</v>
      </c>
      <c r="V358" s="498"/>
      <c r="W358" s="498"/>
      <c r="X358" s="498"/>
      <c r="Y358" s="498">
        <v>1812.5</v>
      </c>
      <c r="Z358" s="462">
        <f t="shared" si="120"/>
        <v>1994.76</v>
      </c>
      <c r="AA358" s="462">
        <f t="shared" si="121"/>
        <v>2028.64</v>
      </c>
      <c r="AB358" s="489">
        <v>1000</v>
      </c>
    </row>
    <row r="359" spans="1:30" s="507" customFormat="1" ht="12">
      <c r="A359" s="456">
        <v>25</v>
      </c>
      <c r="B359" s="457" t="s">
        <v>2158</v>
      </c>
      <c r="C359" s="497">
        <v>9901443893</v>
      </c>
      <c r="D359" s="459" t="s">
        <v>2159</v>
      </c>
      <c r="E359" s="460" t="s">
        <v>39</v>
      </c>
      <c r="F359" s="461">
        <v>31</v>
      </c>
      <c r="G359" s="498">
        <v>78.25</v>
      </c>
      <c r="H359" s="462">
        <f t="shared" si="110"/>
        <v>2425.75</v>
      </c>
      <c r="I359" s="462">
        <f t="shared" si="111"/>
        <v>9390</v>
      </c>
      <c r="J359" s="463">
        <v>4</v>
      </c>
      <c r="K359" s="534">
        <v>75</v>
      </c>
      <c r="L359" s="462">
        <f t="shared" si="112"/>
        <v>1760</v>
      </c>
      <c r="M359" s="462">
        <v>1510</v>
      </c>
      <c r="N359" s="462">
        <v>250</v>
      </c>
      <c r="O359" s="462">
        <f t="shared" si="113"/>
        <v>4260.75</v>
      </c>
      <c r="P359" s="488">
        <f t="shared" si="114"/>
        <v>1310.8333333333333</v>
      </c>
      <c r="Q359" s="489">
        <f t="shared" si="115"/>
        <v>1292.8767123287671</v>
      </c>
      <c r="R359" s="489">
        <f t="shared" si="116"/>
        <v>65.753424657534239</v>
      </c>
      <c r="S359" s="490">
        <f t="shared" si="117"/>
        <v>16730</v>
      </c>
      <c r="T359" s="490">
        <f t="shared" si="118"/>
        <v>19399.463470319632</v>
      </c>
      <c r="U359" s="491">
        <f t="shared" si="119"/>
        <v>193.72</v>
      </c>
      <c r="V359" s="498"/>
      <c r="W359" s="569">
        <v>10</v>
      </c>
      <c r="X359" s="498"/>
      <c r="Y359" s="498">
        <v>1888.58</v>
      </c>
      <c r="Z359" s="462">
        <f t="shared" si="120"/>
        <v>2092.2999999999997</v>
      </c>
      <c r="AA359" s="462">
        <f t="shared" si="121"/>
        <v>2168.4500000000003</v>
      </c>
      <c r="AB359" s="489">
        <v>1000</v>
      </c>
    </row>
    <row r="360" spans="1:30" s="507" customFormat="1" ht="12">
      <c r="A360" s="456">
        <v>26</v>
      </c>
      <c r="B360" s="466" t="s">
        <v>2160</v>
      </c>
      <c r="C360" s="497">
        <v>9901442621</v>
      </c>
      <c r="D360" s="459" t="s">
        <v>2161</v>
      </c>
      <c r="E360" s="460" t="s">
        <v>32</v>
      </c>
      <c r="F360" s="461">
        <v>31</v>
      </c>
      <c r="G360" s="498">
        <v>71.400000000000006</v>
      </c>
      <c r="H360" s="462">
        <f t="shared" si="110"/>
        <v>2213.4</v>
      </c>
      <c r="I360" s="462">
        <f t="shared" si="111"/>
        <v>8568</v>
      </c>
      <c r="J360" s="463">
        <v>4</v>
      </c>
      <c r="K360" s="534">
        <v>50</v>
      </c>
      <c r="L360" s="462">
        <f t="shared" si="112"/>
        <v>1760</v>
      </c>
      <c r="M360" s="462">
        <v>1510</v>
      </c>
      <c r="N360" s="462">
        <v>250</v>
      </c>
      <c r="O360" s="462">
        <f t="shared" si="113"/>
        <v>4023.4</v>
      </c>
      <c r="P360" s="488">
        <f t="shared" si="114"/>
        <v>1234</v>
      </c>
      <c r="Q360" s="489">
        <f t="shared" si="115"/>
        <v>1217.0958904109589</v>
      </c>
      <c r="R360" s="489">
        <f t="shared" si="116"/>
        <v>65.753424657534239</v>
      </c>
      <c r="S360" s="490">
        <f t="shared" si="117"/>
        <v>15808</v>
      </c>
      <c r="T360" s="490">
        <f t="shared" si="118"/>
        <v>18324.849315068492</v>
      </c>
      <c r="U360" s="491">
        <f t="shared" si="119"/>
        <v>182.26</v>
      </c>
      <c r="V360" s="498"/>
      <c r="W360" s="498"/>
      <c r="X360" s="498"/>
      <c r="Y360" s="498">
        <v>1420.93</v>
      </c>
      <c r="Z360" s="462">
        <f t="shared" si="120"/>
        <v>1603.19</v>
      </c>
      <c r="AA360" s="462">
        <f t="shared" si="121"/>
        <v>2420.21</v>
      </c>
      <c r="AB360" s="489">
        <v>1000</v>
      </c>
    </row>
    <row r="361" spans="1:30" s="507" customFormat="1" ht="12">
      <c r="A361" s="456">
        <v>27</v>
      </c>
      <c r="B361" s="466" t="s">
        <v>2162</v>
      </c>
      <c r="C361" s="497">
        <v>9901442853</v>
      </c>
      <c r="D361" s="459" t="s">
        <v>2163</v>
      </c>
      <c r="E361" s="460" t="s">
        <v>47</v>
      </c>
      <c r="F361" s="461">
        <v>31</v>
      </c>
      <c r="G361" s="498">
        <v>74.63</v>
      </c>
      <c r="H361" s="462">
        <f t="shared" si="110"/>
        <v>2313.5299999999997</v>
      </c>
      <c r="I361" s="462">
        <f t="shared" si="111"/>
        <v>8955.5999999999985</v>
      </c>
      <c r="J361" s="463">
        <v>4</v>
      </c>
      <c r="K361" s="534">
        <v>75</v>
      </c>
      <c r="L361" s="462">
        <f t="shared" si="112"/>
        <v>1760</v>
      </c>
      <c r="M361" s="462">
        <v>1510</v>
      </c>
      <c r="N361" s="462">
        <v>250</v>
      </c>
      <c r="O361" s="462">
        <f t="shared" si="113"/>
        <v>4148.53</v>
      </c>
      <c r="P361" s="488">
        <f t="shared" si="114"/>
        <v>1274.6333333333332</v>
      </c>
      <c r="Q361" s="489">
        <f t="shared" si="115"/>
        <v>1257.172602739726</v>
      </c>
      <c r="R361" s="489">
        <f t="shared" si="116"/>
        <v>65.753424657534239</v>
      </c>
      <c r="S361" s="490">
        <f t="shared" si="117"/>
        <v>16295.599999999999</v>
      </c>
      <c r="T361" s="490">
        <f t="shared" si="118"/>
        <v>18893.159360730591</v>
      </c>
      <c r="U361" s="491">
        <f t="shared" si="119"/>
        <v>188.3</v>
      </c>
      <c r="V361" s="498">
        <f t="shared" ref="V361:V366" si="122">(O361-N361)*11%</f>
        <v>428.83829999999995</v>
      </c>
      <c r="W361" s="498"/>
      <c r="X361" s="498"/>
      <c r="Y361" s="498">
        <v>1484.34</v>
      </c>
      <c r="Z361" s="462">
        <f t="shared" si="120"/>
        <v>2101.4782999999998</v>
      </c>
      <c r="AA361" s="462">
        <f t="shared" si="121"/>
        <v>2047.0517</v>
      </c>
      <c r="AB361" s="489">
        <v>1000</v>
      </c>
    </row>
    <row r="362" spans="1:30" s="507" customFormat="1" ht="12">
      <c r="A362" s="456">
        <v>28</v>
      </c>
      <c r="B362" s="457" t="s">
        <v>2164</v>
      </c>
      <c r="C362" s="497">
        <v>9901442438</v>
      </c>
      <c r="D362" s="459" t="s">
        <v>2165</v>
      </c>
      <c r="E362" s="460" t="s">
        <v>32</v>
      </c>
      <c r="F362" s="461">
        <v>31</v>
      </c>
      <c r="G362" s="498">
        <v>71.400000000000006</v>
      </c>
      <c r="H362" s="462">
        <f t="shared" si="110"/>
        <v>2213.4</v>
      </c>
      <c r="I362" s="462">
        <f t="shared" si="111"/>
        <v>8568</v>
      </c>
      <c r="J362" s="463">
        <v>4</v>
      </c>
      <c r="K362" s="534">
        <v>75</v>
      </c>
      <c r="L362" s="462">
        <f t="shared" si="112"/>
        <v>1760</v>
      </c>
      <c r="M362" s="462">
        <v>1510</v>
      </c>
      <c r="N362" s="462">
        <v>250</v>
      </c>
      <c r="O362" s="462">
        <f t="shared" si="113"/>
        <v>4048.4</v>
      </c>
      <c r="P362" s="488">
        <f t="shared" si="114"/>
        <v>1242.3333333333333</v>
      </c>
      <c r="Q362" s="489">
        <f t="shared" si="115"/>
        <v>1225.3150684931506</v>
      </c>
      <c r="R362" s="489">
        <f t="shared" si="116"/>
        <v>65.753424657534239</v>
      </c>
      <c r="S362" s="490">
        <f t="shared" si="117"/>
        <v>15908</v>
      </c>
      <c r="T362" s="490">
        <f t="shared" si="118"/>
        <v>18441.401826484016</v>
      </c>
      <c r="U362" s="491">
        <f t="shared" si="119"/>
        <v>183.46</v>
      </c>
      <c r="V362" s="498">
        <f t="shared" si="122"/>
        <v>417.82400000000001</v>
      </c>
      <c r="W362" s="498"/>
      <c r="X362" s="498"/>
      <c r="Y362" s="498"/>
      <c r="Z362" s="462">
        <f t="shared" si="120"/>
        <v>601.28399999999999</v>
      </c>
      <c r="AA362" s="462">
        <f t="shared" si="121"/>
        <v>3447.116</v>
      </c>
      <c r="AB362" s="489">
        <v>1000</v>
      </c>
    </row>
    <row r="363" spans="1:30" s="507" customFormat="1" ht="12">
      <c r="A363" s="456">
        <v>29</v>
      </c>
      <c r="B363" s="466" t="s">
        <v>2166</v>
      </c>
      <c r="C363" s="497">
        <v>9901442993</v>
      </c>
      <c r="D363" s="459" t="s">
        <v>2167</v>
      </c>
      <c r="E363" s="460" t="s">
        <v>50</v>
      </c>
      <c r="F363" s="461">
        <v>31</v>
      </c>
      <c r="G363" s="498">
        <v>74.63</v>
      </c>
      <c r="H363" s="462">
        <f t="shared" si="110"/>
        <v>2313.5299999999997</v>
      </c>
      <c r="I363" s="462">
        <f t="shared" si="111"/>
        <v>8955.5999999999985</v>
      </c>
      <c r="J363" s="463">
        <v>4</v>
      </c>
      <c r="K363" s="468">
        <v>50</v>
      </c>
      <c r="L363" s="462">
        <f t="shared" si="112"/>
        <v>1760</v>
      </c>
      <c r="M363" s="462">
        <v>1510</v>
      </c>
      <c r="N363" s="462">
        <v>250</v>
      </c>
      <c r="O363" s="462">
        <f t="shared" si="113"/>
        <v>4123.53</v>
      </c>
      <c r="P363" s="488">
        <f t="shared" si="114"/>
        <v>1266.3</v>
      </c>
      <c r="Q363" s="489">
        <f t="shared" si="115"/>
        <v>1248.9534246575342</v>
      </c>
      <c r="R363" s="489">
        <f t="shared" si="116"/>
        <v>65.753424657534239</v>
      </c>
      <c r="S363" s="490">
        <f t="shared" si="117"/>
        <v>16195.599999999999</v>
      </c>
      <c r="T363" s="490">
        <f t="shared" si="118"/>
        <v>18776.606849315067</v>
      </c>
      <c r="U363" s="491">
        <f t="shared" si="119"/>
        <v>187.09</v>
      </c>
      <c r="V363" s="498">
        <f t="shared" si="122"/>
        <v>426.08829999999995</v>
      </c>
      <c r="W363" s="498"/>
      <c r="X363" s="498"/>
      <c r="Y363" s="498">
        <v>1905.26</v>
      </c>
      <c r="Z363" s="462">
        <f t="shared" si="120"/>
        <v>2518.4383000000003</v>
      </c>
      <c r="AA363" s="462">
        <f t="shared" si="121"/>
        <v>1605.0916999999995</v>
      </c>
      <c r="AB363" s="489">
        <v>1000</v>
      </c>
      <c r="AD363" s="507" t="s">
        <v>354</v>
      </c>
    </row>
    <row r="364" spans="1:30" s="507" customFormat="1" ht="12">
      <c r="A364" s="456">
        <v>30</v>
      </c>
      <c r="B364" s="457" t="s">
        <v>2168</v>
      </c>
      <c r="C364" s="497">
        <v>9901442892</v>
      </c>
      <c r="D364" s="459" t="s">
        <v>2169</v>
      </c>
      <c r="E364" s="460" t="s">
        <v>32</v>
      </c>
      <c r="F364" s="461">
        <v>31</v>
      </c>
      <c r="G364" s="498">
        <v>71.400000000000006</v>
      </c>
      <c r="H364" s="462">
        <f t="shared" si="110"/>
        <v>2213.4</v>
      </c>
      <c r="I364" s="462">
        <f t="shared" si="111"/>
        <v>8568</v>
      </c>
      <c r="J364" s="463">
        <v>4</v>
      </c>
      <c r="K364" s="534">
        <v>75</v>
      </c>
      <c r="L364" s="462">
        <f t="shared" si="112"/>
        <v>1760</v>
      </c>
      <c r="M364" s="462">
        <v>1510</v>
      </c>
      <c r="N364" s="462">
        <v>250</v>
      </c>
      <c r="O364" s="462">
        <f t="shared" si="113"/>
        <v>4048.4</v>
      </c>
      <c r="P364" s="488">
        <f t="shared" si="114"/>
        <v>1242.3333333333333</v>
      </c>
      <c r="Q364" s="489">
        <f t="shared" si="115"/>
        <v>1225.3150684931506</v>
      </c>
      <c r="R364" s="489">
        <f t="shared" si="116"/>
        <v>65.753424657534239</v>
      </c>
      <c r="S364" s="490">
        <f t="shared" si="117"/>
        <v>15908</v>
      </c>
      <c r="T364" s="490">
        <f t="shared" si="118"/>
        <v>18441.401826484016</v>
      </c>
      <c r="U364" s="491">
        <f t="shared" si="119"/>
        <v>183.46</v>
      </c>
      <c r="V364" s="498">
        <f t="shared" si="122"/>
        <v>417.82400000000001</v>
      </c>
      <c r="W364" s="498"/>
      <c r="X364" s="498"/>
      <c r="Y364" s="498"/>
      <c r="Z364" s="462">
        <f t="shared" si="120"/>
        <v>601.28399999999999</v>
      </c>
      <c r="AA364" s="462">
        <f t="shared" si="121"/>
        <v>3447.116</v>
      </c>
      <c r="AB364" s="489">
        <v>1000</v>
      </c>
    </row>
    <row r="365" spans="1:30" s="507" customFormat="1" ht="12">
      <c r="A365" s="456">
        <v>31</v>
      </c>
      <c r="B365" s="457" t="s">
        <v>2170</v>
      </c>
      <c r="C365" s="497">
        <v>9901443136</v>
      </c>
      <c r="D365" s="459" t="s">
        <v>2171</v>
      </c>
      <c r="E365" s="460" t="s">
        <v>46</v>
      </c>
      <c r="F365" s="461">
        <v>31</v>
      </c>
      <c r="G365" s="498">
        <v>73.59</v>
      </c>
      <c r="H365" s="462">
        <f t="shared" si="110"/>
        <v>2281.29</v>
      </c>
      <c r="I365" s="462">
        <f t="shared" si="111"/>
        <v>8830.8000000000011</v>
      </c>
      <c r="J365" s="463">
        <v>4</v>
      </c>
      <c r="K365" s="534">
        <v>75</v>
      </c>
      <c r="L365" s="462">
        <f t="shared" si="112"/>
        <v>1760</v>
      </c>
      <c r="M365" s="462">
        <v>1510</v>
      </c>
      <c r="N365" s="462">
        <v>250</v>
      </c>
      <c r="O365" s="462">
        <f t="shared" si="113"/>
        <v>4116.29</v>
      </c>
      <c r="P365" s="488">
        <f t="shared" si="114"/>
        <v>1264.2333333333333</v>
      </c>
      <c r="Q365" s="489">
        <f t="shared" si="115"/>
        <v>1246.9150684931508</v>
      </c>
      <c r="R365" s="489">
        <f t="shared" si="116"/>
        <v>65.753424657534239</v>
      </c>
      <c r="S365" s="490">
        <f t="shared" si="117"/>
        <v>16170.800000000001</v>
      </c>
      <c r="T365" s="490">
        <f t="shared" si="118"/>
        <v>18747.701826484019</v>
      </c>
      <c r="U365" s="491">
        <f t="shared" si="119"/>
        <v>186.74</v>
      </c>
      <c r="V365" s="498">
        <f t="shared" si="122"/>
        <v>425.2919</v>
      </c>
      <c r="W365" s="498"/>
      <c r="X365" s="498"/>
      <c r="Y365" s="498">
        <v>1485.77</v>
      </c>
      <c r="Z365" s="462">
        <f t="shared" si="120"/>
        <v>2097.8018999999999</v>
      </c>
      <c r="AA365" s="462">
        <f t="shared" si="121"/>
        <v>2018.4881</v>
      </c>
      <c r="AB365" s="489">
        <v>1000</v>
      </c>
    </row>
    <row r="366" spans="1:30" s="507" customFormat="1" ht="12">
      <c r="A366" s="456">
        <v>32</v>
      </c>
      <c r="B366" s="466" t="s">
        <v>2172</v>
      </c>
      <c r="C366" s="497">
        <v>9901442421</v>
      </c>
      <c r="D366" s="459" t="s">
        <v>2173</v>
      </c>
      <c r="E366" s="460" t="s">
        <v>46</v>
      </c>
      <c r="F366" s="461">
        <v>31</v>
      </c>
      <c r="G366" s="498">
        <v>73.59</v>
      </c>
      <c r="H366" s="462">
        <f t="shared" si="110"/>
        <v>2281.29</v>
      </c>
      <c r="I366" s="462">
        <f t="shared" si="111"/>
        <v>8830.8000000000011</v>
      </c>
      <c r="J366" s="463">
        <v>4</v>
      </c>
      <c r="K366" s="534">
        <v>75</v>
      </c>
      <c r="L366" s="462">
        <f t="shared" si="112"/>
        <v>1760</v>
      </c>
      <c r="M366" s="462">
        <v>1510</v>
      </c>
      <c r="N366" s="462">
        <v>250</v>
      </c>
      <c r="O366" s="462">
        <f t="shared" si="113"/>
        <v>4116.29</v>
      </c>
      <c r="P366" s="488">
        <f t="shared" si="114"/>
        <v>1264.2333333333333</v>
      </c>
      <c r="Q366" s="489">
        <f t="shared" si="115"/>
        <v>1246.9150684931508</v>
      </c>
      <c r="R366" s="489">
        <f t="shared" si="116"/>
        <v>65.753424657534239</v>
      </c>
      <c r="S366" s="490">
        <f t="shared" si="117"/>
        <v>16170.800000000001</v>
      </c>
      <c r="T366" s="490">
        <f t="shared" si="118"/>
        <v>18747.701826484019</v>
      </c>
      <c r="U366" s="491">
        <f t="shared" si="119"/>
        <v>186.74</v>
      </c>
      <c r="V366" s="498">
        <f t="shared" si="122"/>
        <v>425.2919</v>
      </c>
      <c r="W366" s="498"/>
      <c r="X366" s="498"/>
      <c r="Y366" s="498">
        <v>1364.81</v>
      </c>
      <c r="Z366" s="462">
        <f t="shared" si="120"/>
        <v>1976.8418999999999</v>
      </c>
      <c r="AA366" s="462">
        <f t="shared" si="121"/>
        <v>2139.4481000000001</v>
      </c>
      <c r="AB366" s="489">
        <v>1000</v>
      </c>
    </row>
    <row r="367" spans="1:30" s="507" customFormat="1" ht="12">
      <c r="A367" s="456">
        <v>33</v>
      </c>
      <c r="B367" s="466" t="s">
        <v>2174</v>
      </c>
      <c r="C367" s="497">
        <v>9901443132</v>
      </c>
      <c r="D367" s="459" t="s">
        <v>2175</v>
      </c>
      <c r="E367" s="460" t="s">
        <v>44</v>
      </c>
      <c r="F367" s="461">
        <v>31</v>
      </c>
      <c r="G367" s="498">
        <v>72.540000000000006</v>
      </c>
      <c r="H367" s="462">
        <f t="shared" si="110"/>
        <v>2248.7400000000002</v>
      </c>
      <c r="I367" s="462">
        <f t="shared" si="111"/>
        <v>8704.8000000000011</v>
      </c>
      <c r="J367" s="463">
        <v>4</v>
      </c>
      <c r="K367" s="534">
        <v>75</v>
      </c>
      <c r="L367" s="462">
        <f t="shared" si="112"/>
        <v>1760</v>
      </c>
      <c r="M367" s="462">
        <v>1510</v>
      </c>
      <c r="N367" s="462">
        <v>250</v>
      </c>
      <c r="O367" s="462">
        <f t="shared" si="113"/>
        <v>4083.7400000000002</v>
      </c>
      <c r="P367" s="488">
        <f t="shared" si="114"/>
        <v>1253.7333333333333</v>
      </c>
      <c r="Q367" s="489">
        <f t="shared" si="115"/>
        <v>1236.5589041095891</v>
      </c>
      <c r="R367" s="489">
        <f t="shared" si="116"/>
        <v>65.753424657534239</v>
      </c>
      <c r="S367" s="490">
        <f t="shared" si="117"/>
        <v>16044.800000000001</v>
      </c>
      <c r="T367" s="490">
        <f t="shared" si="118"/>
        <v>18600.845662100459</v>
      </c>
      <c r="U367" s="491">
        <f t="shared" si="119"/>
        <v>185.17</v>
      </c>
      <c r="V367" s="498"/>
      <c r="W367" s="498"/>
      <c r="X367" s="498"/>
      <c r="Y367" s="498">
        <v>1921.83</v>
      </c>
      <c r="Z367" s="462">
        <f t="shared" si="120"/>
        <v>2107</v>
      </c>
      <c r="AA367" s="462">
        <f t="shared" si="121"/>
        <v>1976.7400000000002</v>
      </c>
      <c r="AB367" s="489">
        <v>1000</v>
      </c>
    </row>
    <row r="368" spans="1:30" s="507" customFormat="1" ht="12">
      <c r="A368" s="456">
        <v>34</v>
      </c>
      <c r="B368" s="457" t="s">
        <v>2176</v>
      </c>
      <c r="C368" s="497">
        <v>9901442422</v>
      </c>
      <c r="D368" s="459" t="s">
        <v>2177</v>
      </c>
      <c r="E368" s="460" t="s">
        <v>78</v>
      </c>
      <c r="F368" s="461">
        <v>31</v>
      </c>
      <c r="G368" s="498">
        <v>72.540000000000006</v>
      </c>
      <c r="H368" s="462">
        <f t="shared" si="110"/>
        <v>2248.7400000000002</v>
      </c>
      <c r="I368" s="462">
        <f t="shared" si="111"/>
        <v>8704.8000000000011</v>
      </c>
      <c r="J368" s="463">
        <v>4</v>
      </c>
      <c r="K368" s="534">
        <v>75</v>
      </c>
      <c r="L368" s="462">
        <f t="shared" si="112"/>
        <v>1760</v>
      </c>
      <c r="M368" s="462">
        <v>1510</v>
      </c>
      <c r="N368" s="462">
        <v>250</v>
      </c>
      <c r="O368" s="462">
        <f t="shared" si="113"/>
        <v>4083.7400000000002</v>
      </c>
      <c r="P368" s="488">
        <f t="shared" si="114"/>
        <v>1253.7333333333333</v>
      </c>
      <c r="Q368" s="489">
        <f t="shared" si="115"/>
        <v>1236.5589041095891</v>
      </c>
      <c r="R368" s="489">
        <f t="shared" si="116"/>
        <v>65.753424657534239</v>
      </c>
      <c r="S368" s="490">
        <f t="shared" si="117"/>
        <v>16044.800000000001</v>
      </c>
      <c r="T368" s="490">
        <f t="shared" si="118"/>
        <v>18600.845662100459</v>
      </c>
      <c r="U368" s="491">
        <f t="shared" si="119"/>
        <v>185.17</v>
      </c>
      <c r="V368" s="498">
        <f>(O368-N368)*11%</f>
        <v>421.71140000000003</v>
      </c>
      <c r="W368" s="498"/>
      <c r="X368" s="498"/>
      <c r="Y368" s="498"/>
      <c r="Z368" s="462">
        <f t="shared" si="120"/>
        <v>606.88139999999999</v>
      </c>
      <c r="AA368" s="462">
        <f t="shared" si="121"/>
        <v>3476.8586000000005</v>
      </c>
      <c r="AB368" s="489">
        <v>1000</v>
      </c>
    </row>
    <row r="369" spans="1:30" s="507" customFormat="1" ht="12">
      <c r="A369" s="456">
        <v>35</v>
      </c>
      <c r="B369" s="457" t="s">
        <v>2178</v>
      </c>
      <c r="C369" s="497">
        <v>9901451051</v>
      </c>
      <c r="D369" s="459" t="s">
        <v>2179</v>
      </c>
      <c r="E369" s="460" t="s">
        <v>35</v>
      </c>
      <c r="F369" s="461">
        <v>31</v>
      </c>
      <c r="G369" s="498">
        <v>71.400000000000006</v>
      </c>
      <c r="H369" s="462">
        <f t="shared" si="110"/>
        <v>2213.4</v>
      </c>
      <c r="I369" s="462">
        <f t="shared" si="111"/>
        <v>8568</v>
      </c>
      <c r="J369" s="463">
        <v>4</v>
      </c>
      <c r="K369" s="534"/>
      <c r="L369" s="462">
        <f t="shared" si="112"/>
        <v>1760</v>
      </c>
      <c r="M369" s="462">
        <v>1510</v>
      </c>
      <c r="N369" s="462">
        <v>250</v>
      </c>
      <c r="O369" s="462">
        <f t="shared" si="113"/>
        <v>3973.4</v>
      </c>
      <c r="P369" s="488">
        <f t="shared" si="114"/>
        <v>1217.3333333333333</v>
      </c>
      <c r="Q369" s="489">
        <f t="shared" si="115"/>
        <v>1200.6575342465753</v>
      </c>
      <c r="R369" s="489">
        <f t="shared" si="116"/>
        <v>65.753424657534239</v>
      </c>
      <c r="S369" s="490">
        <f t="shared" si="117"/>
        <v>15608</v>
      </c>
      <c r="T369" s="490">
        <f t="shared" si="118"/>
        <v>18091.744292237443</v>
      </c>
      <c r="U369" s="491">
        <f t="shared" si="119"/>
        <v>179.84</v>
      </c>
      <c r="V369" s="498"/>
      <c r="W369" s="569">
        <v>10</v>
      </c>
      <c r="X369" s="498"/>
      <c r="Y369" s="498"/>
      <c r="Z369" s="462">
        <f t="shared" si="120"/>
        <v>189.84</v>
      </c>
      <c r="AA369" s="462">
        <f t="shared" si="121"/>
        <v>3783.56</v>
      </c>
      <c r="AB369" s="489">
        <v>1000</v>
      </c>
    </row>
    <row r="370" spans="1:30" s="507" customFormat="1" ht="12">
      <c r="A370" s="456">
        <v>36</v>
      </c>
      <c r="B370" s="466" t="s">
        <v>2180</v>
      </c>
      <c r="C370" s="497">
        <v>9901442784</v>
      </c>
      <c r="D370" s="459" t="s">
        <v>2181</v>
      </c>
      <c r="E370" s="460" t="s">
        <v>1175</v>
      </c>
      <c r="F370" s="461">
        <v>31</v>
      </c>
      <c r="G370" s="498">
        <v>71.400000000000006</v>
      </c>
      <c r="H370" s="462">
        <f t="shared" si="110"/>
        <v>2213.4</v>
      </c>
      <c r="I370" s="462">
        <f t="shared" si="111"/>
        <v>8568</v>
      </c>
      <c r="J370" s="463">
        <v>4</v>
      </c>
      <c r="K370" s="534">
        <v>75</v>
      </c>
      <c r="L370" s="462">
        <f t="shared" si="112"/>
        <v>1760</v>
      </c>
      <c r="M370" s="462">
        <v>1510</v>
      </c>
      <c r="N370" s="462">
        <v>250</v>
      </c>
      <c r="O370" s="462">
        <f t="shared" si="113"/>
        <v>4048.4</v>
      </c>
      <c r="P370" s="488">
        <f t="shared" si="114"/>
        <v>1242.3333333333333</v>
      </c>
      <c r="Q370" s="489">
        <f t="shared" si="115"/>
        <v>1225.3150684931506</v>
      </c>
      <c r="R370" s="489">
        <f t="shared" si="116"/>
        <v>65.753424657534239</v>
      </c>
      <c r="S370" s="490">
        <f t="shared" si="117"/>
        <v>15908</v>
      </c>
      <c r="T370" s="490">
        <f t="shared" si="118"/>
        <v>18441.401826484016</v>
      </c>
      <c r="U370" s="491">
        <f t="shared" si="119"/>
        <v>183.46</v>
      </c>
      <c r="V370" s="498"/>
      <c r="W370" s="498"/>
      <c r="X370" s="498"/>
      <c r="Y370" s="498">
        <v>3691.06</v>
      </c>
      <c r="Z370" s="462">
        <f t="shared" si="120"/>
        <v>3874.52</v>
      </c>
      <c r="AA370" s="462">
        <f t="shared" si="121"/>
        <v>173.88000000000011</v>
      </c>
      <c r="AB370" s="489">
        <v>1000</v>
      </c>
    </row>
    <row r="371" spans="1:30" s="507" customFormat="1" ht="12">
      <c r="A371" s="456">
        <v>37</v>
      </c>
      <c r="B371" s="466" t="s">
        <v>2182</v>
      </c>
      <c r="C371" s="497">
        <v>9901442425</v>
      </c>
      <c r="D371" s="459" t="s">
        <v>2183</v>
      </c>
      <c r="E371" s="460" t="s">
        <v>67</v>
      </c>
      <c r="F371" s="461">
        <v>31</v>
      </c>
      <c r="G371" s="498">
        <v>73.59</v>
      </c>
      <c r="H371" s="462">
        <f t="shared" si="110"/>
        <v>2281.29</v>
      </c>
      <c r="I371" s="462">
        <f t="shared" si="111"/>
        <v>8830.8000000000011</v>
      </c>
      <c r="J371" s="463">
        <v>4</v>
      </c>
      <c r="K371" s="534">
        <v>75</v>
      </c>
      <c r="L371" s="462">
        <f t="shared" si="112"/>
        <v>1760</v>
      </c>
      <c r="M371" s="462">
        <v>1510</v>
      </c>
      <c r="N371" s="462">
        <v>250</v>
      </c>
      <c r="O371" s="462">
        <f t="shared" si="113"/>
        <v>4116.29</v>
      </c>
      <c r="P371" s="488">
        <f t="shared" si="114"/>
        <v>1264.2333333333333</v>
      </c>
      <c r="Q371" s="489">
        <f t="shared" si="115"/>
        <v>1246.9150684931508</v>
      </c>
      <c r="R371" s="489">
        <f t="shared" si="116"/>
        <v>65.753424657534239</v>
      </c>
      <c r="S371" s="490">
        <f t="shared" si="117"/>
        <v>16170.800000000001</v>
      </c>
      <c r="T371" s="490">
        <f t="shared" si="118"/>
        <v>18747.701826484019</v>
      </c>
      <c r="U371" s="491">
        <f t="shared" si="119"/>
        <v>186.74</v>
      </c>
      <c r="V371" s="498"/>
      <c r="W371" s="498"/>
      <c r="X371" s="498"/>
      <c r="Y371" s="498">
        <v>2005.64</v>
      </c>
      <c r="Z371" s="462">
        <f t="shared" si="120"/>
        <v>2192.38</v>
      </c>
      <c r="AA371" s="462">
        <f t="shared" si="121"/>
        <v>1923.9099999999999</v>
      </c>
      <c r="AB371" s="489">
        <v>1000</v>
      </c>
    </row>
    <row r="372" spans="1:30" s="507" customFormat="1">
      <c r="A372" s="456">
        <v>38</v>
      </c>
      <c r="B372" s="466" t="s">
        <v>2184</v>
      </c>
      <c r="C372" s="4">
        <v>9901442879</v>
      </c>
      <c r="D372" s="459" t="s">
        <v>2185</v>
      </c>
      <c r="E372" s="460" t="s">
        <v>32</v>
      </c>
      <c r="F372" s="461">
        <v>31</v>
      </c>
      <c r="G372" s="498">
        <v>71.400000000000006</v>
      </c>
      <c r="H372" s="462">
        <f t="shared" si="110"/>
        <v>2213.4</v>
      </c>
      <c r="I372" s="462">
        <f t="shared" si="111"/>
        <v>8568</v>
      </c>
      <c r="J372" s="463">
        <v>4</v>
      </c>
      <c r="K372" s="534">
        <v>75</v>
      </c>
      <c r="L372" s="462">
        <f t="shared" si="112"/>
        <v>1760</v>
      </c>
      <c r="M372" s="462">
        <v>1510</v>
      </c>
      <c r="N372" s="462">
        <v>250</v>
      </c>
      <c r="O372" s="462">
        <f t="shared" si="113"/>
        <v>4048.4</v>
      </c>
      <c r="P372" s="488">
        <f t="shared" si="114"/>
        <v>1242.3333333333333</v>
      </c>
      <c r="Q372" s="489">
        <f t="shared" si="115"/>
        <v>1225.3150684931506</v>
      </c>
      <c r="R372" s="489">
        <f t="shared" si="116"/>
        <v>65.753424657534239</v>
      </c>
      <c r="S372" s="490">
        <f t="shared" si="117"/>
        <v>15908</v>
      </c>
      <c r="T372" s="490">
        <f t="shared" si="118"/>
        <v>18441.401826484016</v>
      </c>
      <c r="U372" s="491">
        <f t="shared" si="119"/>
        <v>183.46</v>
      </c>
      <c r="V372" s="498">
        <f>(O372-N372)*11%</f>
        <v>417.82400000000001</v>
      </c>
      <c r="W372" s="498">
        <v>10</v>
      </c>
      <c r="X372" s="498"/>
      <c r="Y372" s="498"/>
      <c r="Z372" s="462">
        <f t="shared" si="120"/>
        <v>611.28399999999999</v>
      </c>
      <c r="AA372" s="462">
        <f t="shared" si="121"/>
        <v>3437.116</v>
      </c>
      <c r="AB372" s="489">
        <v>1000</v>
      </c>
    </row>
    <row r="373" spans="1:30" s="507" customFormat="1" ht="12">
      <c r="A373" s="456">
        <v>39</v>
      </c>
      <c r="B373" s="466" t="s">
        <v>2186</v>
      </c>
      <c r="C373" s="497">
        <v>9901442415</v>
      </c>
      <c r="D373" s="459" t="s">
        <v>2187</v>
      </c>
      <c r="E373" s="460" t="s">
        <v>47</v>
      </c>
      <c r="F373" s="461">
        <v>31</v>
      </c>
      <c r="G373" s="498">
        <v>74.63</v>
      </c>
      <c r="H373" s="462">
        <f t="shared" si="110"/>
        <v>2313.5299999999997</v>
      </c>
      <c r="I373" s="462">
        <f t="shared" si="111"/>
        <v>8955.5999999999985</v>
      </c>
      <c r="J373" s="463">
        <v>4</v>
      </c>
      <c r="K373" s="534">
        <v>75</v>
      </c>
      <c r="L373" s="462">
        <f t="shared" si="112"/>
        <v>1760</v>
      </c>
      <c r="M373" s="462">
        <v>1510</v>
      </c>
      <c r="N373" s="462">
        <v>250</v>
      </c>
      <c r="O373" s="462">
        <f t="shared" si="113"/>
        <v>4148.53</v>
      </c>
      <c r="P373" s="488">
        <f t="shared" si="114"/>
        <v>1274.6333333333332</v>
      </c>
      <c r="Q373" s="489">
        <f t="shared" si="115"/>
        <v>1257.172602739726</v>
      </c>
      <c r="R373" s="489">
        <f t="shared" si="116"/>
        <v>65.753424657534239</v>
      </c>
      <c r="S373" s="490">
        <f t="shared" si="117"/>
        <v>16295.599999999999</v>
      </c>
      <c r="T373" s="490">
        <f t="shared" si="118"/>
        <v>18893.159360730591</v>
      </c>
      <c r="U373" s="491">
        <f t="shared" si="119"/>
        <v>188.3</v>
      </c>
      <c r="V373" s="498">
        <f>(O373-N373)*11%</f>
        <v>428.83829999999995</v>
      </c>
      <c r="W373" s="498"/>
      <c r="X373" s="498"/>
      <c r="Y373" s="498"/>
      <c r="Z373" s="462">
        <f t="shared" si="120"/>
        <v>617.13829999999996</v>
      </c>
      <c r="AA373" s="462">
        <f t="shared" si="121"/>
        <v>3531.3916999999997</v>
      </c>
      <c r="AB373" s="489">
        <v>1000</v>
      </c>
    </row>
    <row r="374" spans="1:30" s="507" customFormat="1" ht="12">
      <c r="A374" s="456">
        <v>40</v>
      </c>
      <c r="B374" s="466" t="s">
        <v>2188</v>
      </c>
      <c r="C374" s="497">
        <v>9901442659</v>
      </c>
      <c r="D374" s="459" t="s">
        <v>2189</v>
      </c>
      <c r="E374" s="460" t="s">
        <v>1175</v>
      </c>
      <c r="F374" s="461">
        <v>31</v>
      </c>
      <c r="G374" s="498">
        <v>71.400000000000006</v>
      </c>
      <c r="H374" s="462">
        <f t="shared" si="110"/>
        <v>2213.4</v>
      </c>
      <c r="I374" s="462">
        <f t="shared" si="111"/>
        <v>8568</v>
      </c>
      <c r="J374" s="463">
        <v>4</v>
      </c>
      <c r="K374" s="534">
        <v>75</v>
      </c>
      <c r="L374" s="462">
        <f t="shared" si="112"/>
        <v>1760</v>
      </c>
      <c r="M374" s="462">
        <v>1510</v>
      </c>
      <c r="N374" s="462">
        <v>250</v>
      </c>
      <c r="O374" s="462">
        <f t="shared" si="113"/>
        <v>4048.4</v>
      </c>
      <c r="P374" s="488">
        <f t="shared" si="114"/>
        <v>1242.3333333333333</v>
      </c>
      <c r="Q374" s="489">
        <f t="shared" si="115"/>
        <v>1225.3150684931506</v>
      </c>
      <c r="R374" s="489">
        <f t="shared" si="116"/>
        <v>65.753424657534239</v>
      </c>
      <c r="S374" s="490">
        <f t="shared" si="117"/>
        <v>15908</v>
      </c>
      <c r="T374" s="490">
        <f t="shared" si="118"/>
        <v>18441.401826484016</v>
      </c>
      <c r="U374" s="491">
        <f t="shared" si="119"/>
        <v>183.46</v>
      </c>
      <c r="V374" s="498">
        <f>(O374-N374)*11%</f>
        <v>417.82400000000001</v>
      </c>
      <c r="W374" s="498"/>
      <c r="X374" s="498"/>
      <c r="Y374" s="498"/>
      <c r="Z374" s="462">
        <f t="shared" si="120"/>
        <v>601.28399999999999</v>
      </c>
      <c r="AA374" s="462">
        <f t="shared" si="121"/>
        <v>3447.116</v>
      </c>
      <c r="AB374" s="489">
        <v>1000</v>
      </c>
    </row>
    <row r="375" spans="1:30" s="507" customFormat="1" ht="12">
      <c r="A375" s="456">
        <v>41</v>
      </c>
      <c r="B375" s="457" t="s">
        <v>2190</v>
      </c>
      <c r="C375" s="497">
        <v>9901442674</v>
      </c>
      <c r="D375" s="459" t="s">
        <v>2191</v>
      </c>
      <c r="E375" s="460" t="s">
        <v>1175</v>
      </c>
      <c r="F375" s="461">
        <v>31</v>
      </c>
      <c r="G375" s="498">
        <v>71.400000000000006</v>
      </c>
      <c r="H375" s="462">
        <f t="shared" si="110"/>
        <v>2213.4</v>
      </c>
      <c r="I375" s="462">
        <f t="shared" si="111"/>
        <v>8568</v>
      </c>
      <c r="J375" s="463">
        <v>4</v>
      </c>
      <c r="K375" s="534">
        <v>50</v>
      </c>
      <c r="L375" s="462">
        <f t="shared" si="112"/>
        <v>1760</v>
      </c>
      <c r="M375" s="462">
        <v>1510</v>
      </c>
      <c r="N375" s="462">
        <v>250</v>
      </c>
      <c r="O375" s="462">
        <f t="shared" si="113"/>
        <v>4023.4</v>
      </c>
      <c r="P375" s="488">
        <f t="shared" si="114"/>
        <v>1234</v>
      </c>
      <c r="Q375" s="489">
        <f t="shared" si="115"/>
        <v>1217.0958904109589</v>
      </c>
      <c r="R375" s="489">
        <f t="shared" si="116"/>
        <v>65.753424657534239</v>
      </c>
      <c r="S375" s="490">
        <f t="shared" si="117"/>
        <v>15808</v>
      </c>
      <c r="T375" s="490">
        <f t="shared" si="118"/>
        <v>18324.849315068492</v>
      </c>
      <c r="U375" s="491">
        <f t="shared" si="119"/>
        <v>182.26</v>
      </c>
      <c r="V375" s="498"/>
      <c r="W375" s="498"/>
      <c r="X375" s="498"/>
      <c r="Y375" s="498">
        <v>2005.64</v>
      </c>
      <c r="Z375" s="462">
        <f t="shared" si="120"/>
        <v>2187.9</v>
      </c>
      <c r="AA375" s="462">
        <f t="shared" si="121"/>
        <v>1835.5</v>
      </c>
      <c r="AB375" s="489">
        <v>1000</v>
      </c>
    </row>
    <row r="376" spans="1:30" s="507" customFormat="1" ht="12">
      <c r="A376" s="456">
        <v>42</v>
      </c>
      <c r="B376" s="466" t="s">
        <v>2192</v>
      </c>
      <c r="C376" s="497">
        <v>9901442850</v>
      </c>
      <c r="D376" s="459" t="s">
        <v>2193</v>
      </c>
      <c r="E376" s="460" t="s">
        <v>44</v>
      </c>
      <c r="F376" s="461">
        <v>31</v>
      </c>
      <c r="G376" s="498">
        <v>72.540000000000006</v>
      </c>
      <c r="H376" s="462">
        <f t="shared" si="110"/>
        <v>2248.7400000000002</v>
      </c>
      <c r="I376" s="462">
        <f t="shared" si="111"/>
        <v>8704.8000000000011</v>
      </c>
      <c r="J376" s="463">
        <v>4</v>
      </c>
      <c r="K376" s="534">
        <v>75</v>
      </c>
      <c r="L376" s="462">
        <f t="shared" si="112"/>
        <v>1760</v>
      </c>
      <c r="M376" s="462">
        <v>1510</v>
      </c>
      <c r="N376" s="462">
        <v>250</v>
      </c>
      <c r="O376" s="462">
        <f t="shared" si="113"/>
        <v>4083.7400000000002</v>
      </c>
      <c r="P376" s="488">
        <f t="shared" si="114"/>
        <v>1253.7333333333333</v>
      </c>
      <c r="Q376" s="489">
        <f t="shared" si="115"/>
        <v>1236.5589041095891</v>
      </c>
      <c r="R376" s="489">
        <f t="shared" si="116"/>
        <v>65.753424657534239</v>
      </c>
      <c r="S376" s="490">
        <f t="shared" si="117"/>
        <v>16044.800000000001</v>
      </c>
      <c r="T376" s="490">
        <f t="shared" si="118"/>
        <v>18600.845662100459</v>
      </c>
      <c r="U376" s="491">
        <f t="shared" si="119"/>
        <v>185.17</v>
      </c>
      <c r="V376" s="498"/>
      <c r="W376" s="498"/>
      <c r="X376" s="498"/>
      <c r="Y376" s="498">
        <v>1850.64</v>
      </c>
      <c r="Z376" s="462">
        <f t="shared" si="120"/>
        <v>2035.8100000000002</v>
      </c>
      <c r="AA376" s="462">
        <f t="shared" si="121"/>
        <v>2047.93</v>
      </c>
      <c r="AB376" s="489">
        <v>1000</v>
      </c>
    </row>
    <row r="377" spans="1:30" s="507" customFormat="1" ht="12">
      <c r="A377" s="456">
        <v>43</v>
      </c>
      <c r="B377" s="457" t="s">
        <v>2194</v>
      </c>
      <c r="C377" s="497">
        <v>9901442637</v>
      </c>
      <c r="D377" s="459" t="s">
        <v>2195</v>
      </c>
      <c r="E377" s="460" t="s">
        <v>44</v>
      </c>
      <c r="F377" s="461">
        <v>31</v>
      </c>
      <c r="G377" s="498">
        <v>72.540000000000006</v>
      </c>
      <c r="H377" s="462">
        <f t="shared" si="110"/>
        <v>2248.7400000000002</v>
      </c>
      <c r="I377" s="462">
        <f t="shared" si="111"/>
        <v>8704.8000000000011</v>
      </c>
      <c r="J377" s="463">
        <v>4</v>
      </c>
      <c r="K377" s="534">
        <v>75</v>
      </c>
      <c r="L377" s="462">
        <f t="shared" si="112"/>
        <v>1760</v>
      </c>
      <c r="M377" s="462">
        <v>1510</v>
      </c>
      <c r="N377" s="462">
        <v>250</v>
      </c>
      <c r="O377" s="462">
        <f t="shared" si="113"/>
        <v>4083.7400000000002</v>
      </c>
      <c r="P377" s="488">
        <f t="shared" si="114"/>
        <v>1253.7333333333333</v>
      </c>
      <c r="Q377" s="489">
        <f t="shared" si="115"/>
        <v>1236.5589041095891</v>
      </c>
      <c r="R377" s="489">
        <f t="shared" si="116"/>
        <v>65.753424657534239</v>
      </c>
      <c r="S377" s="490">
        <f t="shared" si="117"/>
        <v>16044.800000000001</v>
      </c>
      <c r="T377" s="490">
        <f t="shared" si="118"/>
        <v>18600.845662100459</v>
      </c>
      <c r="U377" s="491">
        <f t="shared" si="119"/>
        <v>185.17</v>
      </c>
      <c r="V377" s="498"/>
      <c r="W377" s="498"/>
      <c r="X377" s="498"/>
      <c r="Y377" s="498"/>
      <c r="Z377" s="462">
        <f t="shared" si="120"/>
        <v>185.17</v>
      </c>
      <c r="AA377" s="462">
        <f t="shared" si="121"/>
        <v>3898.57</v>
      </c>
      <c r="AB377" s="489">
        <v>1000</v>
      </c>
    </row>
    <row r="378" spans="1:30" s="507" customFormat="1" ht="12">
      <c r="A378" s="456">
        <v>44</v>
      </c>
      <c r="B378" s="457" t="s">
        <v>2196</v>
      </c>
      <c r="C378" s="497">
        <v>9901442441</v>
      </c>
      <c r="D378" s="459" t="s">
        <v>2197</v>
      </c>
      <c r="E378" s="460" t="s">
        <v>1175</v>
      </c>
      <c r="F378" s="461">
        <v>31</v>
      </c>
      <c r="G378" s="498">
        <v>71.400000000000006</v>
      </c>
      <c r="H378" s="462">
        <f t="shared" si="110"/>
        <v>2213.4</v>
      </c>
      <c r="I378" s="462">
        <f t="shared" si="111"/>
        <v>8568</v>
      </c>
      <c r="J378" s="463">
        <v>4</v>
      </c>
      <c r="K378" s="534">
        <v>75</v>
      </c>
      <c r="L378" s="462">
        <f t="shared" si="112"/>
        <v>1760</v>
      </c>
      <c r="M378" s="462">
        <v>1510</v>
      </c>
      <c r="N378" s="462">
        <v>250</v>
      </c>
      <c r="O378" s="462">
        <f t="shared" si="113"/>
        <v>4048.4</v>
      </c>
      <c r="P378" s="488">
        <f t="shared" si="114"/>
        <v>1242.3333333333333</v>
      </c>
      <c r="Q378" s="489">
        <f t="shared" si="115"/>
        <v>1225.3150684931506</v>
      </c>
      <c r="R378" s="489">
        <f t="shared" si="116"/>
        <v>65.753424657534239</v>
      </c>
      <c r="S378" s="490">
        <f t="shared" si="117"/>
        <v>15908</v>
      </c>
      <c r="T378" s="490">
        <f t="shared" si="118"/>
        <v>18441.401826484016</v>
      </c>
      <c r="U378" s="491">
        <f t="shared" si="119"/>
        <v>183.46</v>
      </c>
      <c r="V378" s="498"/>
      <c r="W378" s="498"/>
      <c r="X378" s="498"/>
      <c r="Y378" s="498">
        <v>1527.84</v>
      </c>
      <c r="Z378" s="462">
        <f t="shared" si="120"/>
        <v>1711.3</v>
      </c>
      <c r="AA378" s="462">
        <f t="shared" si="121"/>
        <v>2337.1000000000004</v>
      </c>
      <c r="AB378" s="489">
        <v>1000</v>
      </c>
    </row>
    <row r="379" spans="1:30" s="507" customFormat="1" ht="12">
      <c r="A379" s="456">
        <v>45</v>
      </c>
      <c r="B379" s="457" t="s">
        <v>2198</v>
      </c>
      <c r="C379" s="497">
        <v>9901442647</v>
      </c>
      <c r="D379" s="459" t="s">
        <v>2199</v>
      </c>
      <c r="E379" s="460" t="s">
        <v>32</v>
      </c>
      <c r="F379" s="461">
        <v>31</v>
      </c>
      <c r="G379" s="498">
        <v>71.400000000000006</v>
      </c>
      <c r="H379" s="462">
        <f t="shared" si="110"/>
        <v>2213.4</v>
      </c>
      <c r="I379" s="462">
        <f t="shared" si="111"/>
        <v>8568</v>
      </c>
      <c r="J379" s="463">
        <v>4</v>
      </c>
      <c r="K379" s="468">
        <v>50</v>
      </c>
      <c r="L379" s="462">
        <f t="shared" si="112"/>
        <v>1760</v>
      </c>
      <c r="M379" s="462">
        <v>1510</v>
      </c>
      <c r="N379" s="462">
        <v>250</v>
      </c>
      <c r="O379" s="462">
        <f t="shared" si="113"/>
        <v>4023.4</v>
      </c>
      <c r="P379" s="488">
        <f t="shared" si="114"/>
        <v>1234</v>
      </c>
      <c r="Q379" s="489">
        <f t="shared" si="115"/>
        <v>1217.0958904109589</v>
      </c>
      <c r="R379" s="489">
        <f t="shared" si="116"/>
        <v>65.753424657534239</v>
      </c>
      <c r="S379" s="490">
        <f t="shared" si="117"/>
        <v>15808</v>
      </c>
      <c r="T379" s="490">
        <f t="shared" si="118"/>
        <v>18324.849315068492</v>
      </c>
      <c r="U379" s="491">
        <f t="shared" si="119"/>
        <v>182.26</v>
      </c>
      <c r="V379" s="498"/>
      <c r="W379" s="498"/>
      <c r="X379" s="498"/>
      <c r="Y379" s="498"/>
      <c r="Z379" s="462">
        <f t="shared" si="120"/>
        <v>182.26</v>
      </c>
      <c r="AA379" s="462">
        <f t="shared" si="121"/>
        <v>3841.1400000000003</v>
      </c>
      <c r="AB379" s="489">
        <v>1000</v>
      </c>
      <c r="AD379" s="507" t="s">
        <v>354</v>
      </c>
    </row>
    <row r="380" spans="1:30" s="507" customFormat="1" ht="12">
      <c r="A380" s="456">
        <v>46</v>
      </c>
      <c r="B380" s="466" t="s">
        <v>2200</v>
      </c>
      <c r="C380" s="497">
        <v>9901442812</v>
      </c>
      <c r="D380" s="459" t="s">
        <v>2201</v>
      </c>
      <c r="E380" s="460" t="s">
        <v>47</v>
      </c>
      <c r="F380" s="461">
        <v>31</v>
      </c>
      <c r="G380" s="498">
        <v>74.63</v>
      </c>
      <c r="H380" s="462">
        <f t="shared" si="110"/>
        <v>2313.5299999999997</v>
      </c>
      <c r="I380" s="462">
        <f t="shared" si="111"/>
        <v>8955.5999999999985</v>
      </c>
      <c r="J380" s="463">
        <v>4</v>
      </c>
      <c r="K380" s="534">
        <v>75</v>
      </c>
      <c r="L380" s="462">
        <f t="shared" si="112"/>
        <v>1760</v>
      </c>
      <c r="M380" s="462">
        <v>1510</v>
      </c>
      <c r="N380" s="462">
        <v>250</v>
      </c>
      <c r="O380" s="462">
        <f t="shared" si="113"/>
        <v>4148.53</v>
      </c>
      <c r="P380" s="488">
        <f t="shared" si="114"/>
        <v>1274.6333333333332</v>
      </c>
      <c r="Q380" s="489">
        <f t="shared" si="115"/>
        <v>1257.172602739726</v>
      </c>
      <c r="R380" s="489">
        <f t="shared" si="116"/>
        <v>65.753424657534239</v>
      </c>
      <c r="S380" s="490">
        <f t="shared" si="117"/>
        <v>16295.599999999999</v>
      </c>
      <c r="T380" s="490">
        <f t="shared" si="118"/>
        <v>18893.159360730591</v>
      </c>
      <c r="U380" s="491">
        <f t="shared" si="119"/>
        <v>188.3</v>
      </c>
      <c r="V380" s="498"/>
      <c r="W380" s="498"/>
      <c r="X380" s="498"/>
      <c r="Y380" s="498"/>
      <c r="Z380" s="462">
        <f t="shared" si="120"/>
        <v>188.3</v>
      </c>
      <c r="AA380" s="462">
        <f t="shared" si="121"/>
        <v>3960.2299999999996</v>
      </c>
      <c r="AB380" s="489">
        <v>1000</v>
      </c>
    </row>
    <row r="381" spans="1:30" s="507" customFormat="1" ht="12">
      <c r="A381" s="456">
        <v>47</v>
      </c>
      <c r="B381" s="457" t="s">
        <v>2202</v>
      </c>
      <c r="C381" s="497">
        <v>9901442655</v>
      </c>
      <c r="D381" s="459" t="s">
        <v>2203</v>
      </c>
      <c r="E381" s="460" t="s">
        <v>44</v>
      </c>
      <c r="F381" s="461">
        <v>31</v>
      </c>
      <c r="G381" s="498">
        <v>72.540000000000006</v>
      </c>
      <c r="H381" s="462">
        <f t="shared" si="110"/>
        <v>2248.7400000000002</v>
      </c>
      <c r="I381" s="462">
        <f t="shared" si="111"/>
        <v>8704.8000000000011</v>
      </c>
      <c r="J381" s="463">
        <v>4</v>
      </c>
      <c r="K381" s="534">
        <v>75</v>
      </c>
      <c r="L381" s="462">
        <f t="shared" si="112"/>
        <v>1760</v>
      </c>
      <c r="M381" s="462">
        <v>1510</v>
      </c>
      <c r="N381" s="462">
        <v>250</v>
      </c>
      <c r="O381" s="462">
        <f t="shared" si="113"/>
        <v>4083.7400000000002</v>
      </c>
      <c r="P381" s="488">
        <f t="shared" si="114"/>
        <v>1253.7333333333333</v>
      </c>
      <c r="Q381" s="489">
        <f t="shared" si="115"/>
        <v>1236.5589041095891</v>
      </c>
      <c r="R381" s="489">
        <f t="shared" si="116"/>
        <v>65.753424657534239</v>
      </c>
      <c r="S381" s="490">
        <f t="shared" si="117"/>
        <v>16044.800000000001</v>
      </c>
      <c r="T381" s="490">
        <f t="shared" si="118"/>
        <v>18600.845662100459</v>
      </c>
      <c r="U381" s="491">
        <f t="shared" si="119"/>
        <v>185.17</v>
      </c>
      <c r="V381" s="624">
        <f>(O381-N381)*11%</f>
        <v>421.71140000000003</v>
      </c>
      <c r="W381" s="498"/>
      <c r="X381" s="498"/>
      <c r="Y381" s="498"/>
      <c r="Z381" s="462">
        <f t="shared" si="120"/>
        <v>606.88139999999999</v>
      </c>
      <c r="AA381" s="462">
        <f t="shared" si="121"/>
        <v>3476.8586000000005</v>
      </c>
      <c r="AB381" s="489">
        <v>1000</v>
      </c>
    </row>
    <row r="382" spans="1:30" s="507" customFormat="1" ht="12">
      <c r="A382" s="456">
        <v>48</v>
      </c>
      <c r="B382" s="466" t="s">
        <v>2204</v>
      </c>
      <c r="C382" s="497">
        <v>9901443137</v>
      </c>
      <c r="D382" s="459" t="s">
        <v>2205</v>
      </c>
      <c r="E382" s="460" t="s">
        <v>67</v>
      </c>
      <c r="F382" s="461">
        <v>31</v>
      </c>
      <c r="G382" s="498">
        <v>73.59</v>
      </c>
      <c r="H382" s="462">
        <f t="shared" si="110"/>
        <v>2281.29</v>
      </c>
      <c r="I382" s="462">
        <f t="shared" si="111"/>
        <v>8830.8000000000011</v>
      </c>
      <c r="J382" s="463">
        <v>4</v>
      </c>
      <c r="K382" s="534">
        <v>75</v>
      </c>
      <c r="L382" s="462">
        <f t="shared" si="112"/>
        <v>1760</v>
      </c>
      <c r="M382" s="462">
        <v>1510</v>
      </c>
      <c r="N382" s="462">
        <v>250</v>
      </c>
      <c r="O382" s="462">
        <f t="shared" si="113"/>
        <v>4116.29</v>
      </c>
      <c r="P382" s="488">
        <f t="shared" si="114"/>
        <v>1264.2333333333333</v>
      </c>
      <c r="Q382" s="489">
        <f t="shared" si="115"/>
        <v>1246.9150684931508</v>
      </c>
      <c r="R382" s="489">
        <f t="shared" si="116"/>
        <v>65.753424657534239</v>
      </c>
      <c r="S382" s="490">
        <f t="shared" si="117"/>
        <v>16170.800000000001</v>
      </c>
      <c r="T382" s="490">
        <f t="shared" si="118"/>
        <v>18747.701826484019</v>
      </c>
      <c r="U382" s="491">
        <f t="shared" si="119"/>
        <v>186.74</v>
      </c>
      <c r="V382" s="498"/>
      <c r="W382" s="498">
        <v>10</v>
      </c>
      <c r="X382" s="498"/>
      <c r="Y382" s="498">
        <v>2016.32</v>
      </c>
      <c r="Z382" s="462">
        <f t="shared" si="120"/>
        <v>2213.06</v>
      </c>
      <c r="AA382" s="462">
        <f t="shared" si="121"/>
        <v>1903.23</v>
      </c>
      <c r="AB382" s="489">
        <v>1000</v>
      </c>
    </row>
    <row r="383" spans="1:30" s="507" customFormat="1" ht="12">
      <c r="A383" s="456">
        <v>49</v>
      </c>
      <c r="B383" s="466" t="s">
        <v>2206</v>
      </c>
      <c r="C383" s="497">
        <v>9901442777</v>
      </c>
      <c r="D383" s="459" t="s">
        <v>2207</v>
      </c>
      <c r="E383" s="460" t="s">
        <v>46</v>
      </c>
      <c r="F383" s="461">
        <v>31</v>
      </c>
      <c r="G383" s="498">
        <v>73.59</v>
      </c>
      <c r="H383" s="462">
        <f t="shared" si="110"/>
        <v>2281.29</v>
      </c>
      <c r="I383" s="462">
        <f t="shared" si="111"/>
        <v>8830.8000000000011</v>
      </c>
      <c r="J383" s="463">
        <v>4</v>
      </c>
      <c r="K383" s="534">
        <v>75</v>
      </c>
      <c r="L383" s="462">
        <f t="shared" si="112"/>
        <v>1760</v>
      </c>
      <c r="M383" s="462">
        <v>1510</v>
      </c>
      <c r="N383" s="462">
        <v>250</v>
      </c>
      <c r="O383" s="462">
        <f t="shared" si="113"/>
        <v>4116.29</v>
      </c>
      <c r="P383" s="488">
        <f t="shared" si="114"/>
        <v>1264.2333333333333</v>
      </c>
      <c r="Q383" s="489">
        <f t="shared" si="115"/>
        <v>1246.9150684931508</v>
      </c>
      <c r="R383" s="489">
        <f t="shared" si="116"/>
        <v>65.753424657534239</v>
      </c>
      <c r="S383" s="490">
        <f t="shared" si="117"/>
        <v>16170.800000000001</v>
      </c>
      <c r="T383" s="490">
        <f t="shared" si="118"/>
        <v>18747.701826484019</v>
      </c>
      <c r="U383" s="491">
        <f t="shared" si="119"/>
        <v>186.74</v>
      </c>
      <c r="V383" s="498"/>
      <c r="W383" s="498"/>
      <c r="X383" s="498"/>
      <c r="Y383" s="498"/>
      <c r="Z383" s="462">
        <f t="shared" si="120"/>
        <v>186.74</v>
      </c>
      <c r="AA383" s="462">
        <f t="shared" si="121"/>
        <v>3929.55</v>
      </c>
      <c r="AB383" s="489">
        <v>1000</v>
      </c>
    </row>
    <row r="384" spans="1:30" s="507" customFormat="1" ht="12">
      <c r="A384" s="456">
        <v>50</v>
      </c>
      <c r="B384" s="457" t="s">
        <v>2208</v>
      </c>
      <c r="C384" s="497">
        <v>9901442640</v>
      </c>
      <c r="D384" s="459" t="s">
        <v>2209</v>
      </c>
      <c r="E384" s="460" t="s">
        <v>1175</v>
      </c>
      <c r="F384" s="461">
        <v>31</v>
      </c>
      <c r="G384" s="498">
        <v>71.400000000000006</v>
      </c>
      <c r="H384" s="462">
        <f t="shared" si="110"/>
        <v>2213.4</v>
      </c>
      <c r="I384" s="462">
        <f t="shared" si="111"/>
        <v>8568</v>
      </c>
      <c r="J384" s="463">
        <v>4</v>
      </c>
      <c r="K384" s="534">
        <v>75</v>
      </c>
      <c r="L384" s="462">
        <f t="shared" si="112"/>
        <v>1760</v>
      </c>
      <c r="M384" s="462">
        <v>1510</v>
      </c>
      <c r="N384" s="462">
        <v>250</v>
      </c>
      <c r="O384" s="462">
        <f t="shared" si="113"/>
        <v>4048.4</v>
      </c>
      <c r="P384" s="488">
        <f t="shared" si="114"/>
        <v>1242.3333333333333</v>
      </c>
      <c r="Q384" s="489">
        <f t="shared" si="115"/>
        <v>1225.3150684931506</v>
      </c>
      <c r="R384" s="489">
        <f t="shared" si="116"/>
        <v>65.753424657534239</v>
      </c>
      <c r="S384" s="490">
        <f t="shared" si="117"/>
        <v>15908</v>
      </c>
      <c r="T384" s="490">
        <f t="shared" si="118"/>
        <v>18441.401826484016</v>
      </c>
      <c r="U384" s="491">
        <f t="shared" si="119"/>
        <v>183.46</v>
      </c>
      <c r="V384" s="498"/>
      <c r="W384" s="498"/>
      <c r="X384" s="498"/>
      <c r="Y384" s="498">
        <v>758.25</v>
      </c>
      <c r="Z384" s="462">
        <f t="shared" si="120"/>
        <v>941.71</v>
      </c>
      <c r="AA384" s="462">
        <f t="shared" si="121"/>
        <v>3106.69</v>
      </c>
      <c r="AB384" s="489">
        <v>1000</v>
      </c>
    </row>
    <row r="385" spans="1:28" s="507" customFormat="1" ht="12">
      <c r="A385" s="456">
        <v>51</v>
      </c>
      <c r="B385" s="457" t="s">
        <v>2210</v>
      </c>
      <c r="C385" s="497">
        <v>9901443858</v>
      </c>
      <c r="D385" s="459" t="s">
        <v>2211</v>
      </c>
      <c r="E385" s="460" t="s">
        <v>35</v>
      </c>
      <c r="F385" s="461">
        <v>31</v>
      </c>
      <c r="G385" s="498">
        <v>71.400000000000006</v>
      </c>
      <c r="H385" s="462">
        <f t="shared" si="110"/>
        <v>2213.4</v>
      </c>
      <c r="I385" s="462">
        <f t="shared" si="111"/>
        <v>8568</v>
      </c>
      <c r="J385" s="463">
        <v>4</v>
      </c>
      <c r="K385" s="533">
        <v>35</v>
      </c>
      <c r="L385" s="462">
        <f t="shared" si="112"/>
        <v>1760</v>
      </c>
      <c r="M385" s="462">
        <v>1510</v>
      </c>
      <c r="N385" s="462">
        <v>250</v>
      </c>
      <c r="O385" s="462">
        <f t="shared" si="113"/>
        <v>4008.4</v>
      </c>
      <c r="P385" s="488">
        <f t="shared" si="114"/>
        <v>1229</v>
      </c>
      <c r="Q385" s="489">
        <f t="shared" si="115"/>
        <v>1212.1643835616437</v>
      </c>
      <c r="R385" s="489">
        <f t="shared" si="116"/>
        <v>65.753424657534239</v>
      </c>
      <c r="S385" s="490">
        <f t="shared" si="117"/>
        <v>15748</v>
      </c>
      <c r="T385" s="490">
        <f t="shared" si="118"/>
        <v>18254.917808219179</v>
      </c>
      <c r="U385" s="491">
        <f t="shared" si="119"/>
        <v>181.53</v>
      </c>
      <c r="V385" s="498">
        <f>(O385-N385)*11%</f>
        <v>413.42400000000004</v>
      </c>
      <c r="W385" s="498">
        <v>10</v>
      </c>
      <c r="X385" s="498"/>
      <c r="Y385" s="498"/>
      <c r="Z385" s="462">
        <f t="shared" si="120"/>
        <v>604.95400000000006</v>
      </c>
      <c r="AA385" s="462">
        <f t="shared" si="121"/>
        <v>3403.4459999999999</v>
      </c>
      <c r="AB385" s="489">
        <v>1000</v>
      </c>
    </row>
    <row r="386" spans="1:28" s="507" customFormat="1" ht="12">
      <c r="A386" s="456">
        <v>52</v>
      </c>
      <c r="B386" s="457" t="s">
        <v>2212</v>
      </c>
      <c r="C386" s="497">
        <v>9901442639</v>
      </c>
      <c r="D386" s="459" t="s">
        <v>2213</v>
      </c>
      <c r="E386" s="460" t="s">
        <v>44</v>
      </c>
      <c r="F386" s="461">
        <v>31</v>
      </c>
      <c r="G386" s="498">
        <v>72.540000000000006</v>
      </c>
      <c r="H386" s="462">
        <f t="shared" si="110"/>
        <v>2248.7400000000002</v>
      </c>
      <c r="I386" s="462">
        <f t="shared" si="111"/>
        <v>8704.8000000000011</v>
      </c>
      <c r="J386" s="463">
        <v>4</v>
      </c>
      <c r="K386" s="534">
        <v>75</v>
      </c>
      <c r="L386" s="462">
        <f t="shared" si="112"/>
        <v>1760</v>
      </c>
      <c r="M386" s="462">
        <v>1510</v>
      </c>
      <c r="N386" s="462">
        <v>250</v>
      </c>
      <c r="O386" s="462">
        <f t="shared" si="113"/>
        <v>4083.7400000000002</v>
      </c>
      <c r="P386" s="488">
        <f t="shared" si="114"/>
        <v>1253.7333333333333</v>
      </c>
      <c r="Q386" s="489">
        <f t="shared" si="115"/>
        <v>1236.5589041095891</v>
      </c>
      <c r="R386" s="489">
        <f t="shared" si="116"/>
        <v>65.753424657534239</v>
      </c>
      <c r="S386" s="490">
        <f t="shared" si="117"/>
        <v>16044.800000000001</v>
      </c>
      <c r="T386" s="490">
        <f t="shared" si="118"/>
        <v>18600.845662100459</v>
      </c>
      <c r="U386" s="491">
        <f t="shared" si="119"/>
        <v>185.17</v>
      </c>
      <c r="V386" s="498"/>
      <c r="W386" s="498">
        <v>10</v>
      </c>
      <c r="X386" s="498"/>
      <c r="Y386" s="498">
        <v>1698.68</v>
      </c>
      <c r="Z386" s="462">
        <f t="shared" si="120"/>
        <v>1893.8500000000001</v>
      </c>
      <c r="AA386" s="462">
        <f t="shared" si="121"/>
        <v>2189.8900000000003</v>
      </c>
      <c r="AB386" s="489">
        <v>1000</v>
      </c>
    </row>
    <row r="387" spans="1:28" s="507" customFormat="1" ht="12">
      <c r="A387" s="456">
        <v>53</v>
      </c>
      <c r="B387" s="466" t="s">
        <v>2214</v>
      </c>
      <c r="C387" s="497">
        <v>9901442858</v>
      </c>
      <c r="D387" s="459" t="s">
        <v>2215</v>
      </c>
      <c r="E387" s="460" t="s">
        <v>39</v>
      </c>
      <c r="F387" s="461">
        <v>31</v>
      </c>
      <c r="G387" s="498">
        <v>78.25</v>
      </c>
      <c r="H387" s="462">
        <f t="shared" si="110"/>
        <v>2425.75</v>
      </c>
      <c r="I387" s="462">
        <f t="shared" si="111"/>
        <v>9390</v>
      </c>
      <c r="J387" s="463">
        <v>4</v>
      </c>
      <c r="K387" s="534">
        <v>75</v>
      </c>
      <c r="L387" s="462">
        <f t="shared" si="112"/>
        <v>1760</v>
      </c>
      <c r="M387" s="462">
        <v>1510</v>
      </c>
      <c r="N387" s="462">
        <v>250</v>
      </c>
      <c r="O387" s="462">
        <f t="shared" si="113"/>
        <v>4260.75</v>
      </c>
      <c r="P387" s="488">
        <f t="shared" si="114"/>
        <v>1310.8333333333333</v>
      </c>
      <c r="Q387" s="489">
        <f t="shared" si="115"/>
        <v>1292.8767123287671</v>
      </c>
      <c r="R387" s="489">
        <f t="shared" si="116"/>
        <v>65.753424657534239</v>
      </c>
      <c r="S387" s="490">
        <f t="shared" si="117"/>
        <v>16730</v>
      </c>
      <c r="T387" s="490">
        <f t="shared" si="118"/>
        <v>19399.463470319632</v>
      </c>
      <c r="U387" s="491">
        <f t="shared" si="119"/>
        <v>193.72</v>
      </c>
      <c r="V387" s="498"/>
      <c r="W387" s="498">
        <v>10</v>
      </c>
      <c r="X387" s="498"/>
      <c r="Y387" s="498"/>
      <c r="Z387" s="462">
        <f t="shared" si="120"/>
        <v>203.72</v>
      </c>
      <c r="AA387" s="462">
        <f t="shared" si="121"/>
        <v>4057.03</v>
      </c>
      <c r="AB387" s="489">
        <v>1000</v>
      </c>
    </row>
    <row r="388" spans="1:28" s="507" customFormat="1" ht="12">
      <c r="A388" s="456">
        <v>54</v>
      </c>
      <c r="B388" s="457" t="s">
        <v>2216</v>
      </c>
      <c r="C388" s="497">
        <v>9901442854</v>
      </c>
      <c r="D388" s="459" t="s">
        <v>2217</v>
      </c>
      <c r="E388" s="460" t="s">
        <v>47</v>
      </c>
      <c r="F388" s="461">
        <v>31</v>
      </c>
      <c r="G388" s="498">
        <v>74.63</v>
      </c>
      <c r="H388" s="462">
        <f t="shared" si="110"/>
        <v>2313.5299999999997</v>
      </c>
      <c r="I388" s="462">
        <f t="shared" si="111"/>
        <v>8955.5999999999985</v>
      </c>
      <c r="J388" s="463">
        <v>4</v>
      </c>
      <c r="K388" s="534">
        <v>75</v>
      </c>
      <c r="L388" s="462">
        <f t="shared" si="112"/>
        <v>1760</v>
      </c>
      <c r="M388" s="462">
        <v>1510</v>
      </c>
      <c r="N388" s="462">
        <v>250</v>
      </c>
      <c r="O388" s="462">
        <f t="shared" si="113"/>
        <v>4148.53</v>
      </c>
      <c r="P388" s="488">
        <f t="shared" si="114"/>
        <v>1274.6333333333332</v>
      </c>
      <c r="Q388" s="489">
        <f t="shared" si="115"/>
        <v>1257.172602739726</v>
      </c>
      <c r="R388" s="489">
        <f t="shared" si="116"/>
        <v>65.753424657534239</v>
      </c>
      <c r="S388" s="490">
        <f t="shared" si="117"/>
        <v>16295.599999999999</v>
      </c>
      <c r="T388" s="490">
        <f t="shared" si="118"/>
        <v>18893.159360730591</v>
      </c>
      <c r="U388" s="491">
        <f t="shared" si="119"/>
        <v>188.3</v>
      </c>
      <c r="V388" s="498">
        <f>(O388-N388)*11%</f>
        <v>428.83829999999995</v>
      </c>
      <c r="W388" s="498"/>
      <c r="X388" s="498"/>
      <c r="Y388" s="498">
        <v>542.77</v>
      </c>
      <c r="Z388" s="462">
        <f t="shared" si="120"/>
        <v>1159.9082999999998</v>
      </c>
      <c r="AA388" s="462">
        <f t="shared" si="121"/>
        <v>2988.6216999999997</v>
      </c>
      <c r="AB388" s="489">
        <v>1000</v>
      </c>
    </row>
    <row r="389" spans="1:28" s="507" customFormat="1" ht="12">
      <c r="A389" s="456">
        <v>55</v>
      </c>
      <c r="B389" s="466" t="s">
        <v>2218</v>
      </c>
      <c r="C389" s="497">
        <v>9901442809</v>
      </c>
      <c r="D389" s="459" t="s">
        <v>2219</v>
      </c>
      <c r="E389" s="460" t="s">
        <v>47</v>
      </c>
      <c r="F389" s="461">
        <v>31</v>
      </c>
      <c r="G389" s="498">
        <v>74.63</v>
      </c>
      <c r="H389" s="462">
        <f t="shared" si="110"/>
        <v>2313.5299999999997</v>
      </c>
      <c r="I389" s="462">
        <f t="shared" si="111"/>
        <v>8955.5999999999985</v>
      </c>
      <c r="J389" s="463">
        <v>4</v>
      </c>
      <c r="K389" s="534">
        <v>75</v>
      </c>
      <c r="L389" s="462">
        <f t="shared" si="112"/>
        <v>1760</v>
      </c>
      <c r="M389" s="462">
        <v>1510</v>
      </c>
      <c r="N389" s="462">
        <v>250</v>
      </c>
      <c r="O389" s="462">
        <f t="shared" si="113"/>
        <v>4148.53</v>
      </c>
      <c r="P389" s="488">
        <f t="shared" si="114"/>
        <v>1274.6333333333332</v>
      </c>
      <c r="Q389" s="489">
        <f t="shared" si="115"/>
        <v>1257.172602739726</v>
      </c>
      <c r="R389" s="489">
        <f t="shared" si="116"/>
        <v>65.753424657534239</v>
      </c>
      <c r="S389" s="490">
        <f t="shared" si="117"/>
        <v>16295.599999999999</v>
      </c>
      <c r="T389" s="490">
        <f t="shared" si="118"/>
        <v>18893.159360730591</v>
      </c>
      <c r="U389" s="491">
        <f t="shared" si="119"/>
        <v>188.3</v>
      </c>
      <c r="V389" s="498"/>
      <c r="W389" s="498"/>
      <c r="X389" s="498"/>
      <c r="Y389" s="498"/>
      <c r="Z389" s="462">
        <f t="shared" si="120"/>
        <v>188.3</v>
      </c>
      <c r="AA389" s="462">
        <f t="shared" si="121"/>
        <v>3960.2299999999996</v>
      </c>
      <c r="AB389" s="489">
        <v>1000</v>
      </c>
    </row>
    <row r="390" spans="1:28" s="507" customFormat="1" ht="12">
      <c r="A390" s="456">
        <v>56</v>
      </c>
      <c r="B390" s="466" t="s">
        <v>2220</v>
      </c>
      <c r="C390" s="497">
        <v>9901442848</v>
      </c>
      <c r="D390" s="459" t="s">
        <v>2221</v>
      </c>
      <c r="E390" s="460" t="s">
        <v>44</v>
      </c>
      <c r="F390" s="461">
        <v>31</v>
      </c>
      <c r="G390" s="498">
        <v>72.540000000000006</v>
      </c>
      <c r="H390" s="462">
        <f t="shared" si="110"/>
        <v>2248.7400000000002</v>
      </c>
      <c r="I390" s="462">
        <f t="shared" si="111"/>
        <v>8704.8000000000011</v>
      </c>
      <c r="J390" s="463">
        <v>4</v>
      </c>
      <c r="K390" s="534">
        <v>75</v>
      </c>
      <c r="L390" s="462">
        <f t="shared" si="112"/>
        <v>1760</v>
      </c>
      <c r="M390" s="462">
        <v>1510</v>
      </c>
      <c r="N390" s="462">
        <v>250</v>
      </c>
      <c r="O390" s="462">
        <f t="shared" si="113"/>
        <v>4083.7400000000002</v>
      </c>
      <c r="P390" s="488">
        <f t="shared" si="114"/>
        <v>1253.7333333333333</v>
      </c>
      <c r="Q390" s="489">
        <f t="shared" si="115"/>
        <v>1236.5589041095891</v>
      </c>
      <c r="R390" s="489">
        <f t="shared" si="116"/>
        <v>65.753424657534239</v>
      </c>
      <c r="S390" s="490">
        <f t="shared" si="117"/>
        <v>16044.800000000001</v>
      </c>
      <c r="T390" s="490">
        <f t="shared" si="118"/>
        <v>18600.845662100459</v>
      </c>
      <c r="U390" s="491">
        <f t="shared" si="119"/>
        <v>185.17</v>
      </c>
      <c r="V390" s="498"/>
      <c r="W390" s="498"/>
      <c r="X390" s="498"/>
      <c r="Y390" s="498">
        <v>1713.32</v>
      </c>
      <c r="Z390" s="462">
        <f t="shared" si="120"/>
        <v>1898.49</v>
      </c>
      <c r="AA390" s="462">
        <f t="shared" si="121"/>
        <v>2185.25</v>
      </c>
      <c r="AB390" s="489">
        <v>1000</v>
      </c>
    </row>
    <row r="391" spans="1:28" s="507" customFormat="1" ht="12">
      <c r="A391" s="456">
        <v>57</v>
      </c>
      <c r="B391" s="466" t="s">
        <v>2222</v>
      </c>
      <c r="C391" s="497">
        <v>990086673</v>
      </c>
      <c r="D391" s="459" t="s">
        <v>2223</v>
      </c>
      <c r="E391" s="460" t="s">
        <v>63</v>
      </c>
      <c r="F391" s="461">
        <v>31</v>
      </c>
      <c r="G391" s="498">
        <v>80.86</v>
      </c>
      <c r="H391" s="462">
        <f t="shared" si="110"/>
        <v>2506.66</v>
      </c>
      <c r="I391" s="462">
        <f t="shared" si="111"/>
        <v>9703.2000000000007</v>
      </c>
      <c r="J391" s="463">
        <v>4</v>
      </c>
      <c r="K391" s="534"/>
      <c r="L391" s="462">
        <f t="shared" si="112"/>
        <v>1760</v>
      </c>
      <c r="M391" s="462">
        <v>1510</v>
      </c>
      <c r="N391" s="462">
        <v>250</v>
      </c>
      <c r="O391" s="462">
        <f t="shared" si="113"/>
        <v>4266.66</v>
      </c>
      <c r="P391" s="488">
        <f t="shared" si="114"/>
        <v>1311.9333333333334</v>
      </c>
      <c r="Q391" s="489">
        <f t="shared" si="115"/>
        <v>1293.9616438356165</v>
      </c>
      <c r="R391" s="489">
        <f t="shared" si="116"/>
        <v>65.753424657534239</v>
      </c>
      <c r="S391" s="490">
        <f t="shared" si="117"/>
        <v>16743.2</v>
      </c>
      <c r="T391" s="490">
        <f t="shared" si="118"/>
        <v>19414.848401826486</v>
      </c>
      <c r="U391" s="491">
        <f t="shared" si="119"/>
        <v>194</v>
      </c>
      <c r="V391" s="498" t="e">
        <f>(#REF!-#REF!)*11%</f>
        <v>#REF!</v>
      </c>
      <c r="W391" s="498"/>
      <c r="X391" s="498"/>
      <c r="Y391" s="498"/>
      <c r="Z391" s="462" t="e">
        <f t="shared" si="120"/>
        <v>#REF!</v>
      </c>
      <c r="AA391" s="462" t="e">
        <f t="shared" si="121"/>
        <v>#REF!</v>
      </c>
      <c r="AB391" s="489">
        <v>1000</v>
      </c>
    </row>
    <row r="392" spans="1:28" s="507" customFormat="1" ht="12">
      <c r="A392" s="456">
        <v>58</v>
      </c>
      <c r="B392" s="466" t="s">
        <v>2224</v>
      </c>
      <c r="C392" s="497">
        <v>9901442661</v>
      </c>
      <c r="D392" s="459" t="s">
        <v>2225</v>
      </c>
      <c r="E392" s="460" t="s">
        <v>1175</v>
      </c>
      <c r="F392" s="461">
        <v>31</v>
      </c>
      <c r="G392" s="498">
        <v>71.400000000000006</v>
      </c>
      <c r="H392" s="462">
        <f t="shared" si="110"/>
        <v>2213.4</v>
      </c>
      <c r="I392" s="462">
        <f t="shared" si="111"/>
        <v>8568</v>
      </c>
      <c r="J392" s="463">
        <v>4</v>
      </c>
      <c r="K392" s="534">
        <v>75</v>
      </c>
      <c r="L392" s="462">
        <f t="shared" si="112"/>
        <v>1760</v>
      </c>
      <c r="M392" s="462">
        <v>1510</v>
      </c>
      <c r="N392" s="462">
        <v>250</v>
      </c>
      <c r="O392" s="462">
        <f t="shared" si="113"/>
        <v>4048.4</v>
      </c>
      <c r="P392" s="488">
        <f t="shared" si="114"/>
        <v>1242.3333333333333</v>
      </c>
      <c r="Q392" s="489">
        <f t="shared" si="115"/>
        <v>1225.3150684931506</v>
      </c>
      <c r="R392" s="489">
        <f t="shared" si="116"/>
        <v>65.753424657534239</v>
      </c>
      <c r="S392" s="490">
        <f t="shared" si="117"/>
        <v>15908</v>
      </c>
      <c r="T392" s="490">
        <f t="shared" si="118"/>
        <v>18441.401826484016</v>
      </c>
      <c r="U392" s="491">
        <f t="shared" si="119"/>
        <v>183.46</v>
      </c>
      <c r="V392" s="498">
        <f>(O392-N392)*11%</f>
        <v>417.82400000000001</v>
      </c>
      <c r="W392" s="498"/>
      <c r="X392" s="498"/>
      <c r="Y392" s="498"/>
      <c r="Z392" s="462">
        <f t="shared" si="120"/>
        <v>601.28399999999999</v>
      </c>
      <c r="AA392" s="462">
        <f t="shared" si="121"/>
        <v>3447.116</v>
      </c>
      <c r="AB392" s="489">
        <v>1000</v>
      </c>
    </row>
    <row r="393" spans="1:28" s="507" customFormat="1" ht="12">
      <c r="A393" s="456">
        <v>59</v>
      </c>
      <c r="B393" s="466" t="s">
        <v>2226</v>
      </c>
      <c r="C393" s="497">
        <v>9901442419</v>
      </c>
      <c r="D393" s="459" t="s">
        <v>2227</v>
      </c>
      <c r="E393" s="460" t="s">
        <v>44</v>
      </c>
      <c r="F393" s="461">
        <v>31</v>
      </c>
      <c r="G393" s="498">
        <v>72.540000000000006</v>
      </c>
      <c r="H393" s="462">
        <f t="shared" si="110"/>
        <v>2248.7400000000002</v>
      </c>
      <c r="I393" s="462">
        <f t="shared" si="111"/>
        <v>8704.8000000000011</v>
      </c>
      <c r="J393" s="463">
        <v>4</v>
      </c>
      <c r="K393" s="534">
        <v>75</v>
      </c>
      <c r="L393" s="462">
        <f t="shared" si="112"/>
        <v>1760</v>
      </c>
      <c r="M393" s="462">
        <v>1510</v>
      </c>
      <c r="N393" s="462">
        <v>250</v>
      </c>
      <c r="O393" s="462">
        <f t="shared" si="113"/>
        <v>4083.7400000000002</v>
      </c>
      <c r="P393" s="488">
        <f t="shared" si="114"/>
        <v>1253.7333333333333</v>
      </c>
      <c r="Q393" s="489">
        <f t="shared" si="115"/>
        <v>1236.5589041095891</v>
      </c>
      <c r="R393" s="489">
        <f t="shared" si="116"/>
        <v>65.753424657534239</v>
      </c>
      <c r="S393" s="490">
        <f t="shared" si="117"/>
        <v>16044.800000000001</v>
      </c>
      <c r="T393" s="490">
        <f t="shared" si="118"/>
        <v>18600.845662100459</v>
      </c>
      <c r="U393" s="491">
        <f t="shared" si="119"/>
        <v>185.17</v>
      </c>
      <c r="V393" s="498"/>
      <c r="W393" s="498">
        <v>10</v>
      </c>
      <c r="X393" s="498"/>
      <c r="Y393" s="498">
        <v>1865.38</v>
      </c>
      <c r="Z393" s="462">
        <f t="shared" si="120"/>
        <v>2060.5500000000002</v>
      </c>
      <c r="AA393" s="462">
        <f t="shared" si="121"/>
        <v>2023.19</v>
      </c>
      <c r="AB393" s="489">
        <v>1000</v>
      </c>
    </row>
    <row r="394" spans="1:28" s="507" customFormat="1" ht="12">
      <c r="A394" s="456">
        <v>60</v>
      </c>
      <c r="B394" s="466" t="s">
        <v>2228</v>
      </c>
      <c r="C394" s="497">
        <v>9901442433</v>
      </c>
      <c r="D394" s="459" t="s">
        <v>2229</v>
      </c>
      <c r="E394" s="460" t="s">
        <v>39</v>
      </c>
      <c r="F394" s="461">
        <v>31</v>
      </c>
      <c r="G394" s="498">
        <v>78.25</v>
      </c>
      <c r="H394" s="462">
        <f t="shared" si="110"/>
        <v>2425.75</v>
      </c>
      <c r="I394" s="462">
        <f t="shared" si="111"/>
        <v>9390</v>
      </c>
      <c r="J394" s="463">
        <v>4</v>
      </c>
      <c r="K394" s="534">
        <v>75</v>
      </c>
      <c r="L394" s="462">
        <f t="shared" si="112"/>
        <v>1760</v>
      </c>
      <c r="M394" s="462">
        <v>1510</v>
      </c>
      <c r="N394" s="462">
        <v>250</v>
      </c>
      <c r="O394" s="462">
        <f t="shared" si="113"/>
        <v>4260.75</v>
      </c>
      <c r="P394" s="488">
        <f t="shared" si="114"/>
        <v>1310.8333333333333</v>
      </c>
      <c r="Q394" s="489">
        <f t="shared" si="115"/>
        <v>1292.8767123287671</v>
      </c>
      <c r="R394" s="489">
        <f t="shared" si="116"/>
        <v>65.753424657534239</v>
      </c>
      <c r="S394" s="490">
        <f t="shared" si="117"/>
        <v>16730</v>
      </c>
      <c r="T394" s="490">
        <f t="shared" si="118"/>
        <v>19399.463470319632</v>
      </c>
      <c r="U394" s="491">
        <f t="shared" si="119"/>
        <v>193.72</v>
      </c>
      <c r="V394" s="498"/>
      <c r="W394" s="498"/>
      <c r="X394" s="498"/>
      <c r="Y394" s="498"/>
      <c r="Z394" s="462">
        <f t="shared" si="120"/>
        <v>193.72</v>
      </c>
      <c r="AA394" s="462">
        <f t="shared" si="121"/>
        <v>4067.03</v>
      </c>
      <c r="AB394" s="489">
        <v>1000</v>
      </c>
    </row>
    <row r="395" spans="1:28" s="507" customFormat="1" ht="12">
      <c r="A395" s="456">
        <v>61</v>
      </c>
      <c r="B395" s="457" t="s">
        <v>2230</v>
      </c>
      <c r="C395" s="497">
        <v>9901443727</v>
      </c>
      <c r="D395" s="459" t="s">
        <v>2231</v>
      </c>
      <c r="E395" s="460" t="s">
        <v>32</v>
      </c>
      <c r="F395" s="461">
        <v>31</v>
      </c>
      <c r="G395" s="498">
        <v>71.400000000000006</v>
      </c>
      <c r="H395" s="462">
        <f t="shared" si="110"/>
        <v>2213.4</v>
      </c>
      <c r="I395" s="462">
        <f t="shared" si="111"/>
        <v>8568</v>
      </c>
      <c r="J395" s="463">
        <v>4</v>
      </c>
      <c r="K395" s="534">
        <v>75</v>
      </c>
      <c r="L395" s="462">
        <f t="shared" si="112"/>
        <v>1760</v>
      </c>
      <c r="M395" s="462">
        <v>1510</v>
      </c>
      <c r="N395" s="462">
        <v>250</v>
      </c>
      <c r="O395" s="462">
        <f t="shared" si="113"/>
        <v>4048.4</v>
      </c>
      <c r="P395" s="488">
        <f t="shared" si="114"/>
        <v>1242.3333333333333</v>
      </c>
      <c r="Q395" s="489">
        <f t="shared" si="115"/>
        <v>1225.3150684931506</v>
      </c>
      <c r="R395" s="489">
        <f t="shared" si="116"/>
        <v>65.753424657534239</v>
      </c>
      <c r="S395" s="490">
        <f t="shared" si="117"/>
        <v>15908</v>
      </c>
      <c r="T395" s="490">
        <f t="shared" si="118"/>
        <v>18441.401826484016</v>
      </c>
      <c r="U395" s="491">
        <f t="shared" si="119"/>
        <v>183.46</v>
      </c>
      <c r="V395" s="498"/>
      <c r="W395" s="498">
        <v>10</v>
      </c>
      <c r="X395" s="498"/>
      <c r="Y395" s="498"/>
      <c r="Z395" s="462">
        <f t="shared" si="120"/>
        <v>193.46</v>
      </c>
      <c r="AA395" s="462">
        <f t="shared" si="121"/>
        <v>3854.94</v>
      </c>
      <c r="AB395" s="489">
        <v>1000</v>
      </c>
    </row>
    <row r="396" spans="1:28" s="507" customFormat="1" ht="12">
      <c r="A396" s="456">
        <v>62</v>
      </c>
      <c r="B396" s="457" t="s">
        <v>2232</v>
      </c>
      <c r="C396" s="497">
        <v>9901443774</v>
      </c>
      <c r="D396" s="459" t="s">
        <v>2233</v>
      </c>
      <c r="E396" s="460" t="s">
        <v>39</v>
      </c>
      <c r="F396" s="461">
        <v>31</v>
      </c>
      <c r="G396" s="498">
        <v>78.25</v>
      </c>
      <c r="H396" s="462">
        <f t="shared" si="110"/>
        <v>2425.75</v>
      </c>
      <c r="I396" s="462">
        <f t="shared" si="111"/>
        <v>9390</v>
      </c>
      <c r="J396" s="463">
        <v>4</v>
      </c>
      <c r="K396" s="534">
        <v>75</v>
      </c>
      <c r="L396" s="462">
        <f t="shared" si="112"/>
        <v>1760</v>
      </c>
      <c r="M396" s="462">
        <v>1510</v>
      </c>
      <c r="N396" s="462">
        <v>250</v>
      </c>
      <c r="O396" s="462">
        <f t="shared" si="113"/>
        <v>4260.75</v>
      </c>
      <c r="P396" s="488">
        <f t="shared" si="114"/>
        <v>1310.8333333333333</v>
      </c>
      <c r="Q396" s="489">
        <f t="shared" si="115"/>
        <v>1292.8767123287671</v>
      </c>
      <c r="R396" s="489">
        <f t="shared" si="116"/>
        <v>65.753424657534239</v>
      </c>
      <c r="S396" s="490">
        <f t="shared" si="117"/>
        <v>16730</v>
      </c>
      <c r="T396" s="490">
        <f t="shared" si="118"/>
        <v>19399.463470319632</v>
      </c>
      <c r="U396" s="491">
        <f t="shared" si="119"/>
        <v>193.72</v>
      </c>
      <c r="V396" s="498"/>
      <c r="W396" s="498">
        <v>10</v>
      </c>
      <c r="X396" s="498"/>
      <c r="Y396" s="498"/>
      <c r="Z396" s="462">
        <f t="shared" si="120"/>
        <v>203.72</v>
      </c>
      <c r="AA396" s="462">
        <f t="shared" si="121"/>
        <v>4057.03</v>
      </c>
      <c r="AB396" s="489">
        <v>1000</v>
      </c>
    </row>
    <row r="397" spans="1:28" s="507" customFormat="1" ht="12">
      <c r="A397" s="456">
        <v>63</v>
      </c>
      <c r="B397" s="466" t="s">
        <v>2234</v>
      </c>
      <c r="C397" s="497">
        <v>9901443915</v>
      </c>
      <c r="D397" s="459" t="s">
        <v>2235</v>
      </c>
      <c r="E397" s="460" t="s">
        <v>39</v>
      </c>
      <c r="F397" s="461">
        <v>31</v>
      </c>
      <c r="G397" s="498">
        <v>78.25</v>
      </c>
      <c r="H397" s="462">
        <f t="shared" si="110"/>
        <v>2425.75</v>
      </c>
      <c r="I397" s="462">
        <f t="shared" si="111"/>
        <v>9390</v>
      </c>
      <c r="J397" s="463">
        <v>4</v>
      </c>
      <c r="K397" s="534">
        <v>75</v>
      </c>
      <c r="L397" s="462">
        <f t="shared" si="112"/>
        <v>1760</v>
      </c>
      <c r="M397" s="462">
        <v>1510</v>
      </c>
      <c r="N397" s="462">
        <v>250</v>
      </c>
      <c r="O397" s="462">
        <f t="shared" si="113"/>
        <v>4260.75</v>
      </c>
      <c r="P397" s="488">
        <f t="shared" si="114"/>
        <v>1310.8333333333333</v>
      </c>
      <c r="Q397" s="489">
        <f t="shared" si="115"/>
        <v>1292.8767123287671</v>
      </c>
      <c r="R397" s="489">
        <f t="shared" si="116"/>
        <v>65.753424657534239</v>
      </c>
      <c r="S397" s="490">
        <f t="shared" si="117"/>
        <v>16730</v>
      </c>
      <c r="T397" s="490">
        <f t="shared" si="118"/>
        <v>19399.463470319632</v>
      </c>
      <c r="U397" s="491">
        <f t="shared" si="119"/>
        <v>193.72</v>
      </c>
      <c r="V397" s="498"/>
      <c r="W397" s="498">
        <v>10</v>
      </c>
      <c r="X397" s="498"/>
      <c r="Y397" s="498">
        <v>2005.64</v>
      </c>
      <c r="Z397" s="462">
        <f t="shared" si="120"/>
        <v>2209.36</v>
      </c>
      <c r="AA397" s="462">
        <f t="shared" si="121"/>
        <v>2051.39</v>
      </c>
      <c r="AB397" s="489">
        <v>1000</v>
      </c>
    </row>
    <row r="398" spans="1:28" s="507" customFormat="1" ht="12">
      <c r="A398" s="456">
        <v>64</v>
      </c>
      <c r="B398" s="466" t="s">
        <v>2236</v>
      </c>
      <c r="C398" s="497">
        <v>9901442774</v>
      </c>
      <c r="D398" s="459" t="s">
        <v>2237</v>
      </c>
      <c r="E398" s="460" t="s">
        <v>32</v>
      </c>
      <c r="F398" s="461">
        <v>31</v>
      </c>
      <c r="G398" s="498">
        <v>71.400000000000006</v>
      </c>
      <c r="H398" s="462">
        <f t="shared" si="110"/>
        <v>2213.4</v>
      </c>
      <c r="I398" s="462">
        <f t="shared" si="111"/>
        <v>8568</v>
      </c>
      <c r="J398" s="463">
        <v>4</v>
      </c>
      <c r="K398" s="534">
        <v>75</v>
      </c>
      <c r="L398" s="462">
        <f t="shared" si="112"/>
        <v>1760</v>
      </c>
      <c r="M398" s="462">
        <v>1510</v>
      </c>
      <c r="N398" s="462">
        <v>250</v>
      </c>
      <c r="O398" s="462">
        <f t="shared" si="113"/>
        <v>4048.4</v>
      </c>
      <c r="P398" s="488">
        <f t="shared" si="114"/>
        <v>1242.3333333333333</v>
      </c>
      <c r="Q398" s="489">
        <f t="shared" si="115"/>
        <v>1225.3150684931506</v>
      </c>
      <c r="R398" s="489">
        <f t="shared" si="116"/>
        <v>65.753424657534239</v>
      </c>
      <c r="S398" s="490">
        <f t="shared" si="117"/>
        <v>15908</v>
      </c>
      <c r="T398" s="490">
        <f t="shared" si="118"/>
        <v>18441.401826484016</v>
      </c>
      <c r="U398" s="491">
        <f t="shared" si="119"/>
        <v>183.46</v>
      </c>
      <c r="V398" s="498">
        <f>(O398-N398)*11%</f>
        <v>417.82400000000001</v>
      </c>
      <c r="W398" s="498"/>
      <c r="X398" s="498"/>
      <c r="Y398" s="498"/>
      <c r="Z398" s="462">
        <f t="shared" si="120"/>
        <v>601.28399999999999</v>
      </c>
      <c r="AA398" s="462">
        <f t="shared" si="121"/>
        <v>3447.116</v>
      </c>
      <c r="AB398" s="489">
        <v>1000</v>
      </c>
    </row>
    <row r="399" spans="1:28" s="507" customFormat="1" ht="12">
      <c r="A399" s="456">
        <v>65</v>
      </c>
      <c r="B399" s="466" t="s">
        <v>2238</v>
      </c>
      <c r="C399" s="497">
        <v>9901442779</v>
      </c>
      <c r="D399" s="459" t="s">
        <v>2239</v>
      </c>
      <c r="E399" s="460" t="s">
        <v>32</v>
      </c>
      <c r="F399" s="461">
        <v>31</v>
      </c>
      <c r="G399" s="498">
        <v>71.400000000000006</v>
      </c>
      <c r="H399" s="462">
        <f t="shared" ref="H399:H462" si="123">+F399*G399</f>
        <v>2213.4</v>
      </c>
      <c r="I399" s="462">
        <f t="shared" ref="I399:I462" si="124">G399*120</f>
        <v>8568</v>
      </c>
      <c r="J399" s="463">
        <v>4</v>
      </c>
      <c r="K399" s="534">
        <v>75</v>
      </c>
      <c r="L399" s="462">
        <f t="shared" ref="L399:L462" si="125">M399+N399</f>
        <v>1760</v>
      </c>
      <c r="M399" s="462">
        <v>1510</v>
      </c>
      <c r="N399" s="462">
        <v>250</v>
      </c>
      <c r="O399" s="462">
        <f t="shared" ref="O399:O462" si="126">+H399+M399+N399+K399</f>
        <v>4048.4</v>
      </c>
      <c r="P399" s="488">
        <f t="shared" ref="P399:P462" si="127">(((G399*120)+(K399+M399)*4)/12)</f>
        <v>1242.3333333333333</v>
      </c>
      <c r="Q399" s="489">
        <f t="shared" ref="Q399:Q462" si="128">(((G399*30)+M399+K399)/365*120)</f>
        <v>1225.3150684931506</v>
      </c>
      <c r="R399" s="489">
        <f t="shared" ref="R399:R462" si="129">+(200/365)*120</f>
        <v>65.753424657534239</v>
      </c>
      <c r="S399" s="490">
        <f t="shared" ref="S399:S462" si="130">(((G399*120)+((K399+M399+N399)*4)))</f>
        <v>15908</v>
      </c>
      <c r="T399" s="490">
        <f t="shared" ref="T399:T462" si="131">+S399+R399+Q399+P399</f>
        <v>18441.401826484016</v>
      </c>
      <c r="U399" s="491">
        <f t="shared" ref="U399:U462" si="132">ROUND((((H399+K399+M399)*4.83)/100),2)</f>
        <v>183.46</v>
      </c>
      <c r="V399" s="498">
        <f>(O399-N399)*11%</f>
        <v>417.82400000000001</v>
      </c>
      <c r="W399" s="498"/>
      <c r="X399" s="498"/>
      <c r="Y399" s="498"/>
      <c r="Z399" s="462">
        <f t="shared" ref="Z399:Z462" si="133">V399+W399+X399+Y399+U399</f>
        <v>601.28399999999999</v>
      </c>
      <c r="AA399" s="462">
        <f t="shared" ref="AA399:AA462" si="134">+O399-Z399</f>
        <v>3447.116</v>
      </c>
      <c r="AB399" s="489">
        <v>1000</v>
      </c>
    </row>
    <row r="400" spans="1:28" s="507" customFormat="1" ht="12">
      <c r="A400" s="456">
        <v>66</v>
      </c>
      <c r="B400" s="466" t="s">
        <v>2240</v>
      </c>
      <c r="C400" s="497">
        <v>9901443732</v>
      </c>
      <c r="D400" s="459" t="s">
        <v>2241</v>
      </c>
      <c r="E400" s="460" t="s">
        <v>39</v>
      </c>
      <c r="F400" s="461">
        <v>31</v>
      </c>
      <c r="G400" s="498">
        <v>78.25</v>
      </c>
      <c r="H400" s="462">
        <f t="shared" si="123"/>
        <v>2425.75</v>
      </c>
      <c r="I400" s="462">
        <f t="shared" si="124"/>
        <v>9390</v>
      </c>
      <c r="J400" s="463">
        <v>4</v>
      </c>
      <c r="K400" s="534">
        <v>75</v>
      </c>
      <c r="L400" s="462">
        <f t="shared" si="125"/>
        <v>1760</v>
      </c>
      <c r="M400" s="462">
        <v>1510</v>
      </c>
      <c r="N400" s="462">
        <v>250</v>
      </c>
      <c r="O400" s="462">
        <f t="shared" si="126"/>
        <v>4260.75</v>
      </c>
      <c r="P400" s="488">
        <f t="shared" si="127"/>
        <v>1310.8333333333333</v>
      </c>
      <c r="Q400" s="489">
        <f t="shared" si="128"/>
        <v>1292.8767123287671</v>
      </c>
      <c r="R400" s="489">
        <f t="shared" si="129"/>
        <v>65.753424657534239</v>
      </c>
      <c r="S400" s="490">
        <f t="shared" si="130"/>
        <v>16730</v>
      </c>
      <c r="T400" s="490">
        <f t="shared" si="131"/>
        <v>19399.463470319632</v>
      </c>
      <c r="U400" s="491">
        <f t="shared" si="132"/>
        <v>193.72</v>
      </c>
      <c r="V400" s="498">
        <f>(O400-N400)*11%</f>
        <v>441.1825</v>
      </c>
      <c r="W400" s="498">
        <v>10</v>
      </c>
      <c r="X400" s="498"/>
      <c r="Y400" s="498"/>
      <c r="Z400" s="462">
        <f t="shared" si="133"/>
        <v>644.90250000000003</v>
      </c>
      <c r="AA400" s="462">
        <f t="shared" si="134"/>
        <v>3615.8474999999999</v>
      </c>
      <c r="AB400" s="489">
        <v>1000</v>
      </c>
    </row>
    <row r="401" spans="1:30" s="507" customFormat="1">
      <c r="A401" s="456">
        <v>67</v>
      </c>
      <c r="B401" s="457" t="s">
        <v>2242</v>
      </c>
      <c r="C401" s="4">
        <v>9901442891</v>
      </c>
      <c r="D401" s="459" t="s">
        <v>2243</v>
      </c>
      <c r="E401" s="460" t="s">
        <v>47</v>
      </c>
      <c r="F401" s="461">
        <v>31</v>
      </c>
      <c r="G401" s="498">
        <v>74.63</v>
      </c>
      <c r="H401" s="462">
        <f t="shared" si="123"/>
        <v>2313.5299999999997</v>
      </c>
      <c r="I401" s="462">
        <f t="shared" si="124"/>
        <v>8955.5999999999985</v>
      </c>
      <c r="J401" s="463">
        <v>4</v>
      </c>
      <c r="K401" s="534">
        <v>75</v>
      </c>
      <c r="L401" s="462">
        <f t="shared" si="125"/>
        <v>1760</v>
      </c>
      <c r="M401" s="462">
        <v>1510</v>
      </c>
      <c r="N401" s="462">
        <v>250</v>
      </c>
      <c r="O401" s="462">
        <f t="shared" si="126"/>
        <v>4148.53</v>
      </c>
      <c r="P401" s="488">
        <f t="shared" si="127"/>
        <v>1274.6333333333332</v>
      </c>
      <c r="Q401" s="489">
        <f t="shared" si="128"/>
        <v>1257.172602739726</v>
      </c>
      <c r="R401" s="489">
        <f t="shared" si="129"/>
        <v>65.753424657534239</v>
      </c>
      <c r="S401" s="490">
        <f t="shared" si="130"/>
        <v>16295.599999999999</v>
      </c>
      <c r="T401" s="490">
        <f t="shared" si="131"/>
        <v>18893.159360730591</v>
      </c>
      <c r="U401" s="491">
        <f t="shared" si="132"/>
        <v>188.3</v>
      </c>
      <c r="V401" s="498">
        <f>(O401-N401)*11%</f>
        <v>428.83829999999995</v>
      </c>
      <c r="W401" s="498"/>
      <c r="X401" s="498"/>
      <c r="Y401" s="498">
        <v>1453.77</v>
      </c>
      <c r="Z401" s="462">
        <f t="shared" si="133"/>
        <v>2070.9083000000001</v>
      </c>
      <c r="AA401" s="462">
        <f t="shared" si="134"/>
        <v>2077.6216999999997</v>
      </c>
      <c r="AB401" s="489">
        <v>1000</v>
      </c>
    </row>
    <row r="402" spans="1:30" s="507" customFormat="1" ht="12">
      <c r="A402" s="456">
        <v>68</v>
      </c>
      <c r="B402" s="466" t="s">
        <v>2244</v>
      </c>
      <c r="C402" s="497">
        <v>9901443709</v>
      </c>
      <c r="D402" s="459" t="s">
        <v>2245</v>
      </c>
      <c r="E402" s="460" t="s">
        <v>44</v>
      </c>
      <c r="F402" s="461">
        <v>31</v>
      </c>
      <c r="G402" s="498">
        <v>72.540000000000006</v>
      </c>
      <c r="H402" s="462">
        <f t="shared" si="123"/>
        <v>2248.7400000000002</v>
      </c>
      <c r="I402" s="462">
        <f t="shared" si="124"/>
        <v>8704.8000000000011</v>
      </c>
      <c r="J402" s="463">
        <v>4</v>
      </c>
      <c r="K402" s="534">
        <v>75</v>
      </c>
      <c r="L402" s="462">
        <f t="shared" si="125"/>
        <v>1760</v>
      </c>
      <c r="M402" s="462">
        <v>1510</v>
      </c>
      <c r="N402" s="462">
        <v>250</v>
      </c>
      <c r="O402" s="462">
        <f t="shared" si="126"/>
        <v>4083.7400000000002</v>
      </c>
      <c r="P402" s="488">
        <f t="shared" si="127"/>
        <v>1253.7333333333333</v>
      </c>
      <c r="Q402" s="489">
        <f t="shared" si="128"/>
        <v>1236.5589041095891</v>
      </c>
      <c r="R402" s="489">
        <f t="shared" si="129"/>
        <v>65.753424657534239</v>
      </c>
      <c r="S402" s="490">
        <f t="shared" si="130"/>
        <v>16044.800000000001</v>
      </c>
      <c r="T402" s="490">
        <f t="shared" si="131"/>
        <v>18600.845662100459</v>
      </c>
      <c r="U402" s="491">
        <f t="shared" si="132"/>
        <v>185.17</v>
      </c>
      <c r="V402" s="498">
        <f>(O402-N402)*11%</f>
        <v>421.71140000000003</v>
      </c>
      <c r="W402" s="498"/>
      <c r="X402" s="498"/>
      <c r="Y402" s="498"/>
      <c r="Z402" s="462">
        <f t="shared" si="133"/>
        <v>606.88139999999999</v>
      </c>
      <c r="AA402" s="462">
        <f t="shared" si="134"/>
        <v>3476.8586000000005</v>
      </c>
      <c r="AB402" s="489">
        <v>1000</v>
      </c>
    </row>
    <row r="403" spans="1:30" s="507" customFormat="1" ht="12">
      <c r="A403" s="456">
        <v>69</v>
      </c>
      <c r="B403" s="466" t="s">
        <v>2246</v>
      </c>
      <c r="C403" s="497">
        <v>9901442643</v>
      </c>
      <c r="D403" s="459" t="s">
        <v>2247</v>
      </c>
      <c r="E403" s="460" t="s">
        <v>32</v>
      </c>
      <c r="F403" s="461">
        <v>31</v>
      </c>
      <c r="G403" s="498">
        <v>71.400000000000006</v>
      </c>
      <c r="H403" s="462">
        <f t="shared" si="123"/>
        <v>2213.4</v>
      </c>
      <c r="I403" s="462">
        <f t="shared" si="124"/>
        <v>8568</v>
      </c>
      <c r="J403" s="463">
        <v>4</v>
      </c>
      <c r="K403" s="534">
        <v>75</v>
      </c>
      <c r="L403" s="462">
        <f t="shared" si="125"/>
        <v>1760</v>
      </c>
      <c r="M403" s="462">
        <v>1510</v>
      </c>
      <c r="N403" s="462">
        <v>250</v>
      </c>
      <c r="O403" s="462">
        <f t="shared" si="126"/>
        <v>4048.4</v>
      </c>
      <c r="P403" s="488">
        <f t="shared" si="127"/>
        <v>1242.3333333333333</v>
      </c>
      <c r="Q403" s="489">
        <f t="shared" si="128"/>
        <v>1225.3150684931506</v>
      </c>
      <c r="R403" s="489">
        <f t="shared" si="129"/>
        <v>65.753424657534239</v>
      </c>
      <c r="S403" s="490">
        <f t="shared" si="130"/>
        <v>15908</v>
      </c>
      <c r="T403" s="490">
        <f t="shared" si="131"/>
        <v>18441.401826484016</v>
      </c>
      <c r="U403" s="491">
        <f t="shared" si="132"/>
        <v>183.46</v>
      </c>
      <c r="V403" s="498"/>
      <c r="W403" s="498"/>
      <c r="X403" s="498"/>
      <c r="Y403" s="498"/>
      <c r="Z403" s="462">
        <f t="shared" si="133"/>
        <v>183.46</v>
      </c>
      <c r="AA403" s="462">
        <f t="shared" si="134"/>
        <v>3864.94</v>
      </c>
      <c r="AB403" s="489">
        <v>1000</v>
      </c>
    </row>
    <row r="404" spans="1:30" s="507" customFormat="1" ht="12">
      <c r="A404" s="456">
        <v>70</v>
      </c>
      <c r="B404" s="466" t="s">
        <v>2248</v>
      </c>
      <c r="C404" s="497">
        <v>9901442775</v>
      </c>
      <c r="D404" s="459" t="s">
        <v>2249</v>
      </c>
      <c r="E404" s="460" t="s">
        <v>32</v>
      </c>
      <c r="F404" s="461">
        <v>31</v>
      </c>
      <c r="G404" s="498">
        <v>71.400000000000006</v>
      </c>
      <c r="H404" s="462">
        <f t="shared" si="123"/>
        <v>2213.4</v>
      </c>
      <c r="I404" s="462">
        <f t="shared" si="124"/>
        <v>8568</v>
      </c>
      <c r="J404" s="463">
        <v>4</v>
      </c>
      <c r="K404" s="534">
        <v>75</v>
      </c>
      <c r="L404" s="462">
        <f t="shared" si="125"/>
        <v>1760</v>
      </c>
      <c r="M404" s="462">
        <v>1510</v>
      </c>
      <c r="N404" s="462">
        <v>250</v>
      </c>
      <c r="O404" s="462">
        <f t="shared" si="126"/>
        <v>4048.4</v>
      </c>
      <c r="P404" s="488">
        <f t="shared" si="127"/>
        <v>1242.3333333333333</v>
      </c>
      <c r="Q404" s="489">
        <f t="shared" si="128"/>
        <v>1225.3150684931506</v>
      </c>
      <c r="R404" s="489">
        <f t="shared" si="129"/>
        <v>65.753424657534239</v>
      </c>
      <c r="S404" s="490">
        <f t="shared" si="130"/>
        <v>15908</v>
      </c>
      <c r="T404" s="490">
        <f t="shared" si="131"/>
        <v>18441.401826484016</v>
      </c>
      <c r="U404" s="491">
        <f t="shared" si="132"/>
        <v>183.46</v>
      </c>
      <c r="V404" s="498"/>
      <c r="W404" s="498"/>
      <c r="X404" s="498"/>
      <c r="Y404" s="498"/>
      <c r="Z404" s="462">
        <f t="shared" si="133"/>
        <v>183.46</v>
      </c>
      <c r="AA404" s="462">
        <f t="shared" si="134"/>
        <v>3864.94</v>
      </c>
      <c r="AB404" s="489">
        <v>1000</v>
      </c>
    </row>
    <row r="405" spans="1:30" s="507" customFormat="1" ht="12">
      <c r="A405" s="456">
        <v>71</v>
      </c>
      <c r="B405" s="466" t="s">
        <v>2250</v>
      </c>
      <c r="C405" s="497">
        <v>9901443721</v>
      </c>
      <c r="D405" s="459" t="s">
        <v>2251</v>
      </c>
      <c r="E405" s="460" t="s">
        <v>32</v>
      </c>
      <c r="F405" s="461">
        <v>31</v>
      </c>
      <c r="G405" s="498">
        <v>71.400000000000006</v>
      </c>
      <c r="H405" s="462">
        <f t="shared" si="123"/>
        <v>2213.4</v>
      </c>
      <c r="I405" s="462">
        <f t="shared" si="124"/>
        <v>8568</v>
      </c>
      <c r="J405" s="463">
        <v>4</v>
      </c>
      <c r="K405" s="534">
        <v>75</v>
      </c>
      <c r="L405" s="462">
        <f t="shared" si="125"/>
        <v>1760</v>
      </c>
      <c r="M405" s="462">
        <v>1510</v>
      </c>
      <c r="N405" s="462">
        <v>250</v>
      </c>
      <c r="O405" s="462">
        <f t="shared" si="126"/>
        <v>4048.4</v>
      </c>
      <c r="P405" s="488">
        <f t="shared" si="127"/>
        <v>1242.3333333333333</v>
      </c>
      <c r="Q405" s="489">
        <f t="shared" si="128"/>
        <v>1225.3150684931506</v>
      </c>
      <c r="R405" s="489">
        <f t="shared" si="129"/>
        <v>65.753424657534239</v>
      </c>
      <c r="S405" s="490">
        <f t="shared" si="130"/>
        <v>15908</v>
      </c>
      <c r="T405" s="490">
        <f t="shared" si="131"/>
        <v>18441.401826484016</v>
      </c>
      <c r="U405" s="491">
        <f t="shared" si="132"/>
        <v>183.46</v>
      </c>
      <c r="V405" s="498"/>
      <c r="W405" s="498">
        <v>10</v>
      </c>
      <c r="X405" s="498"/>
      <c r="Y405" s="498"/>
      <c r="Z405" s="462">
        <f t="shared" si="133"/>
        <v>193.46</v>
      </c>
      <c r="AA405" s="462">
        <f t="shared" si="134"/>
        <v>3854.94</v>
      </c>
      <c r="AB405" s="489">
        <v>1000</v>
      </c>
    </row>
    <row r="406" spans="1:30" s="507" customFormat="1" ht="12">
      <c r="A406" s="456">
        <v>72</v>
      </c>
      <c r="B406" s="457" t="s">
        <v>2252</v>
      </c>
      <c r="C406" s="497">
        <v>9901442445</v>
      </c>
      <c r="D406" s="459" t="s">
        <v>2253</v>
      </c>
      <c r="E406" s="460" t="s">
        <v>44</v>
      </c>
      <c r="F406" s="461">
        <v>31</v>
      </c>
      <c r="G406" s="498">
        <v>72.540000000000006</v>
      </c>
      <c r="H406" s="462">
        <f t="shared" si="123"/>
        <v>2248.7400000000002</v>
      </c>
      <c r="I406" s="462">
        <f t="shared" si="124"/>
        <v>8704.8000000000011</v>
      </c>
      <c r="J406" s="463">
        <v>4</v>
      </c>
      <c r="K406" s="534">
        <v>75</v>
      </c>
      <c r="L406" s="462">
        <f t="shared" si="125"/>
        <v>1760</v>
      </c>
      <c r="M406" s="462">
        <v>1510</v>
      </c>
      <c r="N406" s="462">
        <v>250</v>
      </c>
      <c r="O406" s="462">
        <f t="shared" si="126"/>
        <v>4083.7400000000002</v>
      </c>
      <c r="P406" s="488">
        <f t="shared" si="127"/>
        <v>1253.7333333333333</v>
      </c>
      <c r="Q406" s="489">
        <f t="shared" si="128"/>
        <v>1236.5589041095891</v>
      </c>
      <c r="R406" s="489">
        <f t="shared" si="129"/>
        <v>65.753424657534239</v>
      </c>
      <c r="S406" s="490">
        <f t="shared" si="130"/>
        <v>16044.800000000001</v>
      </c>
      <c r="T406" s="490">
        <f t="shared" si="131"/>
        <v>18600.845662100459</v>
      </c>
      <c r="U406" s="491">
        <f t="shared" si="132"/>
        <v>185.17</v>
      </c>
      <c r="V406" s="498"/>
      <c r="W406" s="498">
        <v>10</v>
      </c>
      <c r="X406" s="498"/>
      <c r="Y406" s="498">
        <v>1997.12</v>
      </c>
      <c r="Z406" s="462">
        <f t="shared" si="133"/>
        <v>2192.29</v>
      </c>
      <c r="AA406" s="462">
        <f t="shared" si="134"/>
        <v>1891.4500000000003</v>
      </c>
      <c r="AB406" s="489">
        <v>1000</v>
      </c>
    </row>
    <row r="407" spans="1:30" s="507" customFormat="1" ht="12">
      <c r="A407" s="456">
        <v>73</v>
      </c>
      <c r="B407" s="457" t="s">
        <v>2254</v>
      </c>
      <c r="C407" s="497">
        <v>9901442417</v>
      </c>
      <c r="D407" s="459" t="s">
        <v>2255</v>
      </c>
      <c r="E407" s="460" t="s">
        <v>32</v>
      </c>
      <c r="F407" s="461">
        <v>31</v>
      </c>
      <c r="G407" s="498">
        <v>71.400000000000006</v>
      </c>
      <c r="H407" s="462">
        <f t="shared" si="123"/>
        <v>2213.4</v>
      </c>
      <c r="I407" s="462">
        <f t="shared" si="124"/>
        <v>8568</v>
      </c>
      <c r="J407" s="463">
        <v>4</v>
      </c>
      <c r="K407" s="534">
        <v>75</v>
      </c>
      <c r="L407" s="462">
        <f t="shared" si="125"/>
        <v>1760</v>
      </c>
      <c r="M407" s="462">
        <v>1510</v>
      </c>
      <c r="N407" s="462">
        <v>250</v>
      </c>
      <c r="O407" s="462">
        <f t="shared" si="126"/>
        <v>4048.4</v>
      </c>
      <c r="P407" s="488">
        <f t="shared" si="127"/>
        <v>1242.3333333333333</v>
      </c>
      <c r="Q407" s="489">
        <f t="shared" si="128"/>
        <v>1225.3150684931506</v>
      </c>
      <c r="R407" s="489">
        <f t="shared" si="129"/>
        <v>65.753424657534239</v>
      </c>
      <c r="S407" s="490">
        <f t="shared" si="130"/>
        <v>15908</v>
      </c>
      <c r="T407" s="490">
        <f t="shared" si="131"/>
        <v>18441.401826484016</v>
      </c>
      <c r="U407" s="491">
        <f t="shared" si="132"/>
        <v>183.46</v>
      </c>
      <c r="V407" s="498">
        <f>(O407-N407)*11%</f>
        <v>417.82400000000001</v>
      </c>
      <c r="W407" s="498"/>
      <c r="X407" s="498"/>
      <c r="Y407" s="498"/>
      <c r="Z407" s="462">
        <f t="shared" si="133"/>
        <v>601.28399999999999</v>
      </c>
      <c r="AA407" s="462">
        <f t="shared" si="134"/>
        <v>3447.116</v>
      </c>
      <c r="AB407" s="489">
        <v>1000</v>
      </c>
    </row>
    <row r="408" spans="1:30" s="507" customFormat="1" ht="12">
      <c r="A408" s="456">
        <v>74</v>
      </c>
      <c r="B408" s="466" t="s">
        <v>2256</v>
      </c>
      <c r="C408" s="497">
        <v>9901442666</v>
      </c>
      <c r="D408" s="459" t="s">
        <v>2257</v>
      </c>
      <c r="E408" s="460" t="s">
        <v>32</v>
      </c>
      <c r="F408" s="461">
        <v>31</v>
      </c>
      <c r="G408" s="498">
        <v>71.400000000000006</v>
      </c>
      <c r="H408" s="462">
        <f t="shared" si="123"/>
        <v>2213.4</v>
      </c>
      <c r="I408" s="462">
        <f t="shared" si="124"/>
        <v>8568</v>
      </c>
      <c r="J408" s="463">
        <v>4</v>
      </c>
      <c r="K408" s="534">
        <v>50</v>
      </c>
      <c r="L408" s="462">
        <f t="shared" si="125"/>
        <v>1760</v>
      </c>
      <c r="M408" s="462">
        <v>1510</v>
      </c>
      <c r="N408" s="462">
        <v>250</v>
      </c>
      <c r="O408" s="462">
        <f t="shared" si="126"/>
        <v>4023.4</v>
      </c>
      <c r="P408" s="488">
        <f t="shared" si="127"/>
        <v>1234</v>
      </c>
      <c r="Q408" s="489">
        <f t="shared" si="128"/>
        <v>1217.0958904109589</v>
      </c>
      <c r="R408" s="489">
        <f t="shared" si="129"/>
        <v>65.753424657534239</v>
      </c>
      <c r="S408" s="490">
        <f t="shared" si="130"/>
        <v>15808</v>
      </c>
      <c r="T408" s="490">
        <f t="shared" si="131"/>
        <v>18324.849315068492</v>
      </c>
      <c r="U408" s="491">
        <f t="shared" si="132"/>
        <v>182.26</v>
      </c>
      <c r="V408" s="498"/>
      <c r="W408" s="498"/>
      <c r="X408" s="498"/>
      <c r="Y408" s="498">
        <v>1576.89</v>
      </c>
      <c r="Z408" s="462">
        <f t="shared" si="133"/>
        <v>1759.15</v>
      </c>
      <c r="AA408" s="462">
        <f t="shared" si="134"/>
        <v>2264.25</v>
      </c>
      <c r="AB408" s="489">
        <v>1000</v>
      </c>
    </row>
    <row r="409" spans="1:30" s="507" customFormat="1" ht="12">
      <c r="A409" s="456">
        <v>75</v>
      </c>
      <c r="B409" s="457" t="s">
        <v>2258</v>
      </c>
      <c r="C409" s="497">
        <v>9901443232</v>
      </c>
      <c r="D409" s="459" t="s">
        <v>2259</v>
      </c>
      <c r="E409" s="460" t="s">
        <v>35</v>
      </c>
      <c r="F409" s="461">
        <v>31</v>
      </c>
      <c r="G409" s="498">
        <v>71.400000000000006</v>
      </c>
      <c r="H409" s="462">
        <f t="shared" si="123"/>
        <v>2213.4</v>
      </c>
      <c r="I409" s="462">
        <f t="shared" si="124"/>
        <v>8568</v>
      </c>
      <c r="J409" s="463">
        <v>4</v>
      </c>
      <c r="K409" s="533">
        <v>35</v>
      </c>
      <c r="L409" s="462">
        <f t="shared" si="125"/>
        <v>1760</v>
      </c>
      <c r="M409" s="462">
        <v>1510</v>
      </c>
      <c r="N409" s="462">
        <v>250</v>
      </c>
      <c r="O409" s="462">
        <f t="shared" si="126"/>
        <v>4008.4</v>
      </c>
      <c r="P409" s="488">
        <f t="shared" si="127"/>
        <v>1229</v>
      </c>
      <c r="Q409" s="489">
        <f t="shared" si="128"/>
        <v>1212.1643835616437</v>
      </c>
      <c r="R409" s="489">
        <f t="shared" si="129"/>
        <v>65.753424657534239</v>
      </c>
      <c r="S409" s="490">
        <f t="shared" si="130"/>
        <v>15748</v>
      </c>
      <c r="T409" s="490">
        <f t="shared" si="131"/>
        <v>18254.917808219179</v>
      </c>
      <c r="U409" s="491">
        <f t="shared" si="132"/>
        <v>181.53</v>
      </c>
      <c r="V409" s="498">
        <f>(O409-N409)*11%</f>
        <v>413.42400000000004</v>
      </c>
      <c r="W409" s="462">
        <v>10</v>
      </c>
      <c r="X409" s="498"/>
      <c r="Y409" s="498">
        <v>1174.99</v>
      </c>
      <c r="Z409" s="462">
        <f t="shared" si="133"/>
        <v>1779.944</v>
      </c>
      <c r="AA409" s="462">
        <f t="shared" si="134"/>
        <v>2228.4560000000001</v>
      </c>
      <c r="AB409" s="489">
        <v>1000</v>
      </c>
    </row>
    <row r="410" spans="1:30" s="507" customFormat="1">
      <c r="A410" s="456">
        <v>76</v>
      </c>
      <c r="B410" s="466" t="s">
        <v>2260</v>
      </c>
      <c r="C410" s="497">
        <v>9901442852</v>
      </c>
      <c r="D410" s="459" t="s">
        <v>2261</v>
      </c>
      <c r="E410" s="460" t="s">
        <v>32</v>
      </c>
      <c r="F410" s="461">
        <v>31</v>
      </c>
      <c r="G410" s="498">
        <v>71.400000000000006</v>
      </c>
      <c r="H410" s="462">
        <f t="shared" si="123"/>
        <v>2213.4</v>
      </c>
      <c r="I410" s="462">
        <f t="shared" si="124"/>
        <v>8568</v>
      </c>
      <c r="J410" s="463">
        <v>4</v>
      </c>
      <c r="K410" s="468">
        <v>50</v>
      </c>
      <c r="L410" s="462">
        <f t="shared" si="125"/>
        <v>1760</v>
      </c>
      <c r="M410" s="462">
        <v>1510</v>
      </c>
      <c r="N410" s="462">
        <v>250</v>
      </c>
      <c r="O410" s="462">
        <f t="shared" si="126"/>
        <v>4023.4</v>
      </c>
      <c r="P410" s="488">
        <f t="shared" si="127"/>
        <v>1234</v>
      </c>
      <c r="Q410" s="489">
        <f t="shared" si="128"/>
        <v>1217.0958904109589</v>
      </c>
      <c r="R410" s="489">
        <f t="shared" si="129"/>
        <v>65.753424657534239</v>
      </c>
      <c r="S410" s="490">
        <f t="shared" si="130"/>
        <v>15808</v>
      </c>
      <c r="T410" s="490">
        <f t="shared" si="131"/>
        <v>18324.849315068492</v>
      </c>
      <c r="U410" s="491">
        <f t="shared" si="132"/>
        <v>182.26</v>
      </c>
      <c r="V410" s="498"/>
      <c r="W410" s="498"/>
      <c r="X410" s="512">
        <v>943.5</v>
      </c>
      <c r="Y410" s="498">
        <v>1871.88</v>
      </c>
      <c r="Z410" s="462">
        <f t="shared" si="133"/>
        <v>2997.6400000000003</v>
      </c>
      <c r="AA410" s="462">
        <f t="shared" si="134"/>
        <v>1025.7599999999998</v>
      </c>
      <c r="AB410" s="489">
        <v>1000</v>
      </c>
      <c r="AD410" s="507" t="s">
        <v>354</v>
      </c>
    </row>
    <row r="411" spans="1:30" s="507" customFormat="1" ht="12">
      <c r="A411" s="456">
        <v>77</v>
      </c>
      <c r="B411" s="457" t="s">
        <v>2262</v>
      </c>
      <c r="C411" s="497">
        <v>9901442856</v>
      </c>
      <c r="D411" s="459" t="s">
        <v>2263</v>
      </c>
      <c r="E411" s="460" t="s">
        <v>39</v>
      </c>
      <c r="F411" s="461">
        <v>31</v>
      </c>
      <c r="G411" s="498">
        <v>78.25</v>
      </c>
      <c r="H411" s="462">
        <f t="shared" si="123"/>
        <v>2425.75</v>
      </c>
      <c r="I411" s="462">
        <f t="shared" si="124"/>
        <v>9390</v>
      </c>
      <c r="J411" s="463">
        <v>4</v>
      </c>
      <c r="K411" s="534">
        <v>75</v>
      </c>
      <c r="L411" s="462">
        <f t="shared" si="125"/>
        <v>1760</v>
      </c>
      <c r="M411" s="462">
        <v>1510</v>
      </c>
      <c r="N411" s="462">
        <v>250</v>
      </c>
      <c r="O411" s="462">
        <f t="shared" si="126"/>
        <v>4260.75</v>
      </c>
      <c r="P411" s="488">
        <f t="shared" si="127"/>
        <v>1310.8333333333333</v>
      </c>
      <c r="Q411" s="489">
        <f t="shared" si="128"/>
        <v>1292.8767123287671</v>
      </c>
      <c r="R411" s="489">
        <f t="shared" si="129"/>
        <v>65.753424657534239</v>
      </c>
      <c r="S411" s="490">
        <f t="shared" si="130"/>
        <v>16730</v>
      </c>
      <c r="T411" s="490">
        <f t="shared" si="131"/>
        <v>19399.463470319632</v>
      </c>
      <c r="U411" s="491">
        <f t="shared" si="132"/>
        <v>193.72</v>
      </c>
      <c r="V411" s="498">
        <f>(O411-N411)*11%</f>
        <v>441.1825</v>
      </c>
      <c r="W411" s="498"/>
      <c r="X411" s="498"/>
      <c r="Y411" s="498">
        <v>1119.78</v>
      </c>
      <c r="Z411" s="462">
        <f t="shared" si="133"/>
        <v>1754.6825000000001</v>
      </c>
      <c r="AA411" s="462">
        <f t="shared" si="134"/>
        <v>2506.0675000000001</v>
      </c>
      <c r="AB411" s="489">
        <v>1000</v>
      </c>
    </row>
    <row r="412" spans="1:30" s="507" customFormat="1" ht="12">
      <c r="A412" s="456">
        <v>78</v>
      </c>
      <c r="B412" s="466" t="s">
        <v>2264</v>
      </c>
      <c r="C412" s="497">
        <v>9901442407</v>
      </c>
      <c r="D412" s="459" t="s">
        <v>2265</v>
      </c>
      <c r="E412" s="460" t="s">
        <v>72</v>
      </c>
      <c r="F412" s="461">
        <v>31</v>
      </c>
      <c r="G412" s="498">
        <v>71.400000000000006</v>
      </c>
      <c r="H412" s="462">
        <f t="shared" si="123"/>
        <v>2213.4</v>
      </c>
      <c r="I412" s="462">
        <f t="shared" si="124"/>
        <v>8568</v>
      </c>
      <c r="J412" s="463">
        <v>4</v>
      </c>
      <c r="K412" s="534">
        <v>75</v>
      </c>
      <c r="L412" s="462">
        <f t="shared" si="125"/>
        <v>1760</v>
      </c>
      <c r="M412" s="462">
        <v>1510</v>
      </c>
      <c r="N412" s="462">
        <v>250</v>
      </c>
      <c r="O412" s="462">
        <f t="shared" si="126"/>
        <v>4048.4</v>
      </c>
      <c r="P412" s="488">
        <f t="shared" si="127"/>
        <v>1242.3333333333333</v>
      </c>
      <c r="Q412" s="489">
        <f t="shared" si="128"/>
        <v>1225.3150684931506</v>
      </c>
      <c r="R412" s="489">
        <f t="shared" si="129"/>
        <v>65.753424657534239</v>
      </c>
      <c r="S412" s="490">
        <f t="shared" si="130"/>
        <v>15908</v>
      </c>
      <c r="T412" s="490">
        <f t="shared" si="131"/>
        <v>18441.401826484016</v>
      </c>
      <c r="U412" s="491">
        <f t="shared" si="132"/>
        <v>183.46</v>
      </c>
      <c r="V412" s="498"/>
      <c r="W412" s="498">
        <v>10</v>
      </c>
      <c r="X412" s="498"/>
      <c r="Y412" s="498"/>
      <c r="Z412" s="462">
        <f t="shared" si="133"/>
        <v>193.46</v>
      </c>
      <c r="AA412" s="462">
        <f t="shared" si="134"/>
        <v>3854.94</v>
      </c>
      <c r="AB412" s="489">
        <v>1000</v>
      </c>
    </row>
    <row r="413" spans="1:30" s="507" customFormat="1" ht="12">
      <c r="A413" s="456">
        <v>79</v>
      </c>
      <c r="B413" s="457" t="s">
        <v>2266</v>
      </c>
      <c r="C413" s="497">
        <v>9901442670</v>
      </c>
      <c r="D413" s="459" t="s">
        <v>2267</v>
      </c>
      <c r="E413" s="460" t="s">
        <v>1175</v>
      </c>
      <c r="F413" s="461">
        <v>31</v>
      </c>
      <c r="G413" s="498">
        <v>71.400000000000006</v>
      </c>
      <c r="H413" s="462">
        <f t="shared" si="123"/>
        <v>2213.4</v>
      </c>
      <c r="I413" s="462">
        <f t="shared" si="124"/>
        <v>8568</v>
      </c>
      <c r="J413" s="463">
        <v>4</v>
      </c>
      <c r="K413" s="534">
        <v>50</v>
      </c>
      <c r="L413" s="462">
        <f t="shared" si="125"/>
        <v>1760</v>
      </c>
      <c r="M413" s="462">
        <v>1510</v>
      </c>
      <c r="N413" s="462">
        <v>250</v>
      </c>
      <c r="O413" s="462">
        <f t="shared" si="126"/>
        <v>4023.4</v>
      </c>
      <c r="P413" s="488">
        <f t="shared" si="127"/>
        <v>1234</v>
      </c>
      <c r="Q413" s="489">
        <f t="shared" si="128"/>
        <v>1217.0958904109589</v>
      </c>
      <c r="R413" s="489">
        <f t="shared" si="129"/>
        <v>65.753424657534239</v>
      </c>
      <c r="S413" s="490">
        <f t="shared" si="130"/>
        <v>15808</v>
      </c>
      <c r="T413" s="490">
        <f t="shared" si="131"/>
        <v>18324.849315068492</v>
      </c>
      <c r="U413" s="491">
        <f t="shared" si="132"/>
        <v>182.26</v>
      </c>
      <c r="V413" s="498">
        <f>(O413-N413)*11%</f>
        <v>415.07400000000001</v>
      </c>
      <c r="W413" s="498"/>
      <c r="X413" s="498"/>
      <c r="Y413" s="498"/>
      <c r="Z413" s="462">
        <f t="shared" si="133"/>
        <v>597.33400000000006</v>
      </c>
      <c r="AA413" s="462">
        <f t="shared" si="134"/>
        <v>3426.0659999999998</v>
      </c>
      <c r="AB413" s="489">
        <v>1000</v>
      </c>
    </row>
    <row r="414" spans="1:30" s="507" customFormat="1" ht="12">
      <c r="A414" s="456">
        <v>80</v>
      </c>
      <c r="B414" s="457" t="s">
        <v>2268</v>
      </c>
      <c r="C414" s="497">
        <v>9901442880</v>
      </c>
      <c r="D414" s="459" t="s">
        <v>2269</v>
      </c>
      <c r="E414" s="460" t="s">
        <v>32</v>
      </c>
      <c r="F414" s="461">
        <v>31</v>
      </c>
      <c r="G414" s="498">
        <v>71.400000000000006</v>
      </c>
      <c r="H414" s="462">
        <f t="shared" si="123"/>
        <v>2213.4</v>
      </c>
      <c r="I414" s="462">
        <f t="shared" si="124"/>
        <v>8568</v>
      </c>
      <c r="J414" s="463">
        <v>4</v>
      </c>
      <c r="K414" s="534">
        <v>75</v>
      </c>
      <c r="L414" s="462">
        <f t="shared" si="125"/>
        <v>1760</v>
      </c>
      <c r="M414" s="462">
        <v>1510</v>
      </c>
      <c r="N414" s="462">
        <v>250</v>
      </c>
      <c r="O414" s="462">
        <f t="shared" si="126"/>
        <v>4048.4</v>
      </c>
      <c r="P414" s="488">
        <f t="shared" si="127"/>
        <v>1242.3333333333333</v>
      </c>
      <c r="Q414" s="489">
        <f t="shared" si="128"/>
        <v>1225.3150684931506</v>
      </c>
      <c r="R414" s="489">
        <f t="shared" si="129"/>
        <v>65.753424657534239</v>
      </c>
      <c r="S414" s="490">
        <f t="shared" si="130"/>
        <v>15908</v>
      </c>
      <c r="T414" s="490">
        <f t="shared" si="131"/>
        <v>18441.401826484016</v>
      </c>
      <c r="U414" s="491">
        <f t="shared" si="132"/>
        <v>183.46</v>
      </c>
      <c r="V414" s="498"/>
      <c r="W414" s="498">
        <v>10</v>
      </c>
      <c r="X414" s="498"/>
      <c r="Y414" s="498"/>
      <c r="Z414" s="462">
        <f t="shared" si="133"/>
        <v>193.46</v>
      </c>
      <c r="AA414" s="462">
        <f t="shared" si="134"/>
        <v>3854.94</v>
      </c>
      <c r="AB414" s="489">
        <v>1000</v>
      </c>
    </row>
    <row r="415" spans="1:30" s="507" customFormat="1" ht="12">
      <c r="A415" s="456">
        <v>81</v>
      </c>
      <c r="B415" s="457" t="s">
        <v>2270</v>
      </c>
      <c r="C415" s="497">
        <v>9901442783</v>
      </c>
      <c r="D415" s="459" t="s">
        <v>2271</v>
      </c>
      <c r="E415" s="460" t="s">
        <v>1175</v>
      </c>
      <c r="F415" s="461">
        <v>31</v>
      </c>
      <c r="G415" s="498">
        <v>71.400000000000006</v>
      </c>
      <c r="H415" s="462">
        <f t="shared" si="123"/>
        <v>2213.4</v>
      </c>
      <c r="I415" s="462">
        <f t="shared" si="124"/>
        <v>8568</v>
      </c>
      <c r="J415" s="463">
        <v>4</v>
      </c>
      <c r="K415" s="534">
        <v>75</v>
      </c>
      <c r="L415" s="462">
        <f t="shared" si="125"/>
        <v>1760</v>
      </c>
      <c r="M415" s="462">
        <v>1510</v>
      </c>
      <c r="N415" s="462">
        <v>250</v>
      </c>
      <c r="O415" s="462">
        <f t="shared" si="126"/>
        <v>4048.4</v>
      </c>
      <c r="P415" s="488">
        <f t="shared" si="127"/>
        <v>1242.3333333333333</v>
      </c>
      <c r="Q415" s="489">
        <f t="shared" si="128"/>
        <v>1225.3150684931506</v>
      </c>
      <c r="R415" s="489">
        <f t="shared" si="129"/>
        <v>65.753424657534239</v>
      </c>
      <c r="S415" s="490">
        <f t="shared" si="130"/>
        <v>15908</v>
      </c>
      <c r="T415" s="490">
        <f t="shared" si="131"/>
        <v>18441.401826484016</v>
      </c>
      <c r="U415" s="491">
        <f t="shared" si="132"/>
        <v>183.46</v>
      </c>
      <c r="V415" s="498"/>
      <c r="W415" s="498"/>
      <c r="X415" s="498"/>
      <c r="Y415" s="498"/>
      <c r="Z415" s="462">
        <f t="shared" si="133"/>
        <v>183.46</v>
      </c>
      <c r="AA415" s="462">
        <f t="shared" si="134"/>
        <v>3864.94</v>
      </c>
      <c r="AB415" s="489">
        <v>1000</v>
      </c>
    </row>
    <row r="416" spans="1:30" s="507" customFormat="1">
      <c r="A416" s="456">
        <v>82</v>
      </c>
      <c r="B416" s="457" t="s">
        <v>2272</v>
      </c>
      <c r="C416" s="497">
        <v>9901442435</v>
      </c>
      <c r="D416" s="459" t="s">
        <v>2273</v>
      </c>
      <c r="E416" s="460" t="s">
        <v>32</v>
      </c>
      <c r="F416" s="461">
        <v>31</v>
      </c>
      <c r="G416" s="498">
        <v>71.400000000000006</v>
      </c>
      <c r="H416" s="462">
        <f t="shared" si="123"/>
        <v>2213.4</v>
      </c>
      <c r="I416" s="462">
        <f t="shared" si="124"/>
        <v>8568</v>
      </c>
      <c r="J416" s="463">
        <v>4</v>
      </c>
      <c r="K416" s="468">
        <v>50</v>
      </c>
      <c r="L416" s="462">
        <f t="shared" si="125"/>
        <v>1760</v>
      </c>
      <c r="M416" s="462">
        <v>1510</v>
      </c>
      <c r="N416" s="462">
        <v>250</v>
      </c>
      <c r="O416" s="462">
        <f t="shared" si="126"/>
        <v>4023.4</v>
      </c>
      <c r="P416" s="488">
        <f t="shared" si="127"/>
        <v>1234</v>
      </c>
      <c r="Q416" s="489">
        <f t="shared" si="128"/>
        <v>1217.0958904109589</v>
      </c>
      <c r="R416" s="489">
        <f t="shared" si="129"/>
        <v>65.753424657534239</v>
      </c>
      <c r="S416" s="490">
        <f t="shared" si="130"/>
        <v>15808</v>
      </c>
      <c r="T416" s="490">
        <f t="shared" si="131"/>
        <v>18324.849315068492</v>
      </c>
      <c r="U416" s="491">
        <f t="shared" si="132"/>
        <v>182.26</v>
      </c>
      <c r="V416" s="498"/>
      <c r="W416" s="498"/>
      <c r="X416" s="498"/>
      <c r="Y416" s="512">
        <v>1802.78</v>
      </c>
      <c r="Z416" s="462">
        <f t="shared" si="133"/>
        <v>1985.04</v>
      </c>
      <c r="AA416" s="462">
        <f t="shared" si="134"/>
        <v>2038.3600000000001</v>
      </c>
      <c r="AB416" s="489">
        <v>1000</v>
      </c>
      <c r="AD416" s="507" t="s">
        <v>2274</v>
      </c>
    </row>
    <row r="417" spans="1:30" s="507" customFormat="1">
      <c r="A417" s="456">
        <v>83</v>
      </c>
      <c r="B417" s="457" t="s">
        <v>2275</v>
      </c>
      <c r="C417" s="4">
        <v>9901442882</v>
      </c>
      <c r="D417" s="459" t="s">
        <v>2276</v>
      </c>
      <c r="E417" s="460" t="s">
        <v>32</v>
      </c>
      <c r="F417" s="461">
        <v>31</v>
      </c>
      <c r="G417" s="498">
        <v>71.400000000000006</v>
      </c>
      <c r="H417" s="462">
        <f t="shared" si="123"/>
        <v>2213.4</v>
      </c>
      <c r="I417" s="462">
        <f t="shared" si="124"/>
        <v>8568</v>
      </c>
      <c r="J417" s="463">
        <v>4</v>
      </c>
      <c r="K417" s="534">
        <v>75</v>
      </c>
      <c r="L417" s="462">
        <f t="shared" si="125"/>
        <v>1760</v>
      </c>
      <c r="M417" s="462">
        <v>1510</v>
      </c>
      <c r="N417" s="462">
        <v>250</v>
      </c>
      <c r="O417" s="462">
        <f t="shared" si="126"/>
        <v>4048.4</v>
      </c>
      <c r="P417" s="488">
        <f t="shared" si="127"/>
        <v>1242.3333333333333</v>
      </c>
      <c r="Q417" s="489">
        <f t="shared" si="128"/>
        <v>1225.3150684931506</v>
      </c>
      <c r="R417" s="489">
        <f t="shared" si="129"/>
        <v>65.753424657534239</v>
      </c>
      <c r="S417" s="490">
        <f t="shared" si="130"/>
        <v>15908</v>
      </c>
      <c r="T417" s="490">
        <f t="shared" si="131"/>
        <v>18441.401826484016</v>
      </c>
      <c r="U417" s="491">
        <f t="shared" si="132"/>
        <v>183.46</v>
      </c>
      <c r="V417" s="498">
        <f>(O417-N417)*11%</f>
        <v>417.82400000000001</v>
      </c>
      <c r="W417" s="498">
        <v>10</v>
      </c>
      <c r="X417" s="498"/>
      <c r="Y417" s="498"/>
      <c r="Z417" s="462">
        <f t="shared" si="133"/>
        <v>611.28399999999999</v>
      </c>
      <c r="AA417" s="462">
        <f t="shared" si="134"/>
        <v>3437.116</v>
      </c>
      <c r="AB417" s="489">
        <v>1000</v>
      </c>
    </row>
    <row r="418" spans="1:30" s="507" customFormat="1" ht="12">
      <c r="A418" s="456">
        <v>84</v>
      </c>
      <c r="B418" s="466" t="s">
        <v>2277</v>
      </c>
      <c r="C418" s="497">
        <v>9901443138</v>
      </c>
      <c r="D418" s="459" t="s">
        <v>2278</v>
      </c>
      <c r="E418" s="460" t="s">
        <v>47</v>
      </c>
      <c r="F418" s="461">
        <v>31</v>
      </c>
      <c r="G418" s="498">
        <v>74.63</v>
      </c>
      <c r="H418" s="462">
        <f t="shared" si="123"/>
        <v>2313.5299999999997</v>
      </c>
      <c r="I418" s="462">
        <f t="shared" si="124"/>
        <v>8955.5999999999985</v>
      </c>
      <c r="J418" s="463">
        <v>4</v>
      </c>
      <c r="K418" s="534">
        <v>75</v>
      </c>
      <c r="L418" s="462">
        <f t="shared" si="125"/>
        <v>1760</v>
      </c>
      <c r="M418" s="462">
        <v>1510</v>
      </c>
      <c r="N418" s="462">
        <v>250</v>
      </c>
      <c r="O418" s="462">
        <f t="shared" si="126"/>
        <v>4148.53</v>
      </c>
      <c r="P418" s="488">
        <f t="shared" si="127"/>
        <v>1274.6333333333332</v>
      </c>
      <c r="Q418" s="489">
        <f t="shared" si="128"/>
        <v>1257.172602739726</v>
      </c>
      <c r="R418" s="489">
        <f t="shared" si="129"/>
        <v>65.753424657534239</v>
      </c>
      <c r="S418" s="490">
        <f t="shared" si="130"/>
        <v>16295.599999999999</v>
      </c>
      <c r="T418" s="490">
        <f t="shared" si="131"/>
        <v>18893.159360730591</v>
      </c>
      <c r="U418" s="491">
        <f t="shared" si="132"/>
        <v>188.3</v>
      </c>
      <c r="V418" s="498"/>
      <c r="W418" s="498"/>
      <c r="X418" s="498"/>
      <c r="Y418" s="498">
        <v>1886.06</v>
      </c>
      <c r="Z418" s="462">
        <f t="shared" si="133"/>
        <v>2074.36</v>
      </c>
      <c r="AA418" s="462">
        <f t="shared" si="134"/>
        <v>2074.1699999999996</v>
      </c>
      <c r="AB418" s="489">
        <v>1000</v>
      </c>
    </row>
    <row r="419" spans="1:30" s="507" customFormat="1" ht="12">
      <c r="A419" s="456">
        <v>85</v>
      </c>
      <c r="B419" s="457" t="s">
        <v>2279</v>
      </c>
      <c r="C419" s="497">
        <v>9901442810</v>
      </c>
      <c r="D419" s="459" t="s">
        <v>2280</v>
      </c>
      <c r="E419" s="460" t="s">
        <v>44</v>
      </c>
      <c r="F419" s="461">
        <v>31</v>
      </c>
      <c r="G419" s="498">
        <v>72.540000000000006</v>
      </c>
      <c r="H419" s="462">
        <f t="shared" si="123"/>
        <v>2248.7400000000002</v>
      </c>
      <c r="I419" s="462">
        <f t="shared" si="124"/>
        <v>8704.8000000000011</v>
      </c>
      <c r="J419" s="463">
        <v>4</v>
      </c>
      <c r="K419" s="534">
        <v>75</v>
      </c>
      <c r="L419" s="462">
        <f t="shared" si="125"/>
        <v>1760</v>
      </c>
      <c r="M419" s="462">
        <v>1510</v>
      </c>
      <c r="N419" s="462">
        <v>250</v>
      </c>
      <c r="O419" s="462">
        <f t="shared" si="126"/>
        <v>4083.7400000000002</v>
      </c>
      <c r="P419" s="488">
        <f t="shared" si="127"/>
        <v>1253.7333333333333</v>
      </c>
      <c r="Q419" s="489">
        <f t="shared" si="128"/>
        <v>1236.5589041095891</v>
      </c>
      <c r="R419" s="489">
        <f t="shared" si="129"/>
        <v>65.753424657534239</v>
      </c>
      <c r="S419" s="490">
        <f t="shared" si="130"/>
        <v>16044.800000000001</v>
      </c>
      <c r="T419" s="490">
        <f t="shared" si="131"/>
        <v>18600.845662100459</v>
      </c>
      <c r="U419" s="491">
        <f t="shared" si="132"/>
        <v>185.17</v>
      </c>
      <c r="V419" s="498"/>
      <c r="W419" s="498"/>
      <c r="X419" s="498"/>
      <c r="Y419" s="498"/>
      <c r="Z419" s="462">
        <f t="shared" si="133"/>
        <v>185.17</v>
      </c>
      <c r="AA419" s="462">
        <f t="shared" si="134"/>
        <v>3898.57</v>
      </c>
      <c r="AB419" s="489">
        <v>1000</v>
      </c>
    </row>
    <row r="420" spans="1:30" s="507" customFormat="1" ht="12">
      <c r="A420" s="456">
        <v>86</v>
      </c>
      <c r="B420" s="466" t="s">
        <v>2281</v>
      </c>
      <c r="C420" s="497">
        <v>9901442816</v>
      </c>
      <c r="D420" s="459" t="s">
        <v>2282</v>
      </c>
      <c r="E420" s="460" t="s">
        <v>1175</v>
      </c>
      <c r="F420" s="461">
        <v>31</v>
      </c>
      <c r="G420" s="498">
        <v>71.400000000000006</v>
      </c>
      <c r="H420" s="462">
        <f t="shared" si="123"/>
        <v>2213.4</v>
      </c>
      <c r="I420" s="462">
        <f t="shared" si="124"/>
        <v>8568</v>
      </c>
      <c r="J420" s="463">
        <v>4</v>
      </c>
      <c r="K420" s="534">
        <v>75</v>
      </c>
      <c r="L420" s="462">
        <f t="shared" si="125"/>
        <v>1760</v>
      </c>
      <c r="M420" s="462">
        <v>1510</v>
      </c>
      <c r="N420" s="462">
        <v>250</v>
      </c>
      <c r="O420" s="462">
        <f t="shared" si="126"/>
        <v>4048.4</v>
      </c>
      <c r="P420" s="488">
        <f t="shared" si="127"/>
        <v>1242.3333333333333</v>
      </c>
      <c r="Q420" s="489">
        <f t="shared" si="128"/>
        <v>1225.3150684931506</v>
      </c>
      <c r="R420" s="489">
        <f t="shared" si="129"/>
        <v>65.753424657534239</v>
      </c>
      <c r="S420" s="490">
        <f t="shared" si="130"/>
        <v>15908</v>
      </c>
      <c r="T420" s="490">
        <f t="shared" si="131"/>
        <v>18441.401826484016</v>
      </c>
      <c r="U420" s="491">
        <f t="shared" si="132"/>
        <v>183.46</v>
      </c>
      <c r="V420" s="498"/>
      <c r="W420" s="498"/>
      <c r="X420" s="498"/>
      <c r="Y420" s="498"/>
      <c r="Z420" s="462">
        <f t="shared" si="133"/>
        <v>183.46</v>
      </c>
      <c r="AA420" s="462">
        <f t="shared" si="134"/>
        <v>3864.94</v>
      </c>
      <c r="AB420" s="489">
        <v>1000</v>
      </c>
    </row>
    <row r="421" spans="1:30" s="507" customFormat="1" ht="12">
      <c r="A421" s="456">
        <v>87</v>
      </c>
      <c r="B421" s="466" t="s">
        <v>2283</v>
      </c>
      <c r="C421" s="497">
        <v>9901442386</v>
      </c>
      <c r="D421" s="459" t="s">
        <v>2284</v>
      </c>
      <c r="E421" s="460" t="s">
        <v>39</v>
      </c>
      <c r="F421" s="461">
        <v>31</v>
      </c>
      <c r="G421" s="498">
        <v>78.25</v>
      </c>
      <c r="H421" s="462">
        <f t="shared" si="123"/>
        <v>2425.75</v>
      </c>
      <c r="I421" s="462">
        <f t="shared" si="124"/>
        <v>9390</v>
      </c>
      <c r="J421" s="463">
        <v>4</v>
      </c>
      <c r="K421" s="534">
        <v>75</v>
      </c>
      <c r="L421" s="462">
        <f t="shared" si="125"/>
        <v>1760</v>
      </c>
      <c r="M421" s="462">
        <v>1510</v>
      </c>
      <c r="N421" s="462">
        <v>250</v>
      </c>
      <c r="O421" s="462">
        <f t="shared" si="126"/>
        <v>4260.75</v>
      </c>
      <c r="P421" s="488">
        <f t="shared" si="127"/>
        <v>1310.8333333333333</v>
      </c>
      <c r="Q421" s="489">
        <f t="shared" si="128"/>
        <v>1292.8767123287671</v>
      </c>
      <c r="R421" s="489">
        <f t="shared" si="129"/>
        <v>65.753424657534239</v>
      </c>
      <c r="S421" s="490">
        <f t="shared" si="130"/>
        <v>16730</v>
      </c>
      <c r="T421" s="490">
        <f t="shared" si="131"/>
        <v>19399.463470319632</v>
      </c>
      <c r="U421" s="491">
        <f t="shared" si="132"/>
        <v>193.72</v>
      </c>
      <c r="V421" s="498">
        <f>(O421-N421)*11%</f>
        <v>441.1825</v>
      </c>
      <c r="W421" s="498">
        <v>10</v>
      </c>
      <c r="X421" s="498"/>
      <c r="Y421" s="498">
        <v>801.11</v>
      </c>
      <c r="Z421" s="462">
        <f t="shared" si="133"/>
        <v>1446.0125</v>
      </c>
      <c r="AA421" s="462">
        <f t="shared" si="134"/>
        <v>2814.7375000000002</v>
      </c>
      <c r="AB421" s="489">
        <v>1000</v>
      </c>
    </row>
    <row r="422" spans="1:30" s="507" customFormat="1" ht="12">
      <c r="A422" s="456">
        <v>88</v>
      </c>
      <c r="B422" s="457" t="s">
        <v>2285</v>
      </c>
      <c r="C422" s="497">
        <v>9901443894</v>
      </c>
      <c r="D422" s="459" t="s">
        <v>2286</v>
      </c>
      <c r="E422" s="460" t="s">
        <v>1175</v>
      </c>
      <c r="F422" s="461">
        <v>31</v>
      </c>
      <c r="G422" s="498">
        <v>71.400000000000006</v>
      </c>
      <c r="H422" s="462">
        <f t="shared" si="123"/>
        <v>2213.4</v>
      </c>
      <c r="I422" s="462">
        <f t="shared" si="124"/>
        <v>8568</v>
      </c>
      <c r="J422" s="463">
        <v>4</v>
      </c>
      <c r="K422" s="468">
        <v>50</v>
      </c>
      <c r="L422" s="462">
        <f t="shared" si="125"/>
        <v>1760</v>
      </c>
      <c r="M422" s="462">
        <v>1510</v>
      </c>
      <c r="N422" s="462">
        <v>250</v>
      </c>
      <c r="O422" s="462">
        <f t="shared" si="126"/>
        <v>4023.4</v>
      </c>
      <c r="P422" s="488">
        <f t="shared" si="127"/>
        <v>1234</v>
      </c>
      <c r="Q422" s="489">
        <f t="shared" si="128"/>
        <v>1217.0958904109589</v>
      </c>
      <c r="R422" s="489">
        <f t="shared" si="129"/>
        <v>65.753424657534239</v>
      </c>
      <c r="S422" s="490">
        <f t="shared" si="130"/>
        <v>15808</v>
      </c>
      <c r="T422" s="490">
        <f t="shared" si="131"/>
        <v>18324.849315068492</v>
      </c>
      <c r="U422" s="491">
        <f t="shared" si="132"/>
        <v>182.26</v>
      </c>
      <c r="V422" s="498"/>
      <c r="W422" s="498"/>
      <c r="X422" s="498"/>
      <c r="Y422" s="498">
        <v>1682.8</v>
      </c>
      <c r="Z422" s="462">
        <f t="shared" si="133"/>
        <v>1865.06</v>
      </c>
      <c r="AA422" s="462">
        <f t="shared" si="134"/>
        <v>2158.34</v>
      </c>
      <c r="AB422" s="489">
        <v>1000</v>
      </c>
      <c r="AD422" s="507" t="s">
        <v>354</v>
      </c>
    </row>
    <row r="423" spans="1:30" s="507" customFormat="1" ht="12">
      <c r="A423" s="456">
        <v>89</v>
      </c>
      <c r="B423" s="466" t="s">
        <v>2287</v>
      </c>
      <c r="C423" s="497">
        <v>9901442420</v>
      </c>
      <c r="D423" s="459" t="s">
        <v>2288</v>
      </c>
      <c r="E423" s="460" t="s">
        <v>1175</v>
      </c>
      <c r="F423" s="461">
        <v>31</v>
      </c>
      <c r="G423" s="498">
        <v>71.400000000000006</v>
      </c>
      <c r="H423" s="462">
        <f t="shared" si="123"/>
        <v>2213.4</v>
      </c>
      <c r="I423" s="462">
        <f t="shared" si="124"/>
        <v>8568</v>
      </c>
      <c r="J423" s="463">
        <v>4</v>
      </c>
      <c r="K423" s="534">
        <v>75</v>
      </c>
      <c r="L423" s="462">
        <f t="shared" si="125"/>
        <v>1760</v>
      </c>
      <c r="M423" s="462">
        <v>1510</v>
      </c>
      <c r="N423" s="462">
        <v>250</v>
      </c>
      <c r="O423" s="462">
        <f t="shared" si="126"/>
        <v>4048.4</v>
      </c>
      <c r="P423" s="488">
        <f t="shared" si="127"/>
        <v>1242.3333333333333</v>
      </c>
      <c r="Q423" s="489">
        <f t="shared" si="128"/>
        <v>1225.3150684931506</v>
      </c>
      <c r="R423" s="489">
        <f t="shared" si="129"/>
        <v>65.753424657534239</v>
      </c>
      <c r="S423" s="490">
        <f t="shared" si="130"/>
        <v>15908</v>
      </c>
      <c r="T423" s="490">
        <f t="shared" si="131"/>
        <v>18441.401826484016</v>
      </c>
      <c r="U423" s="491">
        <f t="shared" si="132"/>
        <v>183.46</v>
      </c>
      <c r="V423" s="498"/>
      <c r="W423" s="498"/>
      <c r="X423" s="498"/>
      <c r="Y423" s="498"/>
      <c r="Z423" s="462">
        <f t="shared" si="133"/>
        <v>183.46</v>
      </c>
      <c r="AA423" s="462">
        <f t="shared" si="134"/>
        <v>3864.94</v>
      </c>
      <c r="AB423" s="489">
        <v>1000</v>
      </c>
    </row>
    <row r="424" spans="1:30" s="507" customFormat="1" ht="12">
      <c r="A424" s="456">
        <v>90</v>
      </c>
      <c r="B424" s="466" t="s">
        <v>2289</v>
      </c>
      <c r="C424" s="497">
        <v>9901442673</v>
      </c>
      <c r="D424" s="459" t="s">
        <v>2290</v>
      </c>
      <c r="E424" s="460" t="s">
        <v>1175</v>
      </c>
      <c r="F424" s="461">
        <v>31</v>
      </c>
      <c r="G424" s="498">
        <v>71.400000000000006</v>
      </c>
      <c r="H424" s="462">
        <f t="shared" si="123"/>
        <v>2213.4</v>
      </c>
      <c r="I424" s="462">
        <f t="shared" si="124"/>
        <v>8568</v>
      </c>
      <c r="J424" s="463">
        <v>4</v>
      </c>
      <c r="K424" s="534">
        <v>50</v>
      </c>
      <c r="L424" s="462">
        <f t="shared" si="125"/>
        <v>1760</v>
      </c>
      <c r="M424" s="462">
        <v>1510</v>
      </c>
      <c r="N424" s="462">
        <v>250</v>
      </c>
      <c r="O424" s="462">
        <f t="shared" si="126"/>
        <v>4023.4</v>
      </c>
      <c r="P424" s="488">
        <f t="shared" si="127"/>
        <v>1234</v>
      </c>
      <c r="Q424" s="489">
        <f t="shared" si="128"/>
        <v>1217.0958904109589</v>
      </c>
      <c r="R424" s="489">
        <f t="shared" si="129"/>
        <v>65.753424657534239</v>
      </c>
      <c r="S424" s="490">
        <f t="shared" si="130"/>
        <v>15808</v>
      </c>
      <c r="T424" s="490">
        <f t="shared" si="131"/>
        <v>18324.849315068492</v>
      </c>
      <c r="U424" s="491">
        <f t="shared" si="132"/>
        <v>182.26</v>
      </c>
      <c r="V424" s="498"/>
      <c r="W424" s="498"/>
      <c r="X424" s="498"/>
      <c r="Y424" s="498">
        <v>1698.68</v>
      </c>
      <c r="Z424" s="462">
        <f t="shared" si="133"/>
        <v>1880.94</v>
      </c>
      <c r="AA424" s="462">
        <f t="shared" si="134"/>
        <v>2142.46</v>
      </c>
      <c r="AB424" s="489">
        <v>1000</v>
      </c>
    </row>
    <row r="425" spans="1:30" s="507" customFormat="1" ht="12">
      <c r="A425" s="456">
        <v>91</v>
      </c>
      <c r="B425" s="457" t="s">
        <v>2291</v>
      </c>
      <c r="C425" s="497">
        <v>9901442411</v>
      </c>
      <c r="D425" s="459" t="s">
        <v>2292</v>
      </c>
      <c r="E425" s="460" t="s">
        <v>46</v>
      </c>
      <c r="F425" s="461">
        <v>31</v>
      </c>
      <c r="G425" s="498">
        <v>73.59</v>
      </c>
      <c r="H425" s="462">
        <f t="shared" si="123"/>
        <v>2281.29</v>
      </c>
      <c r="I425" s="462">
        <f t="shared" si="124"/>
        <v>8830.8000000000011</v>
      </c>
      <c r="J425" s="463">
        <v>4</v>
      </c>
      <c r="K425" s="534">
        <v>75</v>
      </c>
      <c r="L425" s="462">
        <f t="shared" si="125"/>
        <v>1760</v>
      </c>
      <c r="M425" s="462">
        <v>1510</v>
      </c>
      <c r="N425" s="462">
        <v>250</v>
      </c>
      <c r="O425" s="462">
        <f t="shared" si="126"/>
        <v>4116.29</v>
      </c>
      <c r="P425" s="488">
        <f t="shared" si="127"/>
        <v>1264.2333333333333</v>
      </c>
      <c r="Q425" s="489">
        <f t="shared" si="128"/>
        <v>1246.9150684931508</v>
      </c>
      <c r="R425" s="489">
        <f t="shared" si="129"/>
        <v>65.753424657534239</v>
      </c>
      <c r="S425" s="490">
        <f t="shared" si="130"/>
        <v>16170.800000000001</v>
      </c>
      <c r="T425" s="490">
        <f t="shared" si="131"/>
        <v>18747.701826484019</v>
      </c>
      <c r="U425" s="491">
        <f t="shared" si="132"/>
        <v>186.74</v>
      </c>
      <c r="V425" s="498"/>
      <c r="W425" s="498">
        <v>10</v>
      </c>
      <c r="X425" s="498"/>
      <c r="Y425" s="498"/>
      <c r="Z425" s="462">
        <f t="shared" si="133"/>
        <v>196.74</v>
      </c>
      <c r="AA425" s="462">
        <f t="shared" si="134"/>
        <v>3919.55</v>
      </c>
      <c r="AB425" s="489">
        <v>1000</v>
      </c>
    </row>
    <row r="426" spans="1:30" s="507" customFormat="1" ht="12">
      <c r="A426" s="456">
        <v>92</v>
      </c>
      <c r="B426" s="457" t="s">
        <v>2293</v>
      </c>
      <c r="C426" s="497">
        <v>9901442636</v>
      </c>
      <c r="D426" s="459" t="s">
        <v>2294</v>
      </c>
      <c r="E426" s="460" t="s">
        <v>47</v>
      </c>
      <c r="F426" s="461">
        <v>31</v>
      </c>
      <c r="G426" s="498">
        <v>74.63</v>
      </c>
      <c r="H426" s="462">
        <f t="shared" si="123"/>
        <v>2313.5299999999997</v>
      </c>
      <c r="I426" s="462">
        <f t="shared" si="124"/>
        <v>8955.5999999999985</v>
      </c>
      <c r="J426" s="463">
        <v>4</v>
      </c>
      <c r="K426" s="534">
        <v>75</v>
      </c>
      <c r="L426" s="462">
        <f t="shared" si="125"/>
        <v>1760</v>
      </c>
      <c r="M426" s="462">
        <v>1510</v>
      </c>
      <c r="N426" s="462">
        <v>250</v>
      </c>
      <c r="O426" s="462">
        <f t="shared" si="126"/>
        <v>4148.53</v>
      </c>
      <c r="P426" s="488">
        <f t="shared" si="127"/>
        <v>1274.6333333333332</v>
      </c>
      <c r="Q426" s="489">
        <f t="shared" si="128"/>
        <v>1257.172602739726</v>
      </c>
      <c r="R426" s="489">
        <f t="shared" si="129"/>
        <v>65.753424657534239</v>
      </c>
      <c r="S426" s="490">
        <f t="shared" si="130"/>
        <v>16295.599999999999</v>
      </c>
      <c r="T426" s="490">
        <f t="shared" si="131"/>
        <v>18893.159360730591</v>
      </c>
      <c r="U426" s="491">
        <f t="shared" si="132"/>
        <v>188.3</v>
      </c>
      <c r="V426" s="498"/>
      <c r="W426" s="498"/>
      <c r="X426" s="498"/>
      <c r="Y426" s="498">
        <v>1442.09</v>
      </c>
      <c r="Z426" s="462">
        <f t="shared" si="133"/>
        <v>1630.3899999999999</v>
      </c>
      <c r="AA426" s="462">
        <f t="shared" si="134"/>
        <v>2518.14</v>
      </c>
      <c r="AB426" s="489">
        <v>1000</v>
      </c>
    </row>
    <row r="427" spans="1:30" s="507" customFormat="1" ht="12">
      <c r="A427" s="456">
        <v>93</v>
      </c>
      <c r="B427" s="457" t="s">
        <v>2295</v>
      </c>
      <c r="C427" s="497">
        <v>9901443731</v>
      </c>
      <c r="D427" s="459" t="s">
        <v>2296</v>
      </c>
      <c r="E427" s="460" t="s">
        <v>32</v>
      </c>
      <c r="F427" s="461">
        <v>31</v>
      </c>
      <c r="G427" s="498">
        <v>71.400000000000006</v>
      </c>
      <c r="H427" s="462">
        <f t="shared" si="123"/>
        <v>2213.4</v>
      </c>
      <c r="I427" s="462">
        <f t="shared" si="124"/>
        <v>8568</v>
      </c>
      <c r="J427" s="463">
        <v>4</v>
      </c>
      <c r="K427" s="534">
        <v>75</v>
      </c>
      <c r="L427" s="462">
        <f t="shared" si="125"/>
        <v>1760</v>
      </c>
      <c r="M427" s="462">
        <v>1510</v>
      </c>
      <c r="N427" s="462">
        <v>250</v>
      </c>
      <c r="O427" s="462">
        <f t="shared" si="126"/>
        <v>4048.4</v>
      </c>
      <c r="P427" s="488">
        <f t="shared" si="127"/>
        <v>1242.3333333333333</v>
      </c>
      <c r="Q427" s="489">
        <f t="shared" si="128"/>
        <v>1225.3150684931506</v>
      </c>
      <c r="R427" s="489">
        <f t="shared" si="129"/>
        <v>65.753424657534239</v>
      </c>
      <c r="S427" s="490">
        <f t="shared" si="130"/>
        <v>15908</v>
      </c>
      <c r="T427" s="490">
        <f t="shared" si="131"/>
        <v>18441.401826484016</v>
      </c>
      <c r="U427" s="491">
        <f t="shared" si="132"/>
        <v>183.46</v>
      </c>
      <c r="V427" s="498"/>
      <c r="W427" s="498"/>
      <c r="X427" s="498"/>
      <c r="Y427" s="498">
        <v>1630.34</v>
      </c>
      <c r="Z427" s="462">
        <f t="shared" si="133"/>
        <v>1813.8</v>
      </c>
      <c r="AA427" s="462">
        <f t="shared" si="134"/>
        <v>2234.6000000000004</v>
      </c>
      <c r="AB427" s="489">
        <v>1000</v>
      </c>
    </row>
    <row r="428" spans="1:30" s="507" customFormat="1" ht="12">
      <c r="A428" s="456">
        <v>94</v>
      </c>
      <c r="B428" s="457" t="s">
        <v>2297</v>
      </c>
      <c r="C428" s="497">
        <v>9901443100</v>
      </c>
      <c r="D428" s="459" t="s">
        <v>2298</v>
      </c>
      <c r="E428" s="460" t="s">
        <v>32</v>
      </c>
      <c r="F428" s="461">
        <v>31</v>
      </c>
      <c r="G428" s="498">
        <v>71.400000000000006</v>
      </c>
      <c r="H428" s="462">
        <f t="shared" si="123"/>
        <v>2213.4</v>
      </c>
      <c r="I428" s="462">
        <f t="shared" si="124"/>
        <v>8568</v>
      </c>
      <c r="J428" s="463">
        <v>4</v>
      </c>
      <c r="K428" s="534">
        <v>50</v>
      </c>
      <c r="L428" s="462">
        <f t="shared" si="125"/>
        <v>1760</v>
      </c>
      <c r="M428" s="462">
        <v>1510</v>
      </c>
      <c r="N428" s="462">
        <v>250</v>
      </c>
      <c r="O428" s="462">
        <f t="shared" si="126"/>
        <v>4023.4</v>
      </c>
      <c r="P428" s="488">
        <f t="shared" si="127"/>
        <v>1234</v>
      </c>
      <c r="Q428" s="489">
        <f t="shared" si="128"/>
        <v>1217.0958904109589</v>
      </c>
      <c r="R428" s="489">
        <f t="shared" si="129"/>
        <v>65.753424657534239</v>
      </c>
      <c r="S428" s="490">
        <f t="shared" si="130"/>
        <v>15808</v>
      </c>
      <c r="T428" s="490">
        <f t="shared" si="131"/>
        <v>18324.849315068492</v>
      </c>
      <c r="U428" s="491">
        <f t="shared" si="132"/>
        <v>182.26</v>
      </c>
      <c r="V428" s="498"/>
      <c r="W428" s="498"/>
      <c r="X428" s="498"/>
      <c r="Y428" s="498">
        <v>1905.26</v>
      </c>
      <c r="Z428" s="462">
        <f t="shared" si="133"/>
        <v>2087.52</v>
      </c>
      <c r="AA428" s="462">
        <f t="shared" si="134"/>
        <v>1935.88</v>
      </c>
      <c r="AB428" s="489">
        <v>1000</v>
      </c>
    </row>
    <row r="429" spans="1:30" s="507" customFormat="1" ht="12">
      <c r="A429" s="456">
        <v>95</v>
      </c>
      <c r="B429" s="466" t="s">
        <v>2299</v>
      </c>
      <c r="C429" s="497">
        <v>9901442203</v>
      </c>
      <c r="D429" s="459" t="s">
        <v>2300</v>
      </c>
      <c r="E429" s="460" t="s">
        <v>46</v>
      </c>
      <c r="F429" s="461">
        <v>31</v>
      </c>
      <c r="G429" s="498">
        <v>73.59</v>
      </c>
      <c r="H429" s="462">
        <f t="shared" si="123"/>
        <v>2281.29</v>
      </c>
      <c r="I429" s="462">
        <f t="shared" si="124"/>
        <v>8830.8000000000011</v>
      </c>
      <c r="J429" s="463">
        <v>4</v>
      </c>
      <c r="K429" s="534">
        <v>75</v>
      </c>
      <c r="L429" s="462">
        <f t="shared" si="125"/>
        <v>1760</v>
      </c>
      <c r="M429" s="462">
        <v>1510</v>
      </c>
      <c r="N429" s="462">
        <v>250</v>
      </c>
      <c r="O429" s="462">
        <f t="shared" si="126"/>
        <v>4116.29</v>
      </c>
      <c r="P429" s="488">
        <f t="shared" si="127"/>
        <v>1264.2333333333333</v>
      </c>
      <c r="Q429" s="489">
        <f t="shared" si="128"/>
        <v>1246.9150684931508</v>
      </c>
      <c r="R429" s="489">
        <f t="shared" si="129"/>
        <v>65.753424657534239</v>
      </c>
      <c r="S429" s="490">
        <f t="shared" si="130"/>
        <v>16170.800000000001</v>
      </c>
      <c r="T429" s="490">
        <f t="shared" si="131"/>
        <v>18747.701826484019</v>
      </c>
      <c r="U429" s="491">
        <f t="shared" si="132"/>
        <v>186.74</v>
      </c>
      <c r="V429" s="498"/>
      <c r="W429" s="498"/>
      <c r="X429" s="498"/>
      <c r="Y429" s="498"/>
      <c r="Z429" s="462">
        <f t="shared" si="133"/>
        <v>186.74</v>
      </c>
      <c r="AA429" s="462">
        <f t="shared" si="134"/>
        <v>3929.55</v>
      </c>
      <c r="AB429" s="489">
        <v>1000</v>
      </c>
    </row>
    <row r="430" spans="1:30" s="507" customFormat="1" ht="12">
      <c r="A430" s="456">
        <v>96</v>
      </c>
      <c r="B430" s="466" t="s">
        <v>2301</v>
      </c>
      <c r="C430" s="497">
        <v>9901442442</v>
      </c>
      <c r="D430" s="459" t="s">
        <v>2302</v>
      </c>
      <c r="E430" s="460" t="s">
        <v>1175</v>
      </c>
      <c r="F430" s="461">
        <v>31</v>
      </c>
      <c r="G430" s="498">
        <v>71.400000000000006</v>
      </c>
      <c r="H430" s="462">
        <f t="shared" si="123"/>
        <v>2213.4</v>
      </c>
      <c r="I430" s="462">
        <f t="shared" si="124"/>
        <v>8568</v>
      </c>
      <c r="J430" s="463">
        <v>4</v>
      </c>
      <c r="K430" s="468">
        <v>50</v>
      </c>
      <c r="L430" s="462">
        <f t="shared" si="125"/>
        <v>1760</v>
      </c>
      <c r="M430" s="462">
        <v>1510</v>
      </c>
      <c r="N430" s="462">
        <v>250</v>
      </c>
      <c r="O430" s="462">
        <f t="shared" si="126"/>
        <v>4023.4</v>
      </c>
      <c r="P430" s="488">
        <f t="shared" si="127"/>
        <v>1234</v>
      </c>
      <c r="Q430" s="489">
        <f t="shared" si="128"/>
        <v>1217.0958904109589</v>
      </c>
      <c r="R430" s="489">
        <f t="shared" si="129"/>
        <v>65.753424657534239</v>
      </c>
      <c r="S430" s="490">
        <f t="shared" si="130"/>
        <v>15808</v>
      </c>
      <c r="T430" s="490">
        <f t="shared" si="131"/>
        <v>18324.849315068492</v>
      </c>
      <c r="U430" s="491">
        <f t="shared" si="132"/>
        <v>182.26</v>
      </c>
      <c r="V430" s="498">
        <f>(O430-N430)*11%</f>
        <v>415.07400000000001</v>
      </c>
      <c r="W430" s="498"/>
      <c r="X430" s="498"/>
      <c r="Y430" s="498">
        <v>1698.68</v>
      </c>
      <c r="Z430" s="462">
        <f t="shared" si="133"/>
        <v>2296.0140000000001</v>
      </c>
      <c r="AA430" s="462">
        <f t="shared" si="134"/>
        <v>1727.386</v>
      </c>
      <c r="AB430" s="489">
        <v>1000</v>
      </c>
      <c r="AD430" s="507" t="s">
        <v>2303</v>
      </c>
    </row>
    <row r="431" spans="1:30" s="507" customFormat="1" ht="12">
      <c r="A431" s="456">
        <v>97</v>
      </c>
      <c r="B431" s="466" t="s">
        <v>2304</v>
      </c>
      <c r="C431" s="497">
        <v>9901442635</v>
      </c>
      <c r="D431" s="459" t="s">
        <v>2305</v>
      </c>
      <c r="E431" s="460" t="s">
        <v>46</v>
      </c>
      <c r="F431" s="461">
        <v>31</v>
      </c>
      <c r="G431" s="498">
        <v>73.59</v>
      </c>
      <c r="H431" s="462">
        <f t="shared" si="123"/>
        <v>2281.29</v>
      </c>
      <c r="I431" s="462">
        <f t="shared" si="124"/>
        <v>8830.8000000000011</v>
      </c>
      <c r="J431" s="463">
        <v>4</v>
      </c>
      <c r="K431" s="534">
        <v>75</v>
      </c>
      <c r="L431" s="462">
        <f t="shared" si="125"/>
        <v>1760</v>
      </c>
      <c r="M431" s="462">
        <v>1510</v>
      </c>
      <c r="N431" s="462">
        <v>250</v>
      </c>
      <c r="O431" s="462">
        <f t="shared" si="126"/>
        <v>4116.29</v>
      </c>
      <c r="P431" s="488">
        <f t="shared" si="127"/>
        <v>1264.2333333333333</v>
      </c>
      <c r="Q431" s="489">
        <f t="shared" si="128"/>
        <v>1246.9150684931508</v>
      </c>
      <c r="R431" s="489">
        <f t="shared" si="129"/>
        <v>65.753424657534239</v>
      </c>
      <c r="S431" s="490">
        <f t="shared" si="130"/>
        <v>16170.800000000001</v>
      </c>
      <c r="T431" s="490">
        <f t="shared" si="131"/>
        <v>18747.701826484019</v>
      </c>
      <c r="U431" s="491">
        <f t="shared" si="132"/>
        <v>186.74</v>
      </c>
      <c r="V431" s="498">
        <f>(O431-N431)*11%</f>
        <v>425.2919</v>
      </c>
      <c r="W431" s="498"/>
      <c r="X431" s="498"/>
      <c r="Y431" s="498">
        <v>1682.8</v>
      </c>
      <c r="Z431" s="462">
        <f t="shared" si="133"/>
        <v>2294.8319000000001</v>
      </c>
      <c r="AA431" s="462">
        <f t="shared" si="134"/>
        <v>1821.4580999999998</v>
      </c>
      <c r="AB431" s="489">
        <v>1000</v>
      </c>
    </row>
    <row r="432" spans="1:30" s="507" customFormat="1" ht="12">
      <c r="A432" s="456">
        <v>98</v>
      </c>
      <c r="B432" s="466" t="s">
        <v>2306</v>
      </c>
      <c r="C432" s="497">
        <v>9901442815</v>
      </c>
      <c r="D432" s="459" t="s">
        <v>2307</v>
      </c>
      <c r="E432" s="460" t="s">
        <v>44</v>
      </c>
      <c r="F432" s="461">
        <v>31</v>
      </c>
      <c r="G432" s="498">
        <v>72.540000000000006</v>
      </c>
      <c r="H432" s="462">
        <f t="shared" si="123"/>
        <v>2248.7400000000002</v>
      </c>
      <c r="I432" s="462">
        <f t="shared" si="124"/>
        <v>8704.8000000000011</v>
      </c>
      <c r="J432" s="463">
        <v>4</v>
      </c>
      <c r="K432" s="534">
        <v>75</v>
      </c>
      <c r="L432" s="462">
        <f t="shared" si="125"/>
        <v>1760</v>
      </c>
      <c r="M432" s="462">
        <v>1510</v>
      </c>
      <c r="N432" s="462">
        <v>250</v>
      </c>
      <c r="O432" s="462">
        <f t="shared" si="126"/>
        <v>4083.7400000000002</v>
      </c>
      <c r="P432" s="488">
        <f t="shared" si="127"/>
        <v>1253.7333333333333</v>
      </c>
      <c r="Q432" s="489">
        <f t="shared" si="128"/>
        <v>1236.5589041095891</v>
      </c>
      <c r="R432" s="489">
        <f t="shared" si="129"/>
        <v>65.753424657534239</v>
      </c>
      <c r="S432" s="490">
        <f t="shared" si="130"/>
        <v>16044.800000000001</v>
      </c>
      <c r="T432" s="490">
        <f t="shared" si="131"/>
        <v>18600.845662100459</v>
      </c>
      <c r="U432" s="491">
        <f t="shared" si="132"/>
        <v>185.17</v>
      </c>
      <c r="V432" s="498"/>
      <c r="W432" s="498"/>
      <c r="X432" s="498"/>
      <c r="Y432" s="498">
        <v>2005.64</v>
      </c>
      <c r="Z432" s="462">
        <f t="shared" si="133"/>
        <v>2190.81</v>
      </c>
      <c r="AA432" s="462">
        <f t="shared" si="134"/>
        <v>1892.9300000000003</v>
      </c>
      <c r="AB432" s="489">
        <v>1000</v>
      </c>
    </row>
    <row r="433" spans="1:30" s="507" customFormat="1" ht="12">
      <c r="A433" s="456">
        <v>99</v>
      </c>
      <c r="B433" s="466" t="s">
        <v>2308</v>
      </c>
      <c r="C433" s="497">
        <v>9901442648</v>
      </c>
      <c r="D433" s="459" t="s">
        <v>2309</v>
      </c>
      <c r="E433" s="460" t="s">
        <v>32</v>
      </c>
      <c r="F433" s="461">
        <v>31</v>
      </c>
      <c r="G433" s="498">
        <v>71.400000000000006</v>
      </c>
      <c r="H433" s="462">
        <f t="shared" si="123"/>
        <v>2213.4</v>
      </c>
      <c r="I433" s="462">
        <f t="shared" si="124"/>
        <v>8568</v>
      </c>
      <c r="J433" s="463">
        <v>4</v>
      </c>
      <c r="K433" s="534">
        <v>75</v>
      </c>
      <c r="L433" s="462">
        <f t="shared" si="125"/>
        <v>1760</v>
      </c>
      <c r="M433" s="462">
        <v>1510</v>
      </c>
      <c r="N433" s="462">
        <v>250</v>
      </c>
      <c r="O433" s="462">
        <f t="shared" si="126"/>
        <v>4048.4</v>
      </c>
      <c r="P433" s="488">
        <f t="shared" si="127"/>
        <v>1242.3333333333333</v>
      </c>
      <c r="Q433" s="489">
        <f t="shared" si="128"/>
        <v>1225.3150684931506</v>
      </c>
      <c r="R433" s="489">
        <f t="shared" si="129"/>
        <v>65.753424657534239</v>
      </c>
      <c r="S433" s="490">
        <f t="shared" si="130"/>
        <v>15908</v>
      </c>
      <c r="T433" s="490">
        <f t="shared" si="131"/>
        <v>18441.401826484016</v>
      </c>
      <c r="U433" s="491">
        <f t="shared" si="132"/>
        <v>183.46</v>
      </c>
      <c r="V433" s="498"/>
      <c r="W433" s="498"/>
      <c r="X433" s="498"/>
      <c r="Y433" s="498"/>
      <c r="Z433" s="462">
        <f t="shared" si="133"/>
        <v>183.46</v>
      </c>
      <c r="AA433" s="462">
        <f t="shared" si="134"/>
        <v>3864.94</v>
      </c>
      <c r="AB433" s="489">
        <v>1000</v>
      </c>
    </row>
    <row r="434" spans="1:30" s="507" customFormat="1" ht="12">
      <c r="A434" s="456">
        <v>100</v>
      </c>
      <c r="B434" s="466" t="s">
        <v>2310</v>
      </c>
      <c r="C434" s="497">
        <v>9901442651</v>
      </c>
      <c r="D434" s="459" t="s">
        <v>2311</v>
      </c>
      <c r="E434" s="460" t="s">
        <v>44</v>
      </c>
      <c r="F434" s="461">
        <v>31</v>
      </c>
      <c r="G434" s="498">
        <v>72.540000000000006</v>
      </c>
      <c r="H434" s="462">
        <f t="shared" si="123"/>
        <v>2248.7400000000002</v>
      </c>
      <c r="I434" s="462">
        <f t="shared" si="124"/>
        <v>8704.8000000000011</v>
      </c>
      <c r="J434" s="463">
        <v>4</v>
      </c>
      <c r="K434" s="534">
        <v>75</v>
      </c>
      <c r="L434" s="462">
        <f t="shared" si="125"/>
        <v>1760</v>
      </c>
      <c r="M434" s="462">
        <v>1510</v>
      </c>
      <c r="N434" s="462">
        <v>250</v>
      </c>
      <c r="O434" s="462">
        <f t="shared" si="126"/>
        <v>4083.7400000000002</v>
      </c>
      <c r="P434" s="488">
        <f t="shared" si="127"/>
        <v>1253.7333333333333</v>
      </c>
      <c r="Q434" s="489">
        <f t="shared" si="128"/>
        <v>1236.5589041095891</v>
      </c>
      <c r="R434" s="489">
        <f t="shared" si="129"/>
        <v>65.753424657534239</v>
      </c>
      <c r="S434" s="490">
        <f t="shared" si="130"/>
        <v>16044.800000000001</v>
      </c>
      <c r="T434" s="490">
        <f t="shared" si="131"/>
        <v>18600.845662100459</v>
      </c>
      <c r="U434" s="491">
        <f t="shared" si="132"/>
        <v>185.17</v>
      </c>
      <c r="V434" s="498"/>
      <c r="W434" s="498"/>
      <c r="X434" s="498"/>
      <c r="Y434" s="498"/>
      <c r="Z434" s="462">
        <f t="shared" si="133"/>
        <v>185.17</v>
      </c>
      <c r="AA434" s="462">
        <f t="shared" si="134"/>
        <v>3898.57</v>
      </c>
      <c r="AB434" s="489">
        <v>1000</v>
      </c>
    </row>
    <row r="435" spans="1:30" s="507" customFormat="1" ht="12">
      <c r="A435" s="456">
        <v>101</v>
      </c>
      <c r="B435" s="466" t="s">
        <v>2312</v>
      </c>
      <c r="C435" s="497">
        <v>9901443729</v>
      </c>
      <c r="D435" s="459" t="s">
        <v>2313</v>
      </c>
      <c r="E435" s="460" t="s">
        <v>32</v>
      </c>
      <c r="F435" s="461">
        <v>31</v>
      </c>
      <c r="G435" s="498">
        <v>71.400000000000006</v>
      </c>
      <c r="H435" s="462">
        <f t="shared" si="123"/>
        <v>2213.4</v>
      </c>
      <c r="I435" s="462">
        <f t="shared" si="124"/>
        <v>8568</v>
      </c>
      <c r="J435" s="463">
        <v>4</v>
      </c>
      <c r="K435" s="534">
        <v>75</v>
      </c>
      <c r="L435" s="462">
        <f t="shared" si="125"/>
        <v>1760</v>
      </c>
      <c r="M435" s="462">
        <v>1510</v>
      </c>
      <c r="N435" s="462">
        <v>250</v>
      </c>
      <c r="O435" s="462">
        <f t="shared" si="126"/>
        <v>4048.4</v>
      </c>
      <c r="P435" s="488">
        <f t="shared" si="127"/>
        <v>1242.3333333333333</v>
      </c>
      <c r="Q435" s="489">
        <f t="shared" si="128"/>
        <v>1225.3150684931506</v>
      </c>
      <c r="R435" s="489">
        <f t="shared" si="129"/>
        <v>65.753424657534239</v>
      </c>
      <c r="S435" s="490">
        <f t="shared" si="130"/>
        <v>15908</v>
      </c>
      <c r="T435" s="490">
        <f t="shared" si="131"/>
        <v>18441.401826484016</v>
      </c>
      <c r="U435" s="491">
        <f t="shared" si="132"/>
        <v>183.46</v>
      </c>
      <c r="V435" s="498"/>
      <c r="W435" s="498">
        <v>10</v>
      </c>
      <c r="X435" s="498"/>
      <c r="Y435" s="498">
        <v>448.97</v>
      </c>
      <c r="Z435" s="462">
        <f t="shared" si="133"/>
        <v>642.43000000000006</v>
      </c>
      <c r="AA435" s="462">
        <f t="shared" si="134"/>
        <v>3405.9700000000003</v>
      </c>
      <c r="AB435" s="489">
        <v>1000</v>
      </c>
    </row>
    <row r="436" spans="1:30" s="507" customFormat="1" ht="12">
      <c r="A436" s="456">
        <v>102</v>
      </c>
      <c r="B436" s="466" t="s">
        <v>2314</v>
      </c>
      <c r="C436" s="497">
        <v>9901443139</v>
      </c>
      <c r="D436" s="459" t="s">
        <v>2315</v>
      </c>
      <c r="E436" s="460" t="s">
        <v>39</v>
      </c>
      <c r="F436" s="461">
        <v>31</v>
      </c>
      <c r="G436" s="498">
        <v>78.25</v>
      </c>
      <c r="H436" s="462">
        <f t="shared" si="123"/>
        <v>2425.75</v>
      </c>
      <c r="I436" s="462">
        <f t="shared" si="124"/>
        <v>9390</v>
      </c>
      <c r="J436" s="463">
        <v>4</v>
      </c>
      <c r="K436" s="534">
        <v>75</v>
      </c>
      <c r="L436" s="462">
        <f t="shared" si="125"/>
        <v>1760</v>
      </c>
      <c r="M436" s="462">
        <v>1510</v>
      </c>
      <c r="N436" s="462">
        <v>250</v>
      </c>
      <c r="O436" s="462">
        <f t="shared" si="126"/>
        <v>4260.75</v>
      </c>
      <c r="P436" s="488">
        <f t="shared" si="127"/>
        <v>1310.8333333333333</v>
      </c>
      <c r="Q436" s="489">
        <f t="shared" si="128"/>
        <v>1292.8767123287671</v>
      </c>
      <c r="R436" s="489">
        <f t="shared" si="129"/>
        <v>65.753424657534239</v>
      </c>
      <c r="S436" s="490">
        <f t="shared" si="130"/>
        <v>16730</v>
      </c>
      <c r="T436" s="490">
        <f t="shared" si="131"/>
        <v>19399.463470319632</v>
      </c>
      <c r="U436" s="491">
        <f t="shared" si="132"/>
        <v>193.72</v>
      </c>
      <c r="V436" s="498"/>
      <c r="W436" s="498">
        <v>10</v>
      </c>
      <c r="X436" s="498"/>
      <c r="Y436" s="498">
        <v>1268.0899999999999</v>
      </c>
      <c r="Z436" s="462">
        <f t="shared" si="133"/>
        <v>1471.81</v>
      </c>
      <c r="AA436" s="462">
        <f t="shared" si="134"/>
        <v>2788.94</v>
      </c>
      <c r="AB436" s="489">
        <v>1000</v>
      </c>
    </row>
    <row r="437" spans="1:30" s="507" customFormat="1" ht="12">
      <c r="A437" s="456">
        <v>103</v>
      </c>
      <c r="B437" s="466" t="s">
        <v>2316</v>
      </c>
      <c r="C437" s="497">
        <v>9901443129</v>
      </c>
      <c r="D437" s="459" t="s">
        <v>2317</v>
      </c>
      <c r="E437" s="460" t="s">
        <v>46</v>
      </c>
      <c r="F437" s="461">
        <v>31</v>
      </c>
      <c r="G437" s="498">
        <v>73.59</v>
      </c>
      <c r="H437" s="462">
        <f t="shared" si="123"/>
        <v>2281.29</v>
      </c>
      <c r="I437" s="462">
        <f t="shared" si="124"/>
        <v>8830.8000000000011</v>
      </c>
      <c r="J437" s="463">
        <v>4</v>
      </c>
      <c r="K437" s="534">
        <v>75</v>
      </c>
      <c r="L437" s="462">
        <f t="shared" si="125"/>
        <v>1760</v>
      </c>
      <c r="M437" s="462">
        <v>1510</v>
      </c>
      <c r="N437" s="462">
        <v>250</v>
      </c>
      <c r="O437" s="462">
        <f t="shared" si="126"/>
        <v>4116.29</v>
      </c>
      <c r="P437" s="488">
        <f t="shared" si="127"/>
        <v>1264.2333333333333</v>
      </c>
      <c r="Q437" s="489">
        <f t="shared" si="128"/>
        <v>1246.9150684931508</v>
      </c>
      <c r="R437" s="489">
        <f t="shared" si="129"/>
        <v>65.753424657534239</v>
      </c>
      <c r="S437" s="490">
        <f t="shared" si="130"/>
        <v>16170.800000000001</v>
      </c>
      <c r="T437" s="490">
        <f t="shared" si="131"/>
        <v>18747.701826484019</v>
      </c>
      <c r="U437" s="491">
        <f t="shared" si="132"/>
        <v>186.74</v>
      </c>
      <c r="V437" s="498"/>
      <c r="W437" s="498">
        <v>10</v>
      </c>
      <c r="X437" s="498"/>
      <c r="Y437" s="498">
        <v>1959.95</v>
      </c>
      <c r="Z437" s="462">
        <f t="shared" si="133"/>
        <v>2156.69</v>
      </c>
      <c r="AA437" s="462">
        <f t="shared" si="134"/>
        <v>1959.6</v>
      </c>
      <c r="AB437" s="489">
        <v>1000</v>
      </c>
    </row>
    <row r="438" spans="1:30" s="507" customFormat="1" ht="12">
      <c r="A438" s="456">
        <v>104</v>
      </c>
      <c r="B438" s="457" t="s">
        <v>2318</v>
      </c>
      <c r="C438" s="497">
        <v>9901442430</v>
      </c>
      <c r="D438" s="459" t="s">
        <v>2319</v>
      </c>
      <c r="E438" s="460" t="s">
        <v>67</v>
      </c>
      <c r="F438" s="461">
        <v>31</v>
      </c>
      <c r="G438" s="498">
        <v>73.59</v>
      </c>
      <c r="H438" s="462">
        <f t="shared" si="123"/>
        <v>2281.29</v>
      </c>
      <c r="I438" s="462">
        <f t="shared" si="124"/>
        <v>8830.8000000000011</v>
      </c>
      <c r="J438" s="463">
        <v>4</v>
      </c>
      <c r="K438" s="534">
        <v>75</v>
      </c>
      <c r="L438" s="462">
        <f t="shared" si="125"/>
        <v>1760</v>
      </c>
      <c r="M438" s="462">
        <v>1510</v>
      </c>
      <c r="N438" s="462">
        <v>250</v>
      </c>
      <c r="O438" s="462">
        <f t="shared" si="126"/>
        <v>4116.29</v>
      </c>
      <c r="P438" s="488">
        <f t="shared" si="127"/>
        <v>1264.2333333333333</v>
      </c>
      <c r="Q438" s="489">
        <f t="shared" si="128"/>
        <v>1246.9150684931508</v>
      </c>
      <c r="R438" s="489">
        <f t="shared" si="129"/>
        <v>65.753424657534239</v>
      </c>
      <c r="S438" s="490">
        <f t="shared" si="130"/>
        <v>16170.800000000001</v>
      </c>
      <c r="T438" s="490">
        <f t="shared" si="131"/>
        <v>18747.701826484019</v>
      </c>
      <c r="U438" s="491">
        <f t="shared" si="132"/>
        <v>186.74</v>
      </c>
      <c r="V438" s="498">
        <f>(O438-N438)*11%</f>
        <v>425.2919</v>
      </c>
      <c r="W438" s="498">
        <v>10</v>
      </c>
      <c r="X438" s="498"/>
      <c r="Y438" s="498"/>
      <c r="Z438" s="462">
        <f t="shared" si="133"/>
        <v>622.03189999999995</v>
      </c>
      <c r="AA438" s="462">
        <f t="shared" si="134"/>
        <v>3494.2581</v>
      </c>
      <c r="AB438" s="489">
        <v>1000</v>
      </c>
    </row>
    <row r="439" spans="1:30" s="507" customFormat="1" ht="12">
      <c r="A439" s="456">
        <v>105</v>
      </c>
      <c r="B439" s="466" t="s">
        <v>2320</v>
      </c>
      <c r="C439" s="497">
        <v>9901443916</v>
      </c>
      <c r="D439" s="459" t="s">
        <v>2321</v>
      </c>
      <c r="E439" s="460" t="s">
        <v>32</v>
      </c>
      <c r="F439" s="461">
        <v>31</v>
      </c>
      <c r="G439" s="498">
        <v>71.400000000000006</v>
      </c>
      <c r="H439" s="462">
        <f t="shared" si="123"/>
        <v>2213.4</v>
      </c>
      <c r="I439" s="462">
        <f t="shared" si="124"/>
        <v>8568</v>
      </c>
      <c r="J439" s="463">
        <v>4</v>
      </c>
      <c r="K439" s="534">
        <v>50</v>
      </c>
      <c r="L439" s="462">
        <f t="shared" si="125"/>
        <v>1760</v>
      </c>
      <c r="M439" s="462">
        <v>1510</v>
      </c>
      <c r="N439" s="462">
        <v>250</v>
      </c>
      <c r="O439" s="462">
        <f t="shared" si="126"/>
        <v>4023.4</v>
      </c>
      <c r="P439" s="488">
        <f t="shared" si="127"/>
        <v>1234</v>
      </c>
      <c r="Q439" s="489">
        <f t="shared" si="128"/>
        <v>1217.0958904109589</v>
      </c>
      <c r="R439" s="489">
        <f t="shared" si="129"/>
        <v>65.753424657534239</v>
      </c>
      <c r="S439" s="490">
        <f t="shared" si="130"/>
        <v>15808</v>
      </c>
      <c r="T439" s="490">
        <f t="shared" si="131"/>
        <v>18324.849315068492</v>
      </c>
      <c r="U439" s="491">
        <f t="shared" si="132"/>
        <v>182.26</v>
      </c>
      <c r="V439" s="498">
        <f>(O439-N439)*11%</f>
        <v>415.07400000000001</v>
      </c>
      <c r="W439" s="498"/>
      <c r="X439" s="498"/>
      <c r="Y439" s="498">
        <v>883.27</v>
      </c>
      <c r="Z439" s="462">
        <f t="shared" si="133"/>
        <v>1480.604</v>
      </c>
      <c r="AA439" s="462">
        <f t="shared" si="134"/>
        <v>2542.7960000000003</v>
      </c>
      <c r="AB439" s="489">
        <v>1000</v>
      </c>
    </row>
    <row r="440" spans="1:30" s="507" customFormat="1" ht="12">
      <c r="A440" s="456">
        <v>106</v>
      </c>
      <c r="B440" s="466" t="s">
        <v>2322</v>
      </c>
      <c r="C440" s="497">
        <v>9901442650</v>
      </c>
      <c r="D440" s="459" t="s">
        <v>2323</v>
      </c>
      <c r="E440" s="460" t="s">
        <v>39</v>
      </c>
      <c r="F440" s="461">
        <v>31</v>
      </c>
      <c r="G440" s="498">
        <v>78.25</v>
      </c>
      <c r="H440" s="462">
        <f t="shared" si="123"/>
        <v>2425.75</v>
      </c>
      <c r="I440" s="462">
        <f t="shared" si="124"/>
        <v>9390</v>
      </c>
      <c r="J440" s="463">
        <v>4</v>
      </c>
      <c r="K440" s="534">
        <v>75</v>
      </c>
      <c r="L440" s="462">
        <f t="shared" si="125"/>
        <v>1760</v>
      </c>
      <c r="M440" s="462">
        <v>1510</v>
      </c>
      <c r="N440" s="462">
        <v>250</v>
      </c>
      <c r="O440" s="462">
        <f t="shared" si="126"/>
        <v>4260.75</v>
      </c>
      <c r="P440" s="488">
        <f t="shared" si="127"/>
        <v>1310.8333333333333</v>
      </c>
      <c r="Q440" s="489">
        <f t="shared" si="128"/>
        <v>1292.8767123287671</v>
      </c>
      <c r="R440" s="489">
        <f t="shared" si="129"/>
        <v>65.753424657534239</v>
      </c>
      <c r="S440" s="490">
        <f t="shared" si="130"/>
        <v>16730</v>
      </c>
      <c r="T440" s="490">
        <f t="shared" si="131"/>
        <v>19399.463470319632</v>
      </c>
      <c r="U440" s="491">
        <f t="shared" si="132"/>
        <v>193.72</v>
      </c>
      <c r="V440" s="498">
        <f>(O440-N440)*11%</f>
        <v>441.1825</v>
      </c>
      <c r="W440" s="498"/>
      <c r="X440" s="498"/>
      <c r="Y440" s="498"/>
      <c r="Z440" s="462">
        <f t="shared" si="133"/>
        <v>634.90250000000003</v>
      </c>
      <c r="AA440" s="462">
        <f t="shared" si="134"/>
        <v>3625.8474999999999</v>
      </c>
      <c r="AB440" s="489">
        <v>1000</v>
      </c>
    </row>
    <row r="441" spans="1:30" s="507" customFormat="1" ht="12">
      <c r="A441" s="456">
        <v>107</v>
      </c>
      <c r="B441" s="466" t="s">
        <v>2324</v>
      </c>
      <c r="C441" s="497">
        <v>9901442987</v>
      </c>
      <c r="D441" s="459" t="s">
        <v>2325</v>
      </c>
      <c r="E441" s="460" t="s">
        <v>72</v>
      </c>
      <c r="F441" s="461">
        <v>31</v>
      </c>
      <c r="G441" s="498">
        <v>71.400000000000006</v>
      </c>
      <c r="H441" s="462">
        <f t="shared" si="123"/>
        <v>2213.4</v>
      </c>
      <c r="I441" s="462">
        <f t="shared" si="124"/>
        <v>8568</v>
      </c>
      <c r="J441" s="463">
        <v>4</v>
      </c>
      <c r="K441" s="468">
        <v>50</v>
      </c>
      <c r="L441" s="462">
        <f t="shared" si="125"/>
        <v>1760</v>
      </c>
      <c r="M441" s="462">
        <v>1510</v>
      </c>
      <c r="N441" s="462">
        <v>250</v>
      </c>
      <c r="O441" s="462">
        <f t="shared" si="126"/>
        <v>4023.4</v>
      </c>
      <c r="P441" s="488">
        <f t="shared" si="127"/>
        <v>1234</v>
      </c>
      <c r="Q441" s="489">
        <f t="shared" si="128"/>
        <v>1217.0958904109589</v>
      </c>
      <c r="R441" s="489">
        <f t="shared" si="129"/>
        <v>65.753424657534239</v>
      </c>
      <c r="S441" s="490">
        <f t="shared" si="130"/>
        <v>15808</v>
      </c>
      <c r="T441" s="490">
        <f t="shared" si="131"/>
        <v>18324.849315068492</v>
      </c>
      <c r="U441" s="491">
        <f t="shared" si="132"/>
        <v>182.26</v>
      </c>
      <c r="V441" s="498">
        <f>(O441-N441)*11%</f>
        <v>415.07400000000001</v>
      </c>
      <c r="W441" s="498"/>
      <c r="X441" s="498"/>
      <c r="Y441" s="498"/>
      <c r="Z441" s="462">
        <f t="shared" si="133"/>
        <v>597.33400000000006</v>
      </c>
      <c r="AA441" s="462">
        <f t="shared" si="134"/>
        <v>3426.0659999999998</v>
      </c>
      <c r="AB441" s="489">
        <v>1000</v>
      </c>
      <c r="AD441" s="507" t="s">
        <v>2274</v>
      </c>
    </row>
    <row r="442" spans="1:30" s="507" customFormat="1" ht="12">
      <c r="A442" s="456">
        <v>108</v>
      </c>
      <c r="B442" s="457" t="s">
        <v>2326</v>
      </c>
      <c r="C442" s="497">
        <v>9901442996</v>
      </c>
      <c r="D442" s="459" t="s">
        <v>2327</v>
      </c>
      <c r="E442" s="460" t="s">
        <v>1175</v>
      </c>
      <c r="F442" s="461">
        <v>31</v>
      </c>
      <c r="G442" s="498">
        <v>71.400000000000006</v>
      </c>
      <c r="H442" s="462">
        <f t="shared" si="123"/>
        <v>2213.4</v>
      </c>
      <c r="I442" s="462">
        <f t="shared" si="124"/>
        <v>8568</v>
      </c>
      <c r="J442" s="463">
        <v>4</v>
      </c>
      <c r="K442" s="534">
        <v>75</v>
      </c>
      <c r="L442" s="462">
        <f t="shared" si="125"/>
        <v>1760</v>
      </c>
      <c r="M442" s="462">
        <v>1510</v>
      </c>
      <c r="N442" s="462">
        <v>250</v>
      </c>
      <c r="O442" s="462">
        <f t="shared" si="126"/>
        <v>4048.4</v>
      </c>
      <c r="P442" s="488">
        <f t="shared" si="127"/>
        <v>1242.3333333333333</v>
      </c>
      <c r="Q442" s="489">
        <f t="shared" si="128"/>
        <v>1225.3150684931506</v>
      </c>
      <c r="R442" s="489">
        <f t="shared" si="129"/>
        <v>65.753424657534239</v>
      </c>
      <c r="S442" s="490">
        <f t="shared" si="130"/>
        <v>15908</v>
      </c>
      <c r="T442" s="490">
        <f t="shared" si="131"/>
        <v>18441.401826484016</v>
      </c>
      <c r="U442" s="491">
        <f t="shared" si="132"/>
        <v>183.46</v>
      </c>
      <c r="V442" s="498"/>
      <c r="W442" s="498">
        <v>10</v>
      </c>
      <c r="X442" s="498"/>
      <c r="Y442" s="498"/>
      <c r="Z442" s="462">
        <f t="shared" si="133"/>
        <v>193.46</v>
      </c>
      <c r="AA442" s="462">
        <f t="shared" si="134"/>
        <v>3854.94</v>
      </c>
      <c r="AB442" s="489">
        <v>1000</v>
      </c>
    </row>
    <row r="443" spans="1:30" s="507" customFormat="1" ht="12">
      <c r="A443" s="456">
        <v>109</v>
      </c>
      <c r="B443" s="466" t="s">
        <v>2328</v>
      </c>
      <c r="C443" s="497">
        <v>9901442431</v>
      </c>
      <c r="D443" s="459" t="s">
        <v>2329</v>
      </c>
      <c r="E443" s="460" t="s">
        <v>44</v>
      </c>
      <c r="F443" s="461">
        <v>31</v>
      </c>
      <c r="G443" s="498">
        <v>72.540000000000006</v>
      </c>
      <c r="H443" s="462">
        <f t="shared" si="123"/>
        <v>2248.7400000000002</v>
      </c>
      <c r="I443" s="462">
        <f t="shared" si="124"/>
        <v>8704.8000000000011</v>
      </c>
      <c r="J443" s="463">
        <v>4</v>
      </c>
      <c r="K443" s="534">
        <v>75</v>
      </c>
      <c r="L443" s="462">
        <f t="shared" si="125"/>
        <v>1760</v>
      </c>
      <c r="M443" s="462">
        <v>1510</v>
      </c>
      <c r="N443" s="462">
        <v>250</v>
      </c>
      <c r="O443" s="462">
        <f t="shared" si="126"/>
        <v>4083.7400000000002</v>
      </c>
      <c r="P443" s="488">
        <f t="shared" si="127"/>
        <v>1253.7333333333333</v>
      </c>
      <c r="Q443" s="489">
        <f t="shared" si="128"/>
        <v>1236.5589041095891</v>
      </c>
      <c r="R443" s="489">
        <f t="shared" si="129"/>
        <v>65.753424657534239</v>
      </c>
      <c r="S443" s="490">
        <f t="shared" si="130"/>
        <v>16044.800000000001</v>
      </c>
      <c r="T443" s="490">
        <f t="shared" si="131"/>
        <v>18600.845662100459</v>
      </c>
      <c r="U443" s="491">
        <f t="shared" si="132"/>
        <v>185.17</v>
      </c>
      <c r="V443" s="498"/>
      <c r="W443" s="498"/>
      <c r="X443" s="498"/>
      <c r="Y443" s="498">
        <v>1997.12</v>
      </c>
      <c r="Z443" s="462">
        <f t="shared" si="133"/>
        <v>2182.29</v>
      </c>
      <c r="AA443" s="462">
        <f t="shared" si="134"/>
        <v>1901.4500000000003</v>
      </c>
      <c r="AB443" s="489">
        <v>1000</v>
      </c>
    </row>
    <row r="444" spans="1:30" s="507" customFormat="1" ht="12">
      <c r="A444" s="456">
        <v>110</v>
      </c>
      <c r="B444" s="466" t="s">
        <v>2330</v>
      </c>
      <c r="C444" s="497">
        <v>9901443881</v>
      </c>
      <c r="D444" s="459" t="s">
        <v>2331</v>
      </c>
      <c r="E444" s="460" t="s">
        <v>1175</v>
      </c>
      <c r="F444" s="461">
        <v>31</v>
      </c>
      <c r="G444" s="498">
        <v>71.400000000000006</v>
      </c>
      <c r="H444" s="462">
        <f t="shared" si="123"/>
        <v>2213.4</v>
      </c>
      <c r="I444" s="462">
        <f t="shared" si="124"/>
        <v>8568</v>
      </c>
      <c r="J444" s="463">
        <v>4</v>
      </c>
      <c r="K444" s="534">
        <v>50</v>
      </c>
      <c r="L444" s="462">
        <f t="shared" si="125"/>
        <v>1760</v>
      </c>
      <c r="M444" s="462">
        <v>1510</v>
      </c>
      <c r="N444" s="462">
        <v>250</v>
      </c>
      <c r="O444" s="462">
        <f t="shared" si="126"/>
        <v>4023.4</v>
      </c>
      <c r="P444" s="488">
        <f t="shared" si="127"/>
        <v>1234</v>
      </c>
      <c r="Q444" s="489">
        <f t="shared" si="128"/>
        <v>1217.0958904109589</v>
      </c>
      <c r="R444" s="489">
        <f t="shared" si="129"/>
        <v>65.753424657534239</v>
      </c>
      <c r="S444" s="490">
        <f t="shared" si="130"/>
        <v>15808</v>
      </c>
      <c r="T444" s="490">
        <f t="shared" si="131"/>
        <v>18324.849315068492</v>
      </c>
      <c r="U444" s="491">
        <f t="shared" si="132"/>
        <v>182.26</v>
      </c>
      <c r="V444" s="498">
        <f>(O444-N444)*11%</f>
        <v>415.07400000000001</v>
      </c>
      <c r="W444" s="498"/>
      <c r="X444" s="498"/>
      <c r="Y444" s="498">
        <v>2005.64</v>
      </c>
      <c r="Z444" s="462">
        <f t="shared" si="133"/>
        <v>2602.9740000000002</v>
      </c>
      <c r="AA444" s="462">
        <f t="shared" si="134"/>
        <v>1420.4259999999999</v>
      </c>
      <c r="AB444" s="489">
        <v>1000</v>
      </c>
    </row>
    <row r="445" spans="1:30" s="507" customFormat="1" ht="12">
      <c r="A445" s="456">
        <v>111</v>
      </c>
      <c r="B445" s="466" t="s">
        <v>2332</v>
      </c>
      <c r="C445" s="497">
        <v>9901442675</v>
      </c>
      <c r="D445" s="459" t="s">
        <v>2333</v>
      </c>
      <c r="E445" s="460" t="s">
        <v>1175</v>
      </c>
      <c r="F445" s="461">
        <v>31</v>
      </c>
      <c r="G445" s="498">
        <v>71.400000000000006</v>
      </c>
      <c r="H445" s="462">
        <f t="shared" si="123"/>
        <v>2213.4</v>
      </c>
      <c r="I445" s="462">
        <f t="shared" si="124"/>
        <v>8568</v>
      </c>
      <c r="J445" s="463">
        <v>4</v>
      </c>
      <c r="K445" s="534">
        <v>50</v>
      </c>
      <c r="L445" s="462">
        <f t="shared" si="125"/>
        <v>1760</v>
      </c>
      <c r="M445" s="462">
        <v>1510</v>
      </c>
      <c r="N445" s="462">
        <v>250</v>
      </c>
      <c r="O445" s="462">
        <f t="shared" si="126"/>
        <v>4023.4</v>
      </c>
      <c r="P445" s="488">
        <f t="shared" si="127"/>
        <v>1234</v>
      </c>
      <c r="Q445" s="489">
        <f t="shared" si="128"/>
        <v>1217.0958904109589</v>
      </c>
      <c r="R445" s="489">
        <f t="shared" si="129"/>
        <v>65.753424657534239</v>
      </c>
      <c r="S445" s="490">
        <f t="shared" si="130"/>
        <v>15808</v>
      </c>
      <c r="T445" s="490">
        <f t="shared" si="131"/>
        <v>18324.849315068492</v>
      </c>
      <c r="U445" s="491">
        <f t="shared" si="132"/>
        <v>182.26</v>
      </c>
      <c r="V445" s="498"/>
      <c r="W445" s="498"/>
      <c r="X445" s="498"/>
      <c r="Y445" s="498">
        <v>1962.94</v>
      </c>
      <c r="Z445" s="462">
        <f t="shared" si="133"/>
        <v>2145.1999999999998</v>
      </c>
      <c r="AA445" s="462">
        <f t="shared" si="134"/>
        <v>1878.2000000000003</v>
      </c>
      <c r="AB445" s="489">
        <v>1000</v>
      </c>
    </row>
    <row r="446" spans="1:30" s="507" customFormat="1" ht="12">
      <c r="A446" s="456">
        <v>112</v>
      </c>
      <c r="B446" s="457" t="s">
        <v>2334</v>
      </c>
      <c r="C446" s="497">
        <v>9901442401</v>
      </c>
      <c r="D446" s="459" t="s">
        <v>2335</v>
      </c>
      <c r="E446" s="460" t="s">
        <v>32</v>
      </c>
      <c r="F446" s="461">
        <v>31</v>
      </c>
      <c r="G446" s="498">
        <v>71.400000000000006</v>
      </c>
      <c r="H446" s="462">
        <f t="shared" si="123"/>
        <v>2213.4</v>
      </c>
      <c r="I446" s="462">
        <f t="shared" si="124"/>
        <v>8568</v>
      </c>
      <c r="J446" s="463">
        <v>4</v>
      </c>
      <c r="K446" s="534">
        <v>75</v>
      </c>
      <c r="L446" s="462">
        <f t="shared" si="125"/>
        <v>1760</v>
      </c>
      <c r="M446" s="462">
        <v>1510</v>
      </c>
      <c r="N446" s="462">
        <v>250</v>
      </c>
      <c r="O446" s="462">
        <f t="shared" si="126"/>
        <v>4048.4</v>
      </c>
      <c r="P446" s="488">
        <f t="shared" si="127"/>
        <v>1242.3333333333333</v>
      </c>
      <c r="Q446" s="489">
        <f t="shared" si="128"/>
        <v>1225.3150684931506</v>
      </c>
      <c r="R446" s="489">
        <f t="shared" si="129"/>
        <v>65.753424657534239</v>
      </c>
      <c r="S446" s="490">
        <f t="shared" si="130"/>
        <v>15908</v>
      </c>
      <c r="T446" s="490">
        <f t="shared" si="131"/>
        <v>18441.401826484016</v>
      </c>
      <c r="U446" s="491">
        <f t="shared" si="132"/>
        <v>183.46</v>
      </c>
      <c r="V446" s="498"/>
      <c r="W446" s="498">
        <v>10</v>
      </c>
      <c r="X446" s="498"/>
      <c r="Y446" s="498">
        <v>1463.78</v>
      </c>
      <c r="Z446" s="462">
        <f t="shared" si="133"/>
        <v>1657.24</v>
      </c>
      <c r="AA446" s="462">
        <f t="shared" si="134"/>
        <v>2391.16</v>
      </c>
      <c r="AB446" s="489">
        <v>1000</v>
      </c>
    </row>
    <row r="447" spans="1:30" s="507" customFormat="1" ht="12">
      <c r="A447" s="456">
        <v>113</v>
      </c>
      <c r="B447" s="457" t="s">
        <v>2336</v>
      </c>
      <c r="C447" s="497">
        <v>9901442620</v>
      </c>
      <c r="D447" s="459" t="s">
        <v>2337</v>
      </c>
      <c r="E447" s="460" t="s">
        <v>73</v>
      </c>
      <c r="F447" s="461">
        <v>31</v>
      </c>
      <c r="G447" s="498">
        <v>71.400000000000006</v>
      </c>
      <c r="H447" s="462">
        <f t="shared" si="123"/>
        <v>2213.4</v>
      </c>
      <c r="I447" s="462">
        <f t="shared" si="124"/>
        <v>8568</v>
      </c>
      <c r="J447" s="463">
        <v>4</v>
      </c>
      <c r="K447" s="534">
        <v>50</v>
      </c>
      <c r="L447" s="462">
        <f t="shared" si="125"/>
        <v>1760</v>
      </c>
      <c r="M447" s="462">
        <v>1510</v>
      </c>
      <c r="N447" s="462">
        <v>250</v>
      </c>
      <c r="O447" s="462">
        <f t="shared" si="126"/>
        <v>4023.4</v>
      </c>
      <c r="P447" s="488">
        <f t="shared" si="127"/>
        <v>1234</v>
      </c>
      <c r="Q447" s="489">
        <f t="shared" si="128"/>
        <v>1217.0958904109589</v>
      </c>
      <c r="R447" s="489">
        <f t="shared" si="129"/>
        <v>65.753424657534239</v>
      </c>
      <c r="S447" s="490">
        <f t="shared" si="130"/>
        <v>15808</v>
      </c>
      <c r="T447" s="490">
        <f t="shared" si="131"/>
        <v>18324.849315068492</v>
      </c>
      <c r="U447" s="491">
        <f t="shared" si="132"/>
        <v>182.26</v>
      </c>
      <c r="V447" s="498">
        <f>(O447-N447)*11%</f>
        <v>415.07400000000001</v>
      </c>
      <c r="W447" s="498"/>
      <c r="X447" s="498"/>
      <c r="Y447" s="498"/>
      <c r="Z447" s="462">
        <f t="shared" si="133"/>
        <v>597.33400000000006</v>
      </c>
      <c r="AA447" s="462">
        <f t="shared" si="134"/>
        <v>3426.0659999999998</v>
      </c>
      <c r="AB447" s="489">
        <v>1000</v>
      </c>
    </row>
    <row r="448" spans="1:30" s="507" customFormat="1" ht="12">
      <c r="A448" s="456">
        <v>114</v>
      </c>
      <c r="B448" s="457" t="s">
        <v>2338</v>
      </c>
      <c r="C448" s="497">
        <v>9901442642</v>
      </c>
      <c r="D448" s="459" t="s">
        <v>2339</v>
      </c>
      <c r="E448" s="460" t="s">
        <v>1175</v>
      </c>
      <c r="F448" s="461">
        <v>31</v>
      </c>
      <c r="G448" s="498">
        <v>71.400000000000006</v>
      </c>
      <c r="H448" s="462">
        <f t="shared" si="123"/>
        <v>2213.4</v>
      </c>
      <c r="I448" s="462">
        <f t="shared" si="124"/>
        <v>8568</v>
      </c>
      <c r="J448" s="463">
        <v>4</v>
      </c>
      <c r="K448" s="534">
        <v>75</v>
      </c>
      <c r="L448" s="462">
        <f t="shared" si="125"/>
        <v>1760</v>
      </c>
      <c r="M448" s="462">
        <v>1510</v>
      </c>
      <c r="N448" s="462">
        <v>250</v>
      </c>
      <c r="O448" s="462">
        <f t="shared" si="126"/>
        <v>4048.4</v>
      </c>
      <c r="P448" s="488">
        <f t="shared" si="127"/>
        <v>1242.3333333333333</v>
      </c>
      <c r="Q448" s="489">
        <f t="shared" si="128"/>
        <v>1225.3150684931506</v>
      </c>
      <c r="R448" s="489">
        <f t="shared" si="129"/>
        <v>65.753424657534239</v>
      </c>
      <c r="S448" s="490">
        <f t="shared" si="130"/>
        <v>15908</v>
      </c>
      <c r="T448" s="490">
        <f t="shared" si="131"/>
        <v>18441.401826484016</v>
      </c>
      <c r="U448" s="491">
        <f t="shared" si="132"/>
        <v>183.46</v>
      </c>
      <c r="V448" s="498"/>
      <c r="W448" s="498"/>
      <c r="X448" s="498"/>
      <c r="Y448" s="498"/>
      <c r="Z448" s="462">
        <f t="shared" si="133"/>
        <v>183.46</v>
      </c>
      <c r="AA448" s="462">
        <f t="shared" si="134"/>
        <v>3864.94</v>
      </c>
      <c r="AB448" s="489">
        <v>1000</v>
      </c>
    </row>
    <row r="449" spans="1:28" s="507" customFormat="1" ht="12">
      <c r="A449" s="456">
        <v>115</v>
      </c>
      <c r="B449" s="457" t="s">
        <v>2340</v>
      </c>
      <c r="C449" s="497">
        <v>9901443134</v>
      </c>
      <c r="D449" s="459" t="s">
        <v>2341</v>
      </c>
      <c r="E449" s="460" t="s">
        <v>47</v>
      </c>
      <c r="F449" s="461">
        <v>31</v>
      </c>
      <c r="G449" s="498">
        <v>74.63</v>
      </c>
      <c r="H449" s="462">
        <f t="shared" si="123"/>
        <v>2313.5299999999997</v>
      </c>
      <c r="I449" s="462">
        <f t="shared" si="124"/>
        <v>8955.5999999999985</v>
      </c>
      <c r="J449" s="463">
        <v>4</v>
      </c>
      <c r="K449" s="534">
        <v>75</v>
      </c>
      <c r="L449" s="462">
        <f t="shared" si="125"/>
        <v>1760</v>
      </c>
      <c r="M449" s="462">
        <v>1510</v>
      </c>
      <c r="N449" s="462">
        <v>250</v>
      </c>
      <c r="O449" s="462">
        <f t="shared" si="126"/>
        <v>4148.53</v>
      </c>
      <c r="P449" s="488">
        <f t="shared" si="127"/>
        <v>1274.6333333333332</v>
      </c>
      <c r="Q449" s="489">
        <f t="shared" si="128"/>
        <v>1257.172602739726</v>
      </c>
      <c r="R449" s="489">
        <f t="shared" si="129"/>
        <v>65.753424657534239</v>
      </c>
      <c r="S449" s="490">
        <f t="shared" si="130"/>
        <v>16295.599999999999</v>
      </c>
      <c r="T449" s="490">
        <f t="shared" si="131"/>
        <v>18893.159360730591</v>
      </c>
      <c r="U449" s="491">
        <f t="shared" si="132"/>
        <v>188.3</v>
      </c>
      <c r="V449" s="498"/>
      <c r="W449" s="498"/>
      <c r="X449" s="498"/>
      <c r="Y449" s="498">
        <v>1963.92</v>
      </c>
      <c r="Z449" s="462">
        <f t="shared" si="133"/>
        <v>2152.2200000000003</v>
      </c>
      <c r="AA449" s="462">
        <f t="shared" si="134"/>
        <v>1996.3099999999995</v>
      </c>
      <c r="AB449" s="489">
        <v>1000</v>
      </c>
    </row>
    <row r="450" spans="1:28" s="507" customFormat="1" ht="12">
      <c r="A450" s="456">
        <v>116</v>
      </c>
      <c r="B450" s="457" t="s">
        <v>2342</v>
      </c>
      <c r="C450" s="497">
        <v>9901442423</v>
      </c>
      <c r="D450" s="459" t="s">
        <v>2343</v>
      </c>
      <c r="E450" s="460" t="s">
        <v>32</v>
      </c>
      <c r="F450" s="461">
        <v>31</v>
      </c>
      <c r="G450" s="498">
        <v>71.400000000000006</v>
      </c>
      <c r="H450" s="462">
        <f t="shared" si="123"/>
        <v>2213.4</v>
      </c>
      <c r="I450" s="462">
        <f t="shared" si="124"/>
        <v>8568</v>
      </c>
      <c r="J450" s="463">
        <v>4</v>
      </c>
      <c r="K450" s="534">
        <v>75</v>
      </c>
      <c r="L450" s="462">
        <f t="shared" si="125"/>
        <v>1760</v>
      </c>
      <c r="M450" s="462">
        <v>1510</v>
      </c>
      <c r="N450" s="462">
        <v>250</v>
      </c>
      <c r="O450" s="462">
        <f t="shared" si="126"/>
        <v>4048.4</v>
      </c>
      <c r="P450" s="488">
        <f t="shared" si="127"/>
        <v>1242.3333333333333</v>
      </c>
      <c r="Q450" s="489">
        <f t="shared" si="128"/>
        <v>1225.3150684931506</v>
      </c>
      <c r="R450" s="489">
        <f t="shared" si="129"/>
        <v>65.753424657534239</v>
      </c>
      <c r="S450" s="490">
        <f t="shared" si="130"/>
        <v>15908</v>
      </c>
      <c r="T450" s="490">
        <f t="shared" si="131"/>
        <v>18441.401826484016</v>
      </c>
      <c r="U450" s="491">
        <f t="shared" si="132"/>
        <v>183.46</v>
      </c>
      <c r="V450" s="498">
        <f>(O450-N450)*11%</f>
        <v>417.82400000000001</v>
      </c>
      <c r="W450" s="498"/>
      <c r="X450" s="498"/>
      <c r="Y450" s="498">
        <v>448.97</v>
      </c>
      <c r="Z450" s="462">
        <f t="shared" si="133"/>
        <v>1050.2540000000001</v>
      </c>
      <c r="AA450" s="462">
        <f t="shared" si="134"/>
        <v>2998.1459999999997</v>
      </c>
      <c r="AB450" s="489">
        <v>1000</v>
      </c>
    </row>
    <row r="451" spans="1:28" s="507" customFormat="1" ht="12">
      <c r="A451" s="456">
        <v>117</v>
      </c>
      <c r="B451" s="466" t="s">
        <v>2344</v>
      </c>
      <c r="C451" s="497">
        <v>9901442893</v>
      </c>
      <c r="D451" s="459" t="s">
        <v>2345</v>
      </c>
      <c r="E451" s="460" t="s">
        <v>1173</v>
      </c>
      <c r="F451" s="461">
        <v>31</v>
      </c>
      <c r="G451" s="498">
        <v>72.540000000000006</v>
      </c>
      <c r="H451" s="462">
        <f t="shared" si="123"/>
        <v>2248.7400000000002</v>
      </c>
      <c r="I451" s="462">
        <f t="shared" si="124"/>
        <v>8704.8000000000011</v>
      </c>
      <c r="J451" s="463">
        <v>4</v>
      </c>
      <c r="K451" s="534">
        <v>75</v>
      </c>
      <c r="L451" s="462">
        <f t="shared" si="125"/>
        <v>1760</v>
      </c>
      <c r="M451" s="462">
        <v>1510</v>
      </c>
      <c r="N451" s="462">
        <v>250</v>
      </c>
      <c r="O451" s="462">
        <f t="shared" si="126"/>
        <v>4083.7400000000002</v>
      </c>
      <c r="P451" s="488">
        <f t="shared" si="127"/>
        <v>1253.7333333333333</v>
      </c>
      <c r="Q451" s="489">
        <f t="shared" si="128"/>
        <v>1236.5589041095891</v>
      </c>
      <c r="R451" s="489">
        <f t="shared" si="129"/>
        <v>65.753424657534239</v>
      </c>
      <c r="S451" s="490">
        <f t="shared" si="130"/>
        <v>16044.800000000001</v>
      </c>
      <c r="T451" s="490">
        <f t="shared" si="131"/>
        <v>18600.845662100459</v>
      </c>
      <c r="U451" s="491">
        <f t="shared" si="132"/>
        <v>185.17</v>
      </c>
      <c r="V451" s="498"/>
      <c r="W451" s="498"/>
      <c r="X451" s="498"/>
      <c r="Y451" s="498"/>
      <c r="Z451" s="462">
        <f t="shared" si="133"/>
        <v>185.17</v>
      </c>
      <c r="AA451" s="462">
        <f t="shared" si="134"/>
        <v>3898.57</v>
      </c>
      <c r="AB451" s="489">
        <v>1000</v>
      </c>
    </row>
    <row r="452" spans="1:28" s="507" customFormat="1" ht="12">
      <c r="A452" s="456">
        <v>118</v>
      </c>
      <c r="B452" s="466" t="s">
        <v>2346</v>
      </c>
      <c r="C452" s="497">
        <v>9901442656</v>
      </c>
      <c r="D452" s="459" t="s">
        <v>2347</v>
      </c>
      <c r="E452" s="460" t="s">
        <v>1175</v>
      </c>
      <c r="F452" s="461">
        <v>31</v>
      </c>
      <c r="G452" s="498">
        <v>71.400000000000006</v>
      </c>
      <c r="H452" s="462">
        <f t="shared" si="123"/>
        <v>2213.4</v>
      </c>
      <c r="I452" s="462">
        <f t="shared" si="124"/>
        <v>8568</v>
      </c>
      <c r="J452" s="463">
        <v>4</v>
      </c>
      <c r="K452" s="534">
        <v>75</v>
      </c>
      <c r="L452" s="462">
        <f t="shared" si="125"/>
        <v>1760</v>
      </c>
      <c r="M452" s="462">
        <v>1510</v>
      </c>
      <c r="N452" s="462">
        <v>250</v>
      </c>
      <c r="O452" s="462">
        <f t="shared" si="126"/>
        <v>4048.4</v>
      </c>
      <c r="P452" s="488">
        <f t="shared" si="127"/>
        <v>1242.3333333333333</v>
      </c>
      <c r="Q452" s="489">
        <f t="shared" si="128"/>
        <v>1225.3150684931506</v>
      </c>
      <c r="R452" s="489">
        <f t="shared" si="129"/>
        <v>65.753424657534239</v>
      </c>
      <c r="S452" s="490">
        <f t="shared" si="130"/>
        <v>15908</v>
      </c>
      <c r="T452" s="490">
        <f t="shared" si="131"/>
        <v>18441.401826484016</v>
      </c>
      <c r="U452" s="491">
        <f t="shared" si="132"/>
        <v>183.46</v>
      </c>
      <c r="V452" s="498"/>
      <c r="W452" s="498"/>
      <c r="X452" s="498"/>
      <c r="Y452" s="498"/>
      <c r="Z452" s="462">
        <f t="shared" si="133"/>
        <v>183.46</v>
      </c>
      <c r="AA452" s="462">
        <f t="shared" si="134"/>
        <v>3864.94</v>
      </c>
      <c r="AB452" s="489">
        <v>1000</v>
      </c>
    </row>
    <row r="453" spans="1:28" s="507" customFormat="1" ht="12">
      <c r="A453" s="456">
        <v>119</v>
      </c>
      <c r="B453" s="457" t="s">
        <v>2348</v>
      </c>
      <c r="C453" s="497">
        <v>9901442813</v>
      </c>
      <c r="D453" s="459" t="s">
        <v>2349</v>
      </c>
      <c r="E453" s="460" t="s">
        <v>39</v>
      </c>
      <c r="F453" s="461">
        <v>31</v>
      </c>
      <c r="G453" s="498">
        <v>78.25</v>
      </c>
      <c r="H453" s="462">
        <f t="shared" si="123"/>
        <v>2425.75</v>
      </c>
      <c r="I453" s="462">
        <f t="shared" si="124"/>
        <v>9390</v>
      </c>
      <c r="J453" s="463">
        <v>4</v>
      </c>
      <c r="K453" s="534">
        <v>75</v>
      </c>
      <c r="L453" s="462">
        <f t="shared" si="125"/>
        <v>1760</v>
      </c>
      <c r="M453" s="462">
        <v>1510</v>
      </c>
      <c r="N453" s="462">
        <v>250</v>
      </c>
      <c r="O453" s="462">
        <f t="shared" si="126"/>
        <v>4260.75</v>
      </c>
      <c r="P453" s="488">
        <f t="shared" si="127"/>
        <v>1310.8333333333333</v>
      </c>
      <c r="Q453" s="489">
        <f t="shared" si="128"/>
        <v>1292.8767123287671</v>
      </c>
      <c r="R453" s="489">
        <f t="shared" si="129"/>
        <v>65.753424657534239</v>
      </c>
      <c r="S453" s="490">
        <f t="shared" si="130"/>
        <v>16730</v>
      </c>
      <c r="T453" s="490">
        <f t="shared" si="131"/>
        <v>19399.463470319632</v>
      </c>
      <c r="U453" s="491">
        <f t="shared" si="132"/>
        <v>193.72</v>
      </c>
      <c r="V453" s="498"/>
      <c r="W453" s="498"/>
      <c r="X453" s="498"/>
      <c r="Y453" s="498"/>
      <c r="Z453" s="462">
        <f t="shared" si="133"/>
        <v>193.72</v>
      </c>
      <c r="AA453" s="462">
        <f t="shared" si="134"/>
        <v>4067.03</v>
      </c>
      <c r="AB453" s="489">
        <v>1000</v>
      </c>
    </row>
    <row r="454" spans="1:28" s="507" customFormat="1" ht="12">
      <c r="A454" s="456">
        <v>120</v>
      </c>
      <c r="B454" s="466" t="s">
        <v>2350</v>
      </c>
      <c r="C454" s="497">
        <v>9901442888</v>
      </c>
      <c r="D454" s="459" t="s">
        <v>2351</v>
      </c>
      <c r="E454" s="460" t="s">
        <v>67</v>
      </c>
      <c r="F454" s="461">
        <v>31</v>
      </c>
      <c r="G454" s="498">
        <v>73.59</v>
      </c>
      <c r="H454" s="462">
        <f t="shared" si="123"/>
        <v>2281.29</v>
      </c>
      <c r="I454" s="462">
        <f t="shared" si="124"/>
        <v>8830.8000000000011</v>
      </c>
      <c r="J454" s="463">
        <v>4</v>
      </c>
      <c r="K454" s="534">
        <v>75</v>
      </c>
      <c r="L454" s="462">
        <f t="shared" si="125"/>
        <v>1760</v>
      </c>
      <c r="M454" s="462">
        <v>1510</v>
      </c>
      <c r="N454" s="462">
        <v>250</v>
      </c>
      <c r="O454" s="462">
        <f t="shared" si="126"/>
        <v>4116.29</v>
      </c>
      <c r="P454" s="488">
        <f t="shared" si="127"/>
        <v>1264.2333333333333</v>
      </c>
      <c r="Q454" s="489">
        <f t="shared" si="128"/>
        <v>1246.9150684931508</v>
      </c>
      <c r="R454" s="489">
        <f t="shared" si="129"/>
        <v>65.753424657534239</v>
      </c>
      <c r="S454" s="490">
        <f t="shared" si="130"/>
        <v>16170.800000000001</v>
      </c>
      <c r="T454" s="490">
        <f t="shared" si="131"/>
        <v>18747.701826484019</v>
      </c>
      <c r="U454" s="491">
        <f t="shared" si="132"/>
        <v>186.74</v>
      </c>
      <c r="V454" s="498"/>
      <c r="W454" s="498">
        <v>10</v>
      </c>
      <c r="X454" s="498"/>
      <c r="Y454" s="498">
        <v>1243.28</v>
      </c>
      <c r="Z454" s="462">
        <f t="shared" si="133"/>
        <v>1440.02</v>
      </c>
      <c r="AA454" s="462">
        <f t="shared" si="134"/>
        <v>2676.27</v>
      </c>
      <c r="AB454" s="489">
        <v>1000</v>
      </c>
    </row>
    <row r="455" spans="1:28" s="507" customFormat="1" ht="12">
      <c r="A455" s="456">
        <v>121</v>
      </c>
      <c r="B455" s="457" t="s">
        <v>2352</v>
      </c>
      <c r="C455" s="497">
        <v>9901443480</v>
      </c>
      <c r="D455" s="459" t="s">
        <v>2353</v>
      </c>
      <c r="E455" s="460" t="s">
        <v>38</v>
      </c>
      <c r="F455" s="461">
        <v>31</v>
      </c>
      <c r="G455" s="498">
        <v>71.400000000000006</v>
      </c>
      <c r="H455" s="462">
        <f t="shared" si="123"/>
        <v>2213.4</v>
      </c>
      <c r="I455" s="462">
        <f t="shared" si="124"/>
        <v>8568</v>
      </c>
      <c r="J455" s="463">
        <v>4</v>
      </c>
      <c r="K455" s="534">
        <v>50</v>
      </c>
      <c r="L455" s="462">
        <f t="shared" si="125"/>
        <v>1760</v>
      </c>
      <c r="M455" s="462">
        <v>1510</v>
      </c>
      <c r="N455" s="462">
        <v>250</v>
      </c>
      <c r="O455" s="462">
        <f t="shared" si="126"/>
        <v>4023.4</v>
      </c>
      <c r="P455" s="488">
        <f t="shared" si="127"/>
        <v>1234</v>
      </c>
      <c r="Q455" s="489">
        <f t="shared" si="128"/>
        <v>1217.0958904109589</v>
      </c>
      <c r="R455" s="489">
        <f t="shared" si="129"/>
        <v>65.753424657534239</v>
      </c>
      <c r="S455" s="490">
        <f t="shared" si="130"/>
        <v>15808</v>
      </c>
      <c r="T455" s="490">
        <f t="shared" si="131"/>
        <v>18324.849315068492</v>
      </c>
      <c r="U455" s="491">
        <f t="shared" si="132"/>
        <v>182.26</v>
      </c>
      <c r="V455" s="498"/>
      <c r="W455" s="498"/>
      <c r="X455" s="498"/>
      <c r="Y455" s="498"/>
      <c r="Z455" s="462">
        <f t="shared" si="133"/>
        <v>182.26</v>
      </c>
      <c r="AA455" s="462">
        <f t="shared" si="134"/>
        <v>3841.1400000000003</v>
      </c>
      <c r="AB455" s="489">
        <v>1000</v>
      </c>
    </row>
    <row r="456" spans="1:28" s="507" customFormat="1" ht="12">
      <c r="A456" s="456">
        <v>122</v>
      </c>
      <c r="B456" s="466" t="s">
        <v>2354</v>
      </c>
      <c r="C456" s="497">
        <v>9901442569</v>
      </c>
      <c r="D456" s="459" t="s">
        <v>2355</v>
      </c>
      <c r="E456" s="460" t="s">
        <v>1175</v>
      </c>
      <c r="F456" s="461">
        <v>31</v>
      </c>
      <c r="G456" s="498">
        <v>71.400000000000006</v>
      </c>
      <c r="H456" s="462">
        <f t="shared" si="123"/>
        <v>2213.4</v>
      </c>
      <c r="I456" s="462">
        <f t="shared" si="124"/>
        <v>8568</v>
      </c>
      <c r="J456" s="463">
        <v>4</v>
      </c>
      <c r="K456" s="534">
        <v>50</v>
      </c>
      <c r="L456" s="462">
        <f t="shared" si="125"/>
        <v>1760</v>
      </c>
      <c r="M456" s="462">
        <v>1510</v>
      </c>
      <c r="N456" s="462">
        <v>250</v>
      </c>
      <c r="O456" s="462">
        <f t="shared" si="126"/>
        <v>4023.4</v>
      </c>
      <c r="P456" s="488">
        <f t="shared" si="127"/>
        <v>1234</v>
      </c>
      <c r="Q456" s="489">
        <f t="shared" si="128"/>
        <v>1217.0958904109589</v>
      </c>
      <c r="R456" s="489">
        <f t="shared" si="129"/>
        <v>65.753424657534239</v>
      </c>
      <c r="S456" s="490">
        <f t="shared" si="130"/>
        <v>15808</v>
      </c>
      <c r="T456" s="490">
        <f t="shared" si="131"/>
        <v>18324.849315068492</v>
      </c>
      <c r="U456" s="491">
        <f t="shared" si="132"/>
        <v>182.26</v>
      </c>
      <c r="V456" s="498"/>
      <c r="W456" s="498"/>
      <c r="X456" s="498"/>
      <c r="Y456" s="498">
        <v>1662.23</v>
      </c>
      <c r="Z456" s="462">
        <f t="shared" si="133"/>
        <v>1844.49</v>
      </c>
      <c r="AA456" s="462">
        <f t="shared" si="134"/>
        <v>2178.91</v>
      </c>
      <c r="AB456" s="489">
        <v>1000</v>
      </c>
    </row>
    <row r="457" spans="1:28" s="507" customFormat="1" ht="12">
      <c r="A457" s="456">
        <v>123</v>
      </c>
      <c r="B457" s="457" t="s">
        <v>2356</v>
      </c>
      <c r="C457" s="497">
        <v>9901442391</v>
      </c>
      <c r="D457" s="459" t="s">
        <v>2357</v>
      </c>
      <c r="E457" s="460" t="s">
        <v>39</v>
      </c>
      <c r="F457" s="461">
        <v>31</v>
      </c>
      <c r="G457" s="498">
        <v>78.25</v>
      </c>
      <c r="H457" s="462">
        <f t="shared" si="123"/>
        <v>2425.75</v>
      </c>
      <c r="I457" s="462">
        <f t="shared" si="124"/>
        <v>9390</v>
      </c>
      <c r="J457" s="463">
        <v>4</v>
      </c>
      <c r="K457" s="534">
        <v>50</v>
      </c>
      <c r="L457" s="462">
        <f t="shared" si="125"/>
        <v>1760</v>
      </c>
      <c r="M457" s="462">
        <v>1510</v>
      </c>
      <c r="N457" s="462">
        <v>250</v>
      </c>
      <c r="O457" s="462">
        <f t="shared" si="126"/>
        <v>4235.75</v>
      </c>
      <c r="P457" s="488">
        <f t="shared" si="127"/>
        <v>1302.5</v>
      </c>
      <c r="Q457" s="489">
        <f t="shared" si="128"/>
        <v>1284.6575342465753</v>
      </c>
      <c r="R457" s="489">
        <f t="shared" si="129"/>
        <v>65.753424657534239</v>
      </c>
      <c r="S457" s="490">
        <f t="shared" si="130"/>
        <v>16630</v>
      </c>
      <c r="T457" s="490">
        <f t="shared" si="131"/>
        <v>19282.910958904111</v>
      </c>
      <c r="U457" s="491">
        <f t="shared" si="132"/>
        <v>192.51</v>
      </c>
      <c r="V457" s="498"/>
      <c r="W457" s="498"/>
      <c r="X457" s="498"/>
      <c r="Y457" s="498">
        <v>1847.75</v>
      </c>
      <c r="Z457" s="462">
        <f t="shared" si="133"/>
        <v>2040.26</v>
      </c>
      <c r="AA457" s="462">
        <f t="shared" si="134"/>
        <v>2195.4899999999998</v>
      </c>
      <c r="AB457" s="489">
        <v>1000</v>
      </c>
    </row>
    <row r="458" spans="1:28" s="507" customFormat="1" ht="12">
      <c r="A458" s="456">
        <v>124</v>
      </c>
      <c r="B458" s="457" t="s">
        <v>2358</v>
      </c>
      <c r="C458" s="497">
        <v>9901443070</v>
      </c>
      <c r="D458" s="459" t="s">
        <v>2359</v>
      </c>
      <c r="E458" s="460" t="s">
        <v>44</v>
      </c>
      <c r="F458" s="461">
        <v>31</v>
      </c>
      <c r="G458" s="498">
        <v>72.540000000000006</v>
      </c>
      <c r="H458" s="462">
        <f t="shared" si="123"/>
        <v>2248.7400000000002</v>
      </c>
      <c r="I458" s="462">
        <f t="shared" si="124"/>
        <v>8704.8000000000011</v>
      </c>
      <c r="J458" s="463">
        <v>4</v>
      </c>
      <c r="K458" s="534">
        <v>75</v>
      </c>
      <c r="L458" s="462">
        <f t="shared" si="125"/>
        <v>1760</v>
      </c>
      <c r="M458" s="462">
        <v>1510</v>
      </c>
      <c r="N458" s="462">
        <v>250</v>
      </c>
      <c r="O458" s="462">
        <f t="shared" si="126"/>
        <v>4083.7400000000002</v>
      </c>
      <c r="P458" s="488">
        <f t="shared" si="127"/>
        <v>1253.7333333333333</v>
      </c>
      <c r="Q458" s="489">
        <f t="shared" si="128"/>
        <v>1236.5589041095891</v>
      </c>
      <c r="R458" s="489">
        <f t="shared" si="129"/>
        <v>65.753424657534239</v>
      </c>
      <c r="S458" s="490">
        <f t="shared" si="130"/>
        <v>16044.800000000001</v>
      </c>
      <c r="T458" s="490">
        <f t="shared" si="131"/>
        <v>18600.845662100459</v>
      </c>
      <c r="U458" s="491">
        <f t="shared" si="132"/>
        <v>185.17</v>
      </c>
      <c r="V458" s="498"/>
      <c r="W458" s="498"/>
      <c r="X458" s="498"/>
      <c r="Y458" s="498">
        <v>1980.02</v>
      </c>
      <c r="Z458" s="462">
        <f t="shared" si="133"/>
        <v>2165.19</v>
      </c>
      <c r="AA458" s="462">
        <f t="shared" si="134"/>
        <v>1918.5500000000002</v>
      </c>
      <c r="AB458" s="489">
        <v>1000</v>
      </c>
    </row>
    <row r="459" spans="1:28" s="507" customFormat="1">
      <c r="A459" s="456">
        <v>125</v>
      </c>
      <c r="B459" s="457" t="s">
        <v>2360</v>
      </c>
      <c r="C459" s="4">
        <v>9901442878</v>
      </c>
      <c r="D459" s="459" t="s">
        <v>2361</v>
      </c>
      <c r="E459" s="460" t="s">
        <v>32</v>
      </c>
      <c r="F459" s="461">
        <v>31</v>
      </c>
      <c r="G459" s="498">
        <v>71.400000000000006</v>
      </c>
      <c r="H459" s="462">
        <f t="shared" si="123"/>
        <v>2213.4</v>
      </c>
      <c r="I459" s="462">
        <f t="shared" si="124"/>
        <v>8568</v>
      </c>
      <c r="J459" s="463">
        <v>4</v>
      </c>
      <c r="K459" s="534">
        <v>75</v>
      </c>
      <c r="L459" s="462">
        <f t="shared" si="125"/>
        <v>1760</v>
      </c>
      <c r="M459" s="462">
        <v>1510</v>
      </c>
      <c r="N459" s="462">
        <v>250</v>
      </c>
      <c r="O459" s="462">
        <f t="shared" si="126"/>
        <v>4048.4</v>
      </c>
      <c r="P459" s="488">
        <f t="shared" si="127"/>
        <v>1242.3333333333333</v>
      </c>
      <c r="Q459" s="489">
        <f t="shared" si="128"/>
        <v>1225.3150684931506</v>
      </c>
      <c r="R459" s="489">
        <f t="shared" si="129"/>
        <v>65.753424657534239</v>
      </c>
      <c r="S459" s="490">
        <f t="shared" si="130"/>
        <v>15908</v>
      </c>
      <c r="T459" s="490">
        <f t="shared" si="131"/>
        <v>18441.401826484016</v>
      </c>
      <c r="U459" s="491">
        <f t="shared" si="132"/>
        <v>183.46</v>
      </c>
      <c r="V459" s="498">
        <f>(O459-N459)*11%</f>
        <v>417.82400000000001</v>
      </c>
      <c r="W459" s="498">
        <v>10</v>
      </c>
      <c r="X459" s="498"/>
      <c r="Y459" s="498">
        <v>1561.97</v>
      </c>
      <c r="Z459" s="462">
        <f t="shared" si="133"/>
        <v>2173.2539999999999</v>
      </c>
      <c r="AA459" s="462">
        <f t="shared" si="134"/>
        <v>1875.1460000000002</v>
      </c>
      <c r="AB459" s="489">
        <v>1000</v>
      </c>
    </row>
    <row r="460" spans="1:28" s="507" customFormat="1">
      <c r="A460" s="456">
        <v>126</v>
      </c>
      <c r="B460" s="457" t="s">
        <v>2362</v>
      </c>
      <c r="C460" s="497">
        <v>9901442388</v>
      </c>
      <c r="D460" s="459" t="s">
        <v>2363</v>
      </c>
      <c r="E460" s="460" t="s">
        <v>39</v>
      </c>
      <c r="F460" s="461">
        <v>31</v>
      </c>
      <c r="G460" s="498">
        <v>78.25</v>
      </c>
      <c r="H460" s="462">
        <f t="shared" si="123"/>
        <v>2425.75</v>
      </c>
      <c r="I460" s="462">
        <f t="shared" si="124"/>
        <v>9390</v>
      </c>
      <c r="J460" s="463">
        <v>4</v>
      </c>
      <c r="K460" s="534">
        <v>75</v>
      </c>
      <c r="L460" s="462">
        <f t="shared" si="125"/>
        <v>1760</v>
      </c>
      <c r="M460" s="462">
        <v>1510</v>
      </c>
      <c r="N460" s="462">
        <v>250</v>
      </c>
      <c r="O460" s="462">
        <f t="shared" si="126"/>
        <v>4260.75</v>
      </c>
      <c r="P460" s="488">
        <f t="shared" si="127"/>
        <v>1310.8333333333333</v>
      </c>
      <c r="Q460" s="489">
        <f t="shared" si="128"/>
        <v>1292.8767123287671</v>
      </c>
      <c r="R460" s="489">
        <f t="shared" si="129"/>
        <v>65.753424657534239</v>
      </c>
      <c r="S460" s="490">
        <f t="shared" si="130"/>
        <v>16730</v>
      </c>
      <c r="T460" s="490">
        <f t="shared" si="131"/>
        <v>19399.463470319632</v>
      </c>
      <c r="U460" s="491">
        <f t="shared" si="132"/>
        <v>193.72</v>
      </c>
      <c r="V460" s="498"/>
      <c r="W460" s="498"/>
      <c r="X460" s="512">
        <v>964.38</v>
      </c>
      <c r="Y460" s="498">
        <v>2977.65</v>
      </c>
      <c r="Z460" s="462">
        <f t="shared" si="133"/>
        <v>4135.75</v>
      </c>
      <c r="AA460" s="462">
        <f t="shared" si="134"/>
        <v>125</v>
      </c>
      <c r="AB460" s="489">
        <v>1000</v>
      </c>
    </row>
    <row r="461" spans="1:28" s="507" customFormat="1" ht="12">
      <c r="A461" s="456">
        <v>127</v>
      </c>
      <c r="B461" s="466" t="s">
        <v>2364</v>
      </c>
      <c r="C461" s="497">
        <v>9901442580</v>
      </c>
      <c r="D461" s="459" t="s">
        <v>2365</v>
      </c>
      <c r="E461" s="460" t="s">
        <v>78</v>
      </c>
      <c r="F461" s="461">
        <v>31</v>
      </c>
      <c r="G461" s="498">
        <v>72.540000000000006</v>
      </c>
      <c r="H461" s="462">
        <f t="shared" si="123"/>
        <v>2248.7400000000002</v>
      </c>
      <c r="I461" s="462">
        <f t="shared" si="124"/>
        <v>8704.8000000000011</v>
      </c>
      <c r="J461" s="463">
        <v>4</v>
      </c>
      <c r="K461" s="534">
        <v>75</v>
      </c>
      <c r="L461" s="462">
        <f t="shared" si="125"/>
        <v>1760</v>
      </c>
      <c r="M461" s="462">
        <v>1510</v>
      </c>
      <c r="N461" s="462">
        <v>250</v>
      </c>
      <c r="O461" s="462">
        <f t="shared" si="126"/>
        <v>4083.7400000000002</v>
      </c>
      <c r="P461" s="488">
        <f t="shared" si="127"/>
        <v>1253.7333333333333</v>
      </c>
      <c r="Q461" s="489">
        <f t="shared" si="128"/>
        <v>1236.5589041095891</v>
      </c>
      <c r="R461" s="489">
        <f t="shared" si="129"/>
        <v>65.753424657534239</v>
      </c>
      <c r="S461" s="490">
        <f t="shared" si="130"/>
        <v>16044.800000000001</v>
      </c>
      <c r="T461" s="490">
        <f t="shared" si="131"/>
        <v>18600.845662100459</v>
      </c>
      <c r="U461" s="491">
        <f t="shared" si="132"/>
        <v>185.17</v>
      </c>
      <c r="V461" s="498"/>
      <c r="W461" s="498"/>
      <c r="X461" s="498"/>
      <c r="Y461" s="498"/>
      <c r="Z461" s="462">
        <f t="shared" si="133"/>
        <v>185.17</v>
      </c>
      <c r="AA461" s="462">
        <f t="shared" si="134"/>
        <v>3898.57</v>
      </c>
      <c r="AB461" s="489">
        <v>1000</v>
      </c>
    </row>
    <row r="462" spans="1:28" s="507" customFormat="1" ht="12">
      <c r="A462" s="456">
        <v>128</v>
      </c>
      <c r="B462" s="457" t="s">
        <v>2366</v>
      </c>
      <c r="C462" s="497">
        <v>9901442991</v>
      </c>
      <c r="D462" s="459" t="s">
        <v>2367</v>
      </c>
      <c r="E462" s="460" t="s">
        <v>72</v>
      </c>
      <c r="F462" s="461">
        <v>31</v>
      </c>
      <c r="G462" s="498">
        <v>71.400000000000006</v>
      </c>
      <c r="H462" s="462">
        <f t="shared" si="123"/>
        <v>2213.4</v>
      </c>
      <c r="I462" s="462">
        <f t="shared" si="124"/>
        <v>8568</v>
      </c>
      <c r="J462" s="463">
        <v>4</v>
      </c>
      <c r="K462" s="534">
        <v>75</v>
      </c>
      <c r="L462" s="462">
        <f t="shared" si="125"/>
        <v>1760</v>
      </c>
      <c r="M462" s="462">
        <v>1510</v>
      </c>
      <c r="N462" s="462">
        <v>250</v>
      </c>
      <c r="O462" s="462">
        <f t="shared" si="126"/>
        <v>4048.4</v>
      </c>
      <c r="P462" s="488">
        <f t="shared" si="127"/>
        <v>1242.3333333333333</v>
      </c>
      <c r="Q462" s="489">
        <f t="shared" si="128"/>
        <v>1225.3150684931506</v>
      </c>
      <c r="R462" s="489">
        <f t="shared" si="129"/>
        <v>65.753424657534239</v>
      </c>
      <c r="S462" s="490">
        <f t="shared" si="130"/>
        <v>15908</v>
      </c>
      <c r="T462" s="490">
        <f t="shared" si="131"/>
        <v>18441.401826484016</v>
      </c>
      <c r="U462" s="491">
        <f t="shared" si="132"/>
        <v>183.46</v>
      </c>
      <c r="V462" s="498">
        <f>(O462-N462)*11%</f>
        <v>417.82400000000001</v>
      </c>
      <c r="W462" s="498"/>
      <c r="X462" s="498"/>
      <c r="Y462" s="498">
        <v>741.64</v>
      </c>
      <c r="Z462" s="462">
        <f t="shared" si="133"/>
        <v>1342.924</v>
      </c>
      <c r="AA462" s="462">
        <f t="shared" si="134"/>
        <v>2705.4760000000001</v>
      </c>
      <c r="AB462" s="489">
        <v>1000</v>
      </c>
    </row>
    <row r="463" spans="1:28" s="507" customFormat="1" ht="12">
      <c r="A463" s="456">
        <v>129</v>
      </c>
      <c r="B463" s="466" t="s">
        <v>2368</v>
      </c>
      <c r="C463" s="497">
        <v>9901443133</v>
      </c>
      <c r="D463" s="459" t="s">
        <v>2369</v>
      </c>
      <c r="E463" s="460" t="s">
        <v>46</v>
      </c>
      <c r="F463" s="461">
        <v>31</v>
      </c>
      <c r="G463" s="498">
        <v>73.59</v>
      </c>
      <c r="H463" s="462">
        <f t="shared" ref="H463:H483" si="135">+F463*G463</f>
        <v>2281.29</v>
      </c>
      <c r="I463" s="462">
        <f t="shared" ref="I463:I484" si="136">G463*120</f>
        <v>8830.8000000000011</v>
      </c>
      <c r="J463" s="463">
        <v>4</v>
      </c>
      <c r="K463" s="534">
        <v>75</v>
      </c>
      <c r="L463" s="462">
        <f t="shared" ref="L463:L483" si="137">M463+N463</f>
        <v>1760</v>
      </c>
      <c r="M463" s="462">
        <v>1510</v>
      </c>
      <c r="N463" s="462">
        <v>250</v>
      </c>
      <c r="O463" s="462">
        <f t="shared" ref="O463:O483" si="138">+H463+M463+N463+K463</f>
        <v>4116.29</v>
      </c>
      <c r="P463" s="488">
        <f t="shared" ref="P463:P484" si="139">(((G463*120)+(K463+M463)*4)/12)</f>
        <v>1264.2333333333333</v>
      </c>
      <c r="Q463" s="489">
        <f t="shared" ref="Q463:Q484" si="140">(((G463*30)+M463+K463)/365*120)</f>
        <v>1246.9150684931508</v>
      </c>
      <c r="R463" s="489">
        <f t="shared" ref="R463:R484" si="141">+(200/365)*120</f>
        <v>65.753424657534239</v>
      </c>
      <c r="S463" s="490">
        <f t="shared" ref="S463:S484" si="142">(((G463*120)+((K463+M463+N463)*4)))</f>
        <v>16170.800000000001</v>
      </c>
      <c r="T463" s="490">
        <f t="shared" ref="T463:T484" si="143">+S463+R463+Q463+P463</f>
        <v>18747.701826484019</v>
      </c>
      <c r="U463" s="491">
        <f t="shared" ref="U463:U483" si="144">ROUND((((H463+K463+M463)*4.83)/100),2)</f>
        <v>186.74</v>
      </c>
      <c r="V463" s="498"/>
      <c r="W463" s="498"/>
      <c r="X463" s="498"/>
      <c r="Y463" s="498">
        <v>1462.84</v>
      </c>
      <c r="Z463" s="462">
        <f t="shared" ref="Z463:Z483" si="145">V463+W463+X463+Y463+U463</f>
        <v>1649.58</v>
      </c>
      <c r="AA463" s="462">
        <f t="shared" ref="AA463:AA483" si="146">+O463-Z463</f>
        <v>2466.71</v>
      </c>
      <c r="AB463" s="489">
        <v>1000</v>
      </c>
    </row>
    <row r="464" spans="1:28" s="507" customFormat="1" ht="12">
      <c r="A464" s="456">
        <v>130</v>
      </c>
      <c r="B464" s="466" t="s">
        <v>2370</v>
      </c>
      <c r="C464" s="497">
        <v>9901442439</v>
      </c>
      <c r="D464" s="459" t="s">
        <v>2371</v>
      </c>
      <c r="E464" s="460" t="s">
        <v>39</v>
      </c>
      <c r="F464" s="461">
        <v>31</v>
      </c>
      <c r="G464" s="498">
        <v>78.25</v>
      </c>
      <c r="H464" s="462">
        <f t="shared" si="135"/>
        <v>2425.75</v>
      </c>
      <c r="I464" s="462">
        <f t="shared" si="136"/>
        <v>9390</v>
      </c>
      <c r="J464" s="463">
        <v>4</v>
      </c>
      <c r="K464" s="534">
        <v>75</v>
      </c>
      <c r="L464" s="462">
        <f t="shared" si="137"/>
        <v>1760</v>
      </c>
      <c r="M464" s="462">
        <v>1510</v>
      </c>
      <c r="N464" s="462">
        <v>250</v>
      </c>
      <c r="O464" s="462">
        <f t="shared" si="138"/>
        <v>4260.75</v>
      </c>
      <c r="P464" s="488">
        <f t="shared" si="139"/>
        <v>1310.8333333333333</v>
      </c>
      <c r="Q464" s="489">
        <f t="shared" si="140"/>
        <v>1292.8767123287671</v>
      </c>
      <c r="R464" s="489">
        <f t="shared" si="141"/>
        <v>65.753424657534239</v>
      </c>
      <c r="S464" s="490">
        <f t="shared" si="142"/>
        <v>16730</v>
      </c>
      <c r="T464" s="490">
        <f t="shared" si="143"/>
        <v>19399.463470319632</v>
      </c>
      <c r="U464" s="491">
        <f t="shared" si="144"/>
        <v>193.72</v>
      </c>
      <c r="V464" s="498">
        <f>(O464-N464)*11%</f>
        <v>441.1825</v>
      </c>
      <c r="W464" s="498"/>
      <c r="X464" s="498"/>
      <c r="Y464" s="498">
        <v>1900.11</v>
      </c>
      <c r="Z464" s="462">
        <f t="shared" si="145"/>
        <v>2535.0124999999998</v>
      </c>
      <c r="AA464" s="462">
        <f t="shared" si="146"/>
        <v>1725.7375000000002</v>
      </c>
      <c r="AB464" s="489">
        <v>1000</v>
      </c>
    </row>
    <row r="465" spans="1:30" s="507" customFormat="1" ht="12">
      <c r="A465" s="456">
        <v>131</v>
      </c>
      <c r="B465" s="466" t="s">
        <v>2372</v>
      </c>
      <c r="C465" s="497">
        <v>9901442568</v>
      </c>
      <c r="D465" s="459" t="s">
        <v>2373</v>
      </c>
      <c r="E465" s="460" t="s">
        <v>1175</v>
      </c>
      <c r="F465" s="461">
        <v>31</v>
      </c>
      <c r="G465" s="498">
        <v>71.400000000000006</v>
      </c>
      <c r="H465" s="462">
        <f t="shared" si="135"/>
        <v>2213.4</v>
      </c>
      <c r="I465" s="462">
        <f t="shared" si="136"/>
        <v>8568</v>
      </c>
      <c r="J465" s="463">
        <v>4</v>
      </c>
      <c r="K465" s="534">
        <v>75</v>
      </c>
      <c r="L465" s="462">
        <f t="shared" si="137"/>
        <v>1760</v>
      </c>
      <c r="M465" s="462">
        <v>1510</v>
      </c>
      <c r="N465" s="462">
        <v>250</v>
      </c>
      <c r="O465" s="462">
        <f t="shared" si="138"/>
        <v>4048.4</v>
      </c>
      <c r="P465" s="488">
        <f t="shared" si="139"/>
        <v>1242.3333333333333</v>
      </c>
      <c r="Q465" s="489">
        <f t="shared" si="140"/>
        <v>1225.3150684931506</v>
      </c>
      <c r="R465" s="489">
        <f t="shared" si="141"/>
        <v>65.753424657534239</v>
      </c>
      <c r="S465" s="490">
        <f t="shared" si="142"/>
        <v>15908</v>
      </c>
      <c r="T465" s="490">
        <f t="shared" si="143"/>
        <v>18441.401826484016</v>
      </c>
      <c r="U465" s="491">
        <f t="shared" si="144"/>
        <v>183.46</v>
      </c>
      <c r="V465" s="498">
        <f>(O465-N465)*11%</f>
        <v>417.82400000000001</v>
      </c>
      <c r="W465" s="498"/>
      <c r="X465" s="498"/>
      <c r="Y465" s="498">
        <v>1530.69</v>
      </c>
      <c r="Z465" s="462">
        <f t="shared" si="145"/>
        <v>2131.9740000000002</v>
      </c>
      <c r="AA465" s="462">
        <f t="shared" si="146"/>
        <v>1916.4259999999999</v>
      </c>
      <c r="AB465" s="489">
        <v>1000</v>
      </c>
    </row>
    <row r="466" spans="1:30" s="507" customFormat="1" ht="12">
      <c r="A466" s="456">
        <v>132</v>
      </c>
      <c r="B466" s="466" t="s">
        <v>2374</v>
      </c>
      <c r="C466" s="497">
        <v>9901442654</v>
      </c>
      <c r="D466" s="459" t="s">
        <v>2375</v>
      </c>
      <c r="E466" s="460" t="s">
        <v>46</v>
      </c>
      <c r="F466" s="461">
        <v>31</v>
      </c>
      <c r="G466" s="498">
        <v>73.59</v>
      </c>
      <c r="H466" s="462">
        <f t="shared" si="135"/>
        <v>2281.29</v>
      </c>
      <c r="I466" s="462">
        <f t="shared" si="136"/>
        <v>8830.8000000000011</v>
      </c>
      <c r="J466" s="463">
        <v>4</v>
      </c>
      <c r="K466" s="534">
        <v>75</v>
      </c>
      <c r="L466" s="462">
        <f t="shared" si="137"/>
        <v>1760</v>
      </c>
      <c r="M466" s="462">
        <v>1510</v>
      </c>
      <c r="N466" s="462">
        <v>250</v>
      </c>
      <c r="O466" s="462">
        <f t="shared" si="138"/>
        <v>4116.29</v>
      </c>
      <c r="P466" s="488">
        <f t="shared" si="139"/>
        <v>1264.2333333333333</v>
      </c>
      <c r="Q466" s="489">
        <f t="shared" si="140"/>
        <v>1246.9150684931508</v>
      </c>
      <c r="R466" s="489">
        <f t="shared" si="141"/>
        <v>65.753424657534239</v>
      </c>
      <c r="S466" s="490">
        <f t="shared" si="142"/>
        <v>16170.800000000001</v>
      </c>
      <c r="T466" s="490">
        <f t="shared" si="143"/>
        <v>18747.701826484019</v>
      </c>
      <c r="U466" s="491">
        <f t="shared" si="144"/>
        <v>186.74</v>
      </c>
      <c r="V466" s="498"/>
      <c r="W466" s="498"/>
      <c r="X466" s="498"/>
      <c r="Y466" s="498">
        <v>1354.71</v>
      </c>
      <c r="Z466" s="462">
        <f t="shared" si="145"/>
        <v>1541.45</v>
      </c>
      <c r="AA466" s="462">
        <f t="shared" si="146"/>
        <v>2574.84</v>
      </c>
      <c r="AB466" s="489">
        <v>1000</v>
      </c>
    </row>
    <row r="467" spans="1:30" s="507" customFormat="1" ht="12">
      <c r="A467" s="456">
        <v>133</v>
      </c>
      <c r="B467" s="457" t="s">
        <v>2376</v>
      </c>
      <c r="C467" s="497">
        <v>9901442436</v>
      </c>
      <c r="D467" s="459" t="s">
        <v>2377</v>
      </c>
      <c r="E467" s="460" t="s">
        <v>32</v>
      </c>
      <c r="F467" s="461">
        <v>31</v>
      </c>
      <c r="G467" s="498">
        <v>71.400000000000006</v>
      </c>
      <c r="H467" s="462">
        <f t="shared" si="135"/>
        <v>2213.4</v>
      </c>
      <c r="I467" s="462">
        <f t="shared" si="136"/>
        <v>8568</v>
      </c>
      <c r="J467" s="463">
        <v>4</v>
      </c>
      <c r="K467" s="468">
        <v>50</v>
      </c>
      <c r="L467" s="462">
        <f t="shared" si="137"/>
        <v>1760</v>
      </c>
      <c r="M467" s="462">
        <v>1510</v>
      </c>
      <c r="N467" s="462">
        <v>250</v>
      </c>
      <c r="O467" s="462">
        <f t="shared" si="138"/>
        <v>4023.4</v>
      </c>
      <c r="P467" s="488">
        <f t="shared" si="139"/>
        <v>1234</v>
      </c>
      <c r="Q467" s="489">
        <f t="shared" si="140"/>
        <v>1217.0958904109589</v>
      </c>
      <c r="R467" s="489">
        <f t="shared" si="141"/>
        <v>65.753424657534239</v>
      </c>
      <c r="S467" s="490">
        <f t="shared" si="142"/>
        <v>15808</v>
      </c>
      <c r="T467" s="490">
        <f t="shared" si="143"/>
        <v>18324.849315068492</v>
      </c>
      <c r="U467" s="491">
        <f t="shared" si="144"/>
        <v>182.26</v>
      </c>
      <c r="V467" s="498">
        <f>(O467-N467)*11%</f>
        <v>415.07400000000001</v>
      </c>
      <c r="W467" s="498"/>
      <c r="X467" s="498"/>
      <c r="Y467" s="498"/>
      <c r="Z467" s="462">
        <f t="shared" si="145"/>
        <v>597.33400000000006</v>
      </c>
      <c r="AA467" s="462">
        <f t="shared" si="146"/>
        <v>3426.0659999999998</v>
      </c>
      <c r="AB467" s="489">
        <v>1000</v>
      </c>
      <c r="AD467" s="507" t="s">
        <v>354</v>
      </c>
    </row>
    <row r="468" spans="1:30" s="507" customFormat="1" ht="12">
      <c r="A468" s="456">
        <v>134</v>
      </c>
      <c r="B468" s="457" t="s">
        <v>2378</v>
      </c>
      <c r="C468" s="497">
        <v>9901443762</v>
      </c>
      <c r="D468" s="459" t="s">
        <v>2379</v>
      </c>
      <c r="E468" s="460" t="s">
        <v>39</v>
      </c>
      <c r="F468" s="461">
        <v>31</v>
      </c>
      <c r="G468" s="498">
        <v>78.25</v>
      </c>
      <c r="H468" s="462">
        <f t="shared" si="135"/>
        <v>2425.75</v>
      </c>
      <c r="I468" s="462">
        <f t="shared" si="136"/>
        <v>9390</v>
      </c>
      <c r="J468" s="463">
        <v>4</v>
      </c>
      <c r="K468" s="534">
        <v>75</v>
      </c>
      <c r="L468" s="462">
        <f t="shared" si="137"/>
        <v>1760</v>
      </c>
      <c r="M468" s="462">
        <v>1510</v>
      </c>
      <c r="N468" s="462">
        <v>250</v>
      </c>
      <c r="O468" s="462">
        <f t="shared" si="138"/>
        <v>4260.75</v>
      </c>
      <c r="P468" s="488">
        <f t="shared" si="139"/>
        <v>1310.8333333333333</v>
      </c>
      <c r="Q468" s="489">
        <f t="shared" si="140"/>
        <v>1292.8767123287671</v>
      </c>
      <c r="R468" s="489">
        <f t="shared" si="141"/>
        <v>65.753424657534239</v>
      </c>
      <c r="S468" s="490">
        <f t="shared" si="142"/>
        <v>16730</v>
      </c>
      <c r="T468" s="490">
        <f t="shared" si="143"/>
        <v>19399.463470319632</v>
      </c>
      <c r="U468" s="491">
        <f t="shared" si="144"/>
        <v>193.72</v>
      </c>
      <c r="V468" s="498"/>
      <c r="W468" s="498"/>
      <c r="X468" s="498"/>
      <c r="Y468" s="498"/>
      <c r="Z468" s="462">
        <f t="shared" si="145"/>
        <v>193.72</v>
      </c>
      <c r="AA468" s="462">
        <f t="shared" si="146"/>
        <v>4067.03</v>
      </c>
      <c r="AB468" s="489">
        <v>1000</v>
      </c>
    </row>
    <row r="469" spans="1:30" s="507" customFormat="1" ht="12">
      <c r="A469" s="456">
        <v>135</v>
      </c>
      <c r="B469" s="457" t="s">
        <v>2380</v>
      </c>
      <c r="C469" s="497">
        <v>9901442412</v>
      </c>
      <c r="D469" s="459" t="s">
        <v>2381</v>
      </c>
      <c r="E469" s="460" t="s">
        <v>72</v>
      </c>
      <c r="F469" s="461">
        <v>31</v>
      </c>
      <c r="G469" s="498">
        <v>71.400000000000006</v>
      </c>
      <c r="H469" s="462">
        <f t="shared" si="135"/>
        <v>2213.4</v>
      </c>
      <c r="I469" s="462">
        <f t="shared" si="136"/>
        <v>8568</v>
      </c>
      <c r="J469" s="463">
        <v>4</v>
      </c>
      <c r="K469" s="534">
        <v>75</v>
      </c>
      <c r="L469" s="462">
        <f t="shared" si="137"/>
        <v>1760</v>
      </c>
      <c r="M469" s="462">
        <v>1510</v>
      </c>
      <c r="N469" s="462">
        <v>250</v>
      </c>
      <c r="O469" s="462">
        <f t="shared" si="138"/>
        <v>4048.4</v>
      </c>
      <c r="P469" s="488">
        <f t="shared" si="139"/>
        <v>1242.3333333333333</v>
      </c>
      <c r="Q469" s="489">
        <f t="shared" si="140"/>
        <v>1225.3150684931506</v>
      </c>
      <c r="R469" s="489">
        <f t="shared" si="141"/>
        <v>65.753424657534239</v>
      </c>
      <c r="S469" s="490">
        <f t="shared" si="142"/>
        <v>15908</v>
      </c>
      <c r="T469" s="490">
        <f t="shared" si="143"/>
        <v>18441.401826484016</v>
      </c>
      <c r="U469" s="491">
        <f t="shared" si="144"/>
        <v>183.46</v>
      </c>
      <c r="V469" s="498"/>
      <c r="W469" s="498"/>
      <c r="X469" s="498"/>
      <c r="Y469" s="498">
        <v>1883.17</v>
      </c>
      <c r="Z469" s="462">
        <f t="shared" si="145"/>
        <v>2066.63</v>
      </c>
      <c r="AA469" s="462">
        <f t="shared" si="146"/>
        <v>1981.77</v>
      </c>
      <c r="AB469" s="489">
        <v>1000</v>
      </c>
    </row>
    <row r="470" spans="1:30" s="507" customFormat="1" ht="12">
      <c r="A470" s="456">
        <v>136</v>
      </c>
      <c r="B470" s="466" t="s">
        <v>2382</v>
      </c>
      <c r="C470" s="497">
        <v>9901442785</v>
      </c>
      <c r="D470" s="459" t="s">
        <v>2383</v>
      </c>
      <c r="E470" s="460" t="s">
        <v>1175</v>
      </c>
      <c r="F470" s="461">
        <v>31</v>
      </c>
      <c r="G470" s="498">
        <v>71.400000000000006</v>
      </c>
      <c r="H470" s="462">
        <f t="shared" si="135"/>
        <v>2213.4</v>
      </c>
      <c r="I470" s="462">
        <f t="shared" si="136"/>
        <v>8568</v>
      </c>
      <c r="J470" s="463">
        <v>4</v>
      </c>
      <c r="K470" s="534">
        <v>75</v>
      </c>
      <c r="L470" s="462">
        <f t="shared" si="137"/>
        <v>1760</v>
      </c>
      <c r="M470" s="462">
        <v>1510</v>
      </c>
      <c r="N470" s="462">
        <v>250</v>
      </c>
      <c r="O470" s="462">
        <f t="shared" si="138"/>
        <v>4048.4</v>
      </c>
      <c r="P470" s="488">
        <f t="shared" si="139"/>
        <v>1242.3333333333333</v>
      </c>
      <c r="Q470" s="489">
        <f t="shared" si="140"/>
        <v>1225.3150684931506</v>
      </c>
      <c r="R470" s="489">
        <f t="shared" si="141"/>
        <v>65.753424657534239</v>
      </c>
      <c r="S470" s="490">
        <f t="shared" si="142"/>
        <v>15908</v>
      </c>
      <c r="T470" s="490">
        <f t="shared" si="143"/>
        <v>18441.401826484016</v>
      </c>
      <c r="U470" s="491">
        <f t="shared" si="144"/>
        <v>183.46</v>
      </c>
      <c r="V470" s="498"/>
      <c r="W470" s="498">
        <v>10</v>
      </c>
      <c r="X470" s="498"/>
      <c r="Y470" s="498">
        <v>1919.41</v>
      </c>
      <c r="Z470" s="462">
        <f t="shared" si="145"/>
        <v>2112.87</v>
      </c>
      <c r="AA470" s="462">
        <f t="shared" si="146"/>
        <v>1935.5300000000002</v>
      </c>
      <c r="AB470" s="489">
        <v>1000</v>
      </c>
    </row>
    <row r="471" spans="1:30" s="507" customFormat="1" ht="12">
      <c r="A471" s="456">
        <v>137</v>
      </c>
      <c r="B471" s="466" t="s">
        <v>2384</v>
      </c>
      <c r="C471" s="497">
        <v>9901442658</v>
      </c>
      <c r="D471" s="459" t="s">
        <v>2385</v>
      </c>
      <c r="E471" s="460" t="s">
        <v>39</v>
      </c>
      <c r="F471" s="461">
        <v>31</v>
      </c>
      <c r="G471" s="498">
        <v>78.25</v>
      </c>
      <c r="H471" s="462">
        <f t="shared" si="135"/>
        <v>2425.75</v>
      </c>
      <c r="I471" s="462">
        <f t="shared" si="136"/>
        <v>9390</v>
      </c>
      <c r="J471" s="463">
        <v>4</v>
      </c>
      <c r="K471" s="534">
        <v>75</v>
      </c>
      <c r="L471" s="462">
        <f t="shared" si="137"/>
        <v>1760</v>
      </c>
      <c r="M471" s="462">
        <v>1510</v>
      </c>
      <c r="N471" s="462">
        <v>250</v>
      </c>
      <c r="O471" s="462">
        <f t="shared" si="138"/>
        <v>4260.75</v>
      </c>
      <c r="P471" s="488">
        <f t="shared" si="139"/>
        <v>1310.8333333333333</v>
      </c>
      <c r="Q471" s="489">
        <f t="shared" si="140"/>
        <v>1292.8767123287671</v>
      </c>
      <c r="R471" s="489">
        <f t="shared" si="141"/>
        <v>65.753424657534239</v>
      </c>
      <c r="S471" s="490">
        <f t="shared" si="142"/>
        <v>16730</v>
      </c>
      <c r="T471" s="490">
        <f t="shared" si="143"/>
        <v>19399.463470319632</v>
      </c>
      <c r="U471" s="491">
        <f t="shared" si="144"/>
        <v>193.72</v>
      </c>
      <c r="V471" s="498"/>
      <c r="W471" s="498"/>
      <c r="X471" s="498"/>
      <c r="Y471" s="498"/>
      <c r="Z471" s="462">
        <f t="shared" si="145"/>
        <v>193.72</v>
      </c>
      <c r="AA471" s="462">
        <f t="shared" si="146"/>
        <v>4067.03</v>
      </c>
      <c r="AB471" s="489">
        <v>1000</v>
      </c>
    </row>
    <row r="472" spans="1:30" s="507" customFormat="1" ht="12">
      <c r="A472" s="456">
        <v>138</v>
      </c>
      <c r="B472" s="466" t="s">
        <v>2386</v>
      </c>
      <c r="C472" s="497">
        <v>9901442645</v>
      </c>
      <c r="D472" s="459" t="s">
        <v>2387</v>
      </c>
      <c r="E472" s="460" t="s">
        <v>1175</v>
      </c>
      <c r="F472" s="461">
        <v>31</v>
      </c>
      <c r="G472" s="498">
        <v>71.400000000000006</v>
      </c>
      <c r="H472" s="462">
        <f t="shared" si="135"/>
        <v>2213.4</v>
      </c>
      <c r="I472" s="462">
        <f t="shared" si="136"/>
        <v>8568</v>
      </c>
      <c r="J472" s="463">
        <v>4</v>
      </c>
      <c r="K472" s="534">
        <v>75</v>
      </c>
      <c r="L472" s="462">
        <f t="shared" si="137"/>
        <v>1760</v>
      </c>
      <c r="M472" s="462">
        <v>1510</v>
      </c>
      <c r="N472" s="462">
        <v>250</v>
      </c>
      <c r="O472" s="462">
        <f t="shared" si="138"/>
        <v>4048.4</v>
      </c>
      <c r="P472" s="488">
        <f t="shared" si="139"/>
        <v>1242.3333333333333</v>
      </c>
      <c r="Q472" s="489">
        <f t="shared" si="140"/>
        <v>1225.3150684931506</v>
      </c>
      <c r="R472" s="489">
        <f t="shared" si="141"/>
        <v>65.753424657534239</v>
      </c>
      <c r="S472" s="490">
        <f t="shared" si="142"/>
        <v>15908</v>
      </c>
      <c r="T472" s="490">
        <f t="shared" si="143"/>
        <v>18441.401826484016</v>
      </c>
      <c r="U472" s="491">
        <f t="shared" si="144"/>
        <v>183.46</v>
      </c>
      <c r="V472" s="498"/>
      <c r="W472" s="498"/>
      <c r="X472" s="498"/>
      <c r="Y472" s="498"/>
      <c r="Z472" s="462">
        <f t="shared" si="145"/>
        <v>183.46</v>
      </c>
      <c r="AA472" s="462">
        <f t="shared" si="146"/>
        <v>3864.94</v>
      </c>
      <c r="AB472" s="489">
        <v>1000</v>
      </c>
    </row>
    <row r="473" spans="1:30" s="507" customFormat="1" ht="12">
      <c r="A473" s="456">
        <v>139</v>
      </c>
      <c r="B473" s="466" t="s">
        <v>2388</v>
      </c>
      <c r="C473" s="497">
        <v>9901442413</v>
      </c>
      <c r="D473" s="459" t="s">
        <v>2389</v>
      </c>
      <c r="E473" s="460" t="s">
        <v>44</v>
      </c>
      <c r="F473" s="461">
        <v>31</v>
      </c>
      <c r="G473" s="498">
        <v>72.540000000000006</v>
      </c>
      <c r="H473" s="462">
        <f t="shared" si="135"/>
        <v>2248.7400000000002</v>
      </c>
      <c r="I473" s="462">
        <f t="shared" si="136"/>
        <v>8704.8000000000011</v>
      </c>
      <c r="J473" s="463">
        <v>4</v>
      </c>
      <c r="K473" s="534">
        <v>75</v>
      </c>
      <c r="L473" s="462">
        <f t="shared" si="137"/>
        <v>1760</v>
      </c>
      <c r="M473" s="462">
        <v>1510</v>
      </c>
      <c r="N473" s="462">
        <v>250</v>
      </c>
      <c r="O473" s="462">
        <f t="shared" si="138"/>
        <v>4083.7400000000002</v>
      </c>
      <c r="P473" s="488">
        <f t="shared" si="139"/>
        <v>1253.7333333333333</v>
      </c>
      <c r="Q473" s="489">
        <f t="shared" si="140"/>
        <v>1236.5589041095891</v>
      </c>
      <c r="R473" s="489">
        <f t="shared" si="141"/>
        <v>65.753424657534239</v>
      </c>
      <c r="S473" s="490">
        <f t="shared" si="142"/>
        <v>16044.800000000001</v>
      </c>
      <c r="T473" s="490">
        <f t="shared" si="143"/>
        <v>18600.845662100459</v>
      </c>
      <c r="U473" s="491">
        <f t="shared" si="144"/>
        <v>185.17</v>
      </c>
      <c r="V473" s="498"/>
      <c r="W473" s="498"/>
      <c r="X473" s="498"/>
      <c r="Y473" s="498"/>
      <c r="Z473" s="462">
        <f t="shared" si="145"/>
        <v>185.17</v>
      </c>
      <c r="AA473" s="462">
        <f t="shared" si="146"/>
        <v>3898.57</v>
      </c>
      <c r="AB473" s="489">
        <v>1000</v>
      </c>
    </row>
    <row r="474" spans="1:30" s="507" customFormat="1">
      <c r="A474" s="456">
        <v>140</v>
      </c>
      <c r="B474" s="457" t="s">
        <v>2390</v>
      </c>
      <c r="C474" s="4">
        <v>9901442857</v>
      </c>
      <c r="D474" s="459" t="s">
        <v>2391</v>
      </c>
      <c r="E474" s="460" t="s">
        <v>32</v>
      </c>
      <c r="F474" s="461">
        <v>31</v>
      </c>
      <c r="G474" s="498">
        <v>71.400000000000006</v>
      </c>
      <c r="H474" s="462">
        <f t="shared" si="135"/>
        <v>2213.4</v>
      </c>
      <c r="I474" s="462">
        <f t="shared" si="136"/>
        <v>8568</v>
      </c>
      <c r="J474" s="463">
        <v>4</v>
      </c>
      <c r="K474" s="468">
        <v>50</v>
      </c>
      <c r="L474" s="462">
        <f t="shared" si="137"/>
        <v>1760</v>
      </c>
      <c r="M474" s="462">
        <v>1510</v>
      </c>
      <c r="N474" s="462">
        <v>250</v>
      </c>
      <c r="O474" s="462">
        <f t="shared" si="138"/>
        <v>4023.4</v>
      </c>
      <c r="P474" s="488">
        <f t="shared" si="139"/>
        <v>1234</v>
      </c>
      <c r="Q474" s="489">
        <f t="shared" si="140"/>
        <v>1217.0958904109589</v>
      </c>
      <c r="R474" s="489">
        <f t="shared" si="141"/>
        <v>65.753424657534239</v>
      </c>
      <c r="S474" s="490">
        <f t="shared" si="142"/>
        <v>15808</v>
      </c>
      <c r="T474" s="490">
        <f t="shared" si="143"/>
        <v>18324.849315068492</v>
      </c>
      <c r="U474" s="491">
        <f t="shared" si="144"/>
        <v>182.26</v>
      </c>
      <c r="V474" s="498" t="e">
        <f>(#REF!-#REF!)*11%</f>
        <v>#REF!</v>
      </c>
      <c r="W474" s="498"/>
      <c r="X474" s="498"/>
      <c r="Y474" s="498"/>
      <c r="Z474" s="462" t="e">
        <f t="shared" si="145"/>
        <v>#REF!</v>
      </c>
      <c r="AA474" s="462" t="e">
        <f t="shared" si="146"/>
        <v>#REF!</v>
      </c>
      <c r="AB474" s="489">
        <v>1000</v>
      </c>
      <c r="AD474" s="507" t="s">
        <v>569</v>
      </c>
    </row>
    <row r="475" spans="1:30" s="507" customFormat="1">
      <c r="A475" s="456">
        <v>141</v>
      </c>
      <c r="B475" s="457" t="s">
        <v>2392</v>
      </c>
      <c r="C475" s="497">
        <v>9901443756</v>
      </c>
      <c r="D475" s="459" t="s">
        <v>2393</v>
      </c>
      <c r="E475" s="460" t="s">
        <v>32</v>
      </c>
      <c r="F475" s="461">
        <v>31</v>
      </c>
      <c r="G475" s="498">
        <v>71.400000000000006</v>
      </c>
      <c r="H475" s="462">
        <f t="shared" si="135"/>
        <v>2213.4</v>
      </c>
      <c r="I475" s="462">
        <f t="shared" si="136"/>
        <v>8568</v>
      </c>
      <c r="J475" s="463">
        <v>4</v>
      </c>
      <c r="K475" s="534">
        <v>50</v>
      </c>
      <c r="L475" s="462">
        <f t="shared" si="137"/>
        <v>1760</v>
      </c>
      <c r="M475" s="462">
        <v>1510</v>
      </c>
      <c r="N475" s="462">
        <v>250</v>
      </c>
      <c r="O475" s="462">
        <f t="shared" si="138"/>
        <v>4023.4</v>
      </c>
      <c r="P475" s="488">
        <f t="shared" si="139"/>
        <v>1234</v>
      </c>
      <c r="Q475" s="489">
        <f t="shared" si="140"/>
        <v>1217.0958904109589</v>
      </c>
      <c r="R475" s="489">
        <f t="shared" si="141"/>
        <v>65.753424657534239</v>
      </c>
      <c r="S475" s="490">
        <f t="shared" si="142"/>
        <v>15808</v>
      </c>
      <c r="T475" s="490">
        <f t="shared" si="143"/>
        <v>18324.849315068492</v>
      </c>
      <c r="U475" s="491">
        <f t="shared" si="144"/>
        <v>182.26</v>
      </c>
      <c r="V475" s="498"/>
      <c r="W475" s="498"/>
      <c r="X475" s="512">
        <v>943.35</v>
      </c>
      <c r="Y475" s="498">
        <v>1670.79</v>
      </c>
      <c r="Z475" s="462">
        <f t="shared" si="145"/>
        <v>2796.3999999999996</v>
      </c>
      <c r="AA475" s="462">
        <f t="shared" si="146"/>
        <v>1227.0000000000005</v>
      </c>
      <c r="AB475" s="489">
        <v>1000</v>
      </c>
    </row>
    <row r="476" spans="1:30" s="507" customFormat="1" ht="12">
      <c r="A476" s="456">
        <v>142</v>
      </c>
      <c r="B476" s="466" t="s">
        <v>2394</v>
      </c>
      <c r="C476" s="497">
        <v>9901442414</v>
      </c>
      <c r="D476" s="459" t="s">
        <v>2395</v>
      </c>
      <c r="E476" s="460" t="s">
        <v>32</v>
      </c>
      <c r="F476" s="461">
        <v>31</v>
      </c>
      <c r="G476" s="498">
        <v>71.400000000000006</v>
      </c>
      <c r="H476" s="462">
        <f t="shared" si="135"/>
        <v>2213.4</v>
      </c>
      <c r="I476" s="462">
        <f t="shared" si="136"/>
        <v>8568</v>
      </c>
      <c r="J476" s="463">
        <v>4</v>
      </c>
      <c r="K476" s="534">
        <v>75</v>
      </c>
      <c r="L476" s="462">
        <f t="shared" si="137"/>
        <v>1760</v>
      </c>
      <c r="M476" s="462">
        <v>1510</v>
      </c>
      <c r="N476" s="462">
        <v>250</v>
      </c>
      <c r="O476" s="462">
        <f t="shared" si="138"/>
        <v>4048.4</v>
      </c>
      <c r="P476" s="488">
        <f t="shared" si="139"/>
        <v>1242.3333333333333</v>
      </c>
      <c r="Q476" s="489">
        <f t="shared" si="140"/>
        <v>1225.3150684931506</v>
      </c>
      <c r="R476" s="489">
        <f t="shared" si="141"/>
        <v>65.753424657534239</v>
      </c>
      <c r="S476" s="490">
        <f t="shared" si="142"/>
        <v>15908</v>
      </c>
      <c r="T476" s="490">
        <f t="shared" si="143"/>
        <v>18441.401826484016</v>
      </c>
      <c r="U476" s="491">
        <f t="shared" si="144"/>
        <v>183.46</v>
      </c>
      <c r="V476" s="498">
        <f>(O476-N476)*11%</f>
        <v>417.82400000000001</v>
      </c>
      <c r="W476" s="498"/>
      <c r="X476" s="498"/>
      <c r="Y476" s="498"/>
      <c r="Z476" s="462">
        <f t="shared" si="145"/>
        <v>601.28399999999999</v>
      </c>
      <c r="AA476" s="462">
        <f t="shared" si="146"/>
        <v>3447.116</v>
      </c>
      <c r="AB476" s="489">
        <v>1000</v>
      </c>
    </row>
    <row r="477" spans="1:30" s="507" customFormat="1" ht="12">
      <c r="A477" s="456">
        <v>143</v>
      </c>
      <c r="B477" s="466" t="s">
        <v>2396</v>
      </c>
      <c r="C477" s="497">
        <v>9901442446</v>
      </c>
      <c r="D477" s="459" t="s">
        <v>2397</v>
      </c>
      <c r="E477" s="460" t="s">
        <v>46</v>
      </c>
      <c r="F477" s="461">
        <v>31</v>
      </c>
      <c r="G477" s="498">
        <v>73.59</v>
      </c>
      <c r="H477" s="462">
        <f t="shared" si="135"/>
        <v>2281.29</v>
      </c>
      <c r="I477" s="462">
        <f t="shared" si="136"/>
        <v>8830.8000000000011</v>
      </c>
      <c r="J477" s="463">
        <v>4</v>
      </c>
      <c r="K477" s="534">
        <v>75</v>
      </c>
      <c r="L477" s="462">
        <f t="shared" si="137"/>
        <v>1760</v>
      </c>
      <c r="M477" s="462">
        <v>1510</v>
      </c>
      <c r="N477" s="462">
        <v>250</v>
      </c>
      <c r="O477" s="462">
        <f t="shared" si="138"/>
        <v>4116.29</v>
      </c>
      <c r="P477" s="488">
        <f t="shared" si="139"/>
        <v>1264.2333333333333</v>
      </c>
      <c r="Q477" s="489">
        <f t="shared" si="140"/>
        <v>1246.9150684931508</v>
      </c>
      <c r="R477" s="489">
        <f t="shared" si="141"/>
        <v>65.753424657534239</v>
      </c>
      <c r="S477" s="490">
        <f t="shared" si="142"/>
        <v>16170.800000000001</v>
      </c>
      <c r="T477" s="490">
        <f t="shared" si="143"/>
        <v>18747.701826484019</v>
      </c>
      <c r="U477" s="491">
        <f t="shared" si="144"/>
        <v>186.74</v>
      </c>
      <c r="V477" s="498" t="e">
        <f>(#REF!-#REF!)*11%</f>
        <v>#REF!</v>
      </c>
      <c r="W477" s="498"/>
      <c r="X477" s="498"/>
      <c r="Y477" s="498"/>
      <c r="Z477" s="462" t="e">
        <f t="shared" si="145"/>
        <v>#REF!</v>
      </c>
      <c r="AA477" s="462" t="e">
        <f t="shared" si="146"/>
        <v>#REF!</v>
      </c>
      <c r="AB477" s="489">
        <v>1000</v>
      </c>
    </row>
    <row r="478" spans="1:30" s="507" customFormat="1" ht="12">
      <c r="A478" s="456">
        <v>144</v>
      </c>
      <c r="B478" s="466" t="s">
        <v>2398</v>
      </c>
      <c r="C478" s="497">
        <v>9901443711</v>
      </c>
      <c r="D478" s="459" t="s">
        <v>2399</v>
      </c>
      <c r="E478" s="460" t="s">
        <v>44</v>
      </c>
      <c r="F478" s="461">
        <v>31</v>
      </c>
      <c r="G478" s="498">
        <v>72.540000000000006</v>
      </c>
      <c r="H478" s="462">
        <f t="shared" si="135"/>
        <v>2248.7400000000002</v>
      </c>
      <c r="I478" s="462">
        <f t="shared" si="136"/>
        <v>8704.8000000000011</v>
      </c>
      <c r="J478" s="463">
        <v>4</v>
      </c>
      <c r="K478" s="468">
        <v>50</v>
      </c>
      <c r="L478" s="462">
        <f t="shared" si="137"/>
        <v>1760</v>
      </c>
      <c r="M478" s="462">
        <v>1510</v>
      </c>
      <c r="N478" s="462">
        <v>250</v>
      </c>
      <c r="O478" s="462">
        <f t="shared" si="138"/>
        <v>4058.7400000000002</v>
      </c>
      <c r="P478" s="488">
        <f t="shared" si="139"/>
        <v>1245.4000000000001</v>
      </c>
      <c r="Q478" s="489">
        <f t="shared" si="140"/>
        <v>1228.3397260273973</v>
      </c>
      <c r="R478" s="489">
        <f t="shared" si="141"/>
        <v>65.753424657534239</v>
      </c>
      <c r="S478" s="490">
        <f t="shared" si="142"/>
        <v>15944.800000000001</v>
      </c>
      <c r="T478" s="490">
        <f t="shared" si="143"/>
        <v>18484.293150684935</v>
      </c>
      <c r="U478" s="491">
        <f t="shared" si="144"/>
        <v>183.96</v>
      </c>
      <c r="V478" s="498" t="e">
        <f>(#REF!-#REF!)*11%</f>
        <v>#REF!</v>
      </c>
      <c r="W478" s="498"/>
      <c r="X478" s="498"/>
      <c r="Y478" s="498"/>
      <c r="Z478" s="462" t="e">
        <f t="shared" si="145"/>
        <v>#REF!</v>
      </c>
      <c r="AA478" s="462" t="e">
        <f t="shared" si="146"/>
        <v>#REF!</v>
      </c>
      <c r="AB478" s="489">
        <v>1000</v>
      </c>
      <c r="AD478" s="507" t="s">
        <v>354</v>
      </c>
    </row>
    <row r="479" spans="1:30" s="507" customFormat="1" ht="12">
      <c r="A479" s="456">
        <v>145</v>
      </c>
      <c r="B479" s="466" t="s">
        <v>2400</v>
      </c>
      <c r="C479" s="497">
        <v>9901443705</v>
      </c>
      <c r="D479" s="459" t="s">
        <v>2401</v>
      </c>
      <c r="E479" s="460" t="s">
        <v>44</v>
      </c>
      <c r="F479" s="461">
        <v>31</v>
      </c>
      <c r="G479" s="498">
        <v>72.540000000000006</v>
      </c>
      <c r="H479" s="462">
        <f t="shared" si="135"/>
        <v>2248.7400000000002</v>
      </c>
      <c r="I479" s="462">
        <f t="shared" si="136"/>
        <v>8704.8000000000011</v>
      </c>
      <c r="J479" s="463">
        <v>4</v>
      </c>
      <c r="K479" s="534">
        <v>75</v>
      </c>
      <c r="L479" s="462">
        <f t="shared" si="137"/>
        <v>1760</v>
      </c>
      <c r="M479" s="462">
        <v>1510</v>
      </c>
      <c r="N479" s="462">
        <v>250</v>
      </c>
      <c r="O479" s="462">
        <f t="shared" si="138"/>
        <v>4083.7400000000002</v>
      </c>
      <c r="P479" s="488">
        <f t="shared" si="139"/>
        <v>1253.7333333333333</v>
      </c>
      <c r="Q479" s="489">
        <f t="shared" si="140"/>
        <v>1236.5589041095891</v>
      </c>
      <c r="R479" s="489">
        <f t="shared" si="141"/>
        <v>65.753424657534239</v>
      </c>
      <c r="S479" s="490">
        <f t="shared" si="142"/>
        <v>16044.800000000001</v>
      </c>
      <c r="T479" s="490">
        <f t="shared" si="143"/>
        <v>18600.845662100459</v>
      </c>
      <c r="U479" s="491">
        <f t="shared" si="144"/>
        <v>185.17</v>
      </c>
      <c r="V479" s="498"/>
      <c r="W479" s="498"/>
      <c r="X479" s="498"/>
      <c r="Y479" s="498">
        <v>1574.47</v>
      </c>
      <c r="Z479" s="462">
        <f t="shared" si="145"/>
        <v>1759.64</v>
      </c>
      <c r="AA479" s="462">
        <f t="shared" si="146"/>
        <v>2324.1000000000004</v>
      </c>
      <c r="AB479" s="489">
        <v>1000</v>
      </c>
    </row>
    <row r="480" spans="1:30" s="507" customFormat="1" ht="12">
      <c r="A480" s="456">
        <v>146</v>
      </c>
      <c r="B480" s="457" t="s">
        <v>2402</v>
      </c>
      <c r="C480" s="497">
        <v>9901442437</v>
      </c>
      <c r="D480" s="459" t="s">
        <v>2403</v>
      </c>
      <c r="E480" s="460" t="s">
        <v>32</v>
      </c>
      <c r="F480" s="461">
        <v>31</v>
      </c>
      <c r="G480" s="498">
        <v>71.400000000000006</v>
      </c>
      <c r="H480" s="462">
        <f t="shared" si="135"/>
        <v>2213.4</v>
      </c>
      <c r="I480" s="462">
        <f t="shared" si="136"/>
        <v>8568</v>
      </c>
      <c r="J480" s="463">
        <v>4</v>
      </c>
      <c r="K480" s="606">
        <v>50</v>
      </c>
      <c r="L480" s="462">
        <f t="shared" si="137"/>
        <v>1760</v>
      </c>
      <c r="M480" s="462">
        <v>1510</v>
      </c>
      <c r="N480" s="462">
        <v>250</v>
      </c>
      <c r="O480" s="462">
        <f t="shared" si="138"/>
        <v>4023.4</v>
      </c>
      <c r="P480" s="488">
        <f t="shared" si="139"/>
        <v>1234</v>
      </c>
      <c r="Q480" s="489">
        <f t="shared" si="140"/>
        <v>1217.0958904109589</v>
      </c>
      <c r="R480" s="489">
        <f t="shared" si="141"/>
        <v>65.753424657534239</v>
      </c>
      <c r="S480" s="490">
        <f t="shared" si="142"/>
        <v>15808</v>
      </c>
      <c r="T480" s="490">
        <f t="shared" si="143"/>
        <v>18324.849315068492</v>
      </c>
      <c r="U480" s="491">
        <f t="shared" si="144"/>
        <v>182.26</v>
      </c>
      <c r="V480" s="498"/>
      <c r="W480" s="498"/>
      <c r="X480" s="498"/>
      <c r="Y480" s="498">
        <v>1527.84</v>
      </c>
      <c r="Z480" s="462">
        <f t="shared" si="145"/>
        <v>1710.1</v>
      </c>
      <c r="AA480" s="462">
        <f t="shared" si="146"/>
        <v>2313.3000000000002</v>
      </c>
      <c r="AB480" s="489">
        <v>1000</v>
      </c>
      <c r="AD480" s="507" t="s">
        <v>451</v>
      </c>
    </row>
    <row r="481" spans="1:35" s="507" customFormat="1" ht="12">
      <c r="A481" s="456">
        <v>147</v>
      </c>
      <c r="B481" s="457" t="s">
        <v>2404</v>
      </c>
      <c r="C481" s="497">
        <v>9901442781</v>
      </c>
      <c r="D481" s="459" t="s">
        <v>2405</v>
      </c>
      <c r="E481" s="460" t="s">
        <v>39</v>
      </c>
      <c r="F481" s="461">
        <v>31</v>
      </c>
      <c r="G481" s="498">
        <v>78.25</v>
      </c>
      <c r="H481" s="462">
        <f t="shared" si="135"/>
        <v>2425.75</v>
      </c>
      <c r="I481" s="462">
        <f t="shared" si="136"/>
        <v>9390</v>
      </c>
      <c r="J481" s="463">
        <v>4</v>
      </c>
      <c r="K481" s="534">
        <v>75</v>
      </c>
      <c r="L481" s="462">
        <f t="shared" si="137"/>
        <v>1760</v>
      </c>
      <c r="M481" s="462">
        <v>1510</v>
      </c>
      <c r="N481" s="462">
        <v>250</v>
      </c>
      <c r="O481" s="462">
        <f t="shared" si="138"/>
        <v>4260.75</v>
      </c>
      <c r="P481" s="488">
        <f t="shared" si="139"/>
        <v>1310.8333333333333</v>
      </c>
      <c r="Q481" s="489">
        <f t="shared" si="140"/>
        <v>1292.8767123287671</v>
      </c>
      <c r="R481" s="489">
        <f t="shared" si="141"/>
        <v>65.753424657534239</v>
      </c>
      <c r="S481" s="490">
        <f t="shared" si="142"/>
        <v>16730</v>
      </c>
      <c r="T481" s="490">
        <f t="shared" si="143"/>
        <v>19399.463470319632</v>
      </c>
      <c r="U481" s="491">
        <f t="shared" si="144"/>
        <v>193.72</v>
      </c>
      <c r="V481" s="498"/>
      <c r="W481" s="498"/>
      <c r="X481" s="498"/>
      <c r="Y481" s="498"/>
      <c r="Z481" s="462">
        <f t="shared" si="145"/>
        <v>193.72</v>
      </c>
      <c r="AA481" s="462">
        <f t="shared" si="146"/>
        <v>4067.03</v>
      </c>
      <c r="AB481" s="489">
        <v>1000</v>
      </c>
    </row>
    <row r="482" spans="1:35" s="507" customFormat="1" ht="12">
      <c r="A482" s="456">
        <v>148</v>
      </c>
      <c r="B482" s="457" t="s">
        <v>2406</v>
      </c>
      <c r="C482" s="497">
        <v>9901442653</v>
      </c>
      <c r="D482" s="459" t="s">
        <v>2407</v>
      </c>
      <c r="E482" s="460" t="s">
        <v>32</v>
      </c>
      <c r="F482" s="461">
        <v>31</v>
      </c>
      <c r="G482" s="498">
        <v>71.400000000000006</v>
      </c>
      <c r="H482" s="462">
        <f t="shared" si="135"/>
        <v>2213.4</v>
      </c>
      <c r="I482" s="462">
        <f t="shared" si="136"/>
        <v>8568</v>
      </c>
      <c r="J482" s="463">
        <v>4</v>
      </c>
      <c r="K482" s="534">
        <v>75</v>
      </c>
      <c r="L482" s="462">
        <f t="shared" si="137"/>
        <v>1760</v>
      </c>
      <c r="M482" s="462">
        <v>1510</v>
      </c>
      <c r="N482" s="462">
        <v>250</v>
      </c>
      <c r="O482" s="462">
        <f t="shared" si="138"/>
        <v>4048.4</v>
      </c>
      <c r="P482" s="488">
        <f t="shared" si="139"/>
        <v>1242.3333333333333</v>
      </c>
      <c r="Q482" s="489">
        <f t="shared" si="140"/>
        <v>1225.3150684931506</v>
      </c>
      <c r="R482" s="489">
        <f t="shared" si="141"/>
        <v>65.753424657534239</v>
      </c>
      <c r="S482" s="490">
        <f t="shared" si="142"/>
        <v>15908</v>
      </c>
      <c r="T482" s="490">
        <f t="shared" si="143"/>
        <v>18441.401826484016</v>
      </c>
      <c r="U482" s="491">
        <f t="shared" si="144"/>
        <v>183.46</v>
      </c>
      <c r="V482" s="498"/>
      <c r="W482" s="498"/>
      <c r="X482" s="498"/>
      <c r="Y482" s="498"/>
      <c r="Z482" s="462">
        <f t="shared" si="145"/>
        <v>183.46</v>
      </c>
      <c r="AA482" s="462">
        <f t="shared" si="146"/>
        <v>3864.94</v>
      </c>
      <c r="AB482" s="489">
        <v>1000</v>
      </c>
    </row>
    <row r="483" spans="1:35" s="507" customFormat="1" ht="12">
      <c r="A483" s="456">
        <v>149</v>
      </c>
      <c r="B483" s="466" t="s">
        <v>2408</v>
      </c>
      <c r="C483" s="497">
        <v>9901442443</v>
      </c>
      <c r="D483" s="459" t="s">
        <v>2409</v>
      </c>
      <c r="E483" s="460" t="s">
        <v>47</v>
      </c>
      <c r="F483" s="461">
        <v>31</v>
      </c>
      <c r="G483" s="498">
        <v>74.63</v>
      </c>
      <c r="H483" s="462">
        <f t="shared" si="135"/>
        <v>2313.5299999999997</v>
      </c>
      <c r="I483" s="462">
        <f t="shared" si="136"/>
        <v>8955.5999999999985</v>
      </c>
      <c r="J483" s="463">
        <v>4</v>
      </c>
      <c r="K483" s="534">
        <v>75</v>
      </c>
      <c r="L483" s="462">
        <f t="shared" si="137"/>
        <v>1760</v>
      </c>
      <c r="M483" s="462">
        <v>1510</v>
      </c>
      <c r="N483" s="462">
        <v>250</v>
      </c>
      <c r="O483" s="462">
        <f t="shared" si="138"/>
        <v>4148.53</v>
      </c>
      <c r="P483" s="488">
        <f t="shared" si="139"/>
        <v>1274.6333333333332</v>
      </c>
      <c r="Q483" s="489">
        <f t="shared" si="140"/>
        <v>1257.172602739726</v>
      </c>
      <c r="R483" s="489">
        <f t="shared" si="141"/>
        <v>65.753424657534239</v>
      </c>
      <c r="S483" s="490">
        <f t="shared" si="142"/>
        <v>16295.599999999999</v>
      </c>
      <c r="T483" s="490">
        <f t="shared" si="143"/>
        <v>18893.159360730591</v>
      </c>
      <c r="U483" s="491">
        <f t="shared" si="144"/>
        <v>188.3</v>
      </c>
      <c r="V483" s="498" t="e">
        <f>(#REF!-#REF!)*11%</f>
        <v>#REF!</v>
      </c>
      <c r="W483" s="498"/>
      <c r="X483" s="498"/>
      <c r="Y483" s="498"/>
      <c r="Z483" s="462" t="e">
        <f t="shared" si="145"/>
        <v>#REF!</v>
      </c>
      <c r="AA483" s="462" t="e">
        <f t="shared" si="146"/>
        <v>#REF!</v>
      </c>
      <c r="AB483" s="489">
        <v>1000</v>
      </c>
    </row>
    <row r="484" spans="1:35" s="507" customFormat="1" ht="12">
      <c r="A484" s="456">
        <v>150</v>
      </c>
      <c r="B484" s="457" t="s">
        <v>2410</v>
      </c>
      <c r="C484" s="497">
        <v>9901443481</v>
      </c>
      <c r="D484" s="459" t="s">
        <v>2411</v>
      </c>
      <c r="E484" s="460" t="s">
        <v>38</v>
      </c>
      <c r="F484" s="461">
        <v>31</v>
      </c>
      <c r="G484" s="498">
        <v>71.400000000000006</v>
      </c>
      <c r="H484" s="462">
        <f>+F484*G484</f>
        <v>2213.4</v>
      </c>
      <c r="I484" s="462">
        <f t="shared" si="136"/>
        <v>8568</v>
      </c>
      <c r="J484" s="463">
        <v>4</v>
      </c>
      <c r="K484" s="534">
        <v>75</v>
      </c>
      <c r="L484" s="462">
        <f>M484+N484</f>
        <v>1760</v>
      </c>
      <c r="M484" s="462">
        <v>1510</v>
      </c>
      <c r="N484" s="462">
        <v>250</v>
      </c>
      <c r="O484" s="462">
        <f>+H484+M484+N484+K484</f>
        <v>4048.4</v>
      </c>
      <c r="P484" s="488">
        <f t="shared" si="139"/>
        <v>1242.3333333333333</v>
      </c>
      <c r="Q484" s="489">
        <f t="shared" si="140"/>
        <v>1225.3150684931506</v>
      </c>
      <c r="R484" s="489">
        <f t="shared" si="141"/>
        <v>65.753424657534239</v>
      </c>
      <c r="S484" s="490">
        <f t="shared" si="142"/>
        <v>15908</v>
      </c>
      <c r="T484" s="490">
        <f t="shared" si="143"/>
        <v>18441.401826484016</v>
      </c>
      <c r="U484" s="491">
        <f>ROUND((((H484+K484+M484)*4.83)/100),2)</f>
        <v>183.46</v>
      </c>
      <c r="V484" s="498"/>
      <c r="W484" s="498"/>
      <c r="X484" s="498"/>
      <c r="Y484" s="498">
        <v>1962.94</v>
      </c>
      <c r="Z484" s="462">
        <f>V484+W484+X484+Y484+U484</f>
        <v>2146.4</v>
      </c>
      <c r="AA484" s="462">
        <f>+O484-Z484</f>
        <v>1902</v>
      </c>
      <c r="AB484" s="489">
        <v>1000</v>
      </c>
    </row>
    <row r="485" spans="1:35" s="507" customFormat="1" ht="15" customHeight="1">
      <c r="A485" s="499"/>
      <c r="B485" s="500"/>
      <c r="C485" s="501"/>
      <c r="D485" s="456"/>
      <c r="E485" s="456"/>
      <c r="F485" s="538"/>
      <c r="G485" s="539">
        <f t="shared" ref="G485:AB485" si="147">SUM(G335:G484)</f>
        <v>10974.899999999989</v>
      </c>
      <c r="H485" s="539">
        <f>SUM(H2:H484)</f>
        <v>1088388.6100000052</v>
      </c>
      <c r="I485" s="539">
        <f t="shared" si="147"/>
        <v>1316988.0000000007</v>
      </c>
      <c r="J485" s="539">
        <f t="shared" si="147"/>
        <v>600</v>
      </c>
      <c r="K485" s="539">
        <f t="shared" si="147"/>
        <v>10320</v>
      </c>
      <c r="L485" s="539">
        <f t="shared" si="147"/>
        <v>264000</v>
      </c>
      <c r="M485" s="539">
        <f t="shared" si="147"/>
        <v>226500</v>
      </c>
      <c r="N485" s="539">
        <f t="shared" si="147"/>
        <v>37500</v>
      </c>
      <c r="O485" s="540">
        <f t="shared" si="147"/>
        <v>614541.90000000095</v>
      </c>
      <c r="P485" s="539">
        <f t="shared" si="147"/>
        <v>188689.00000000012</v>
      </c>
      <c r="Q485" s="539">
        <f t="shared" si="147"/>
        <v>186104.21917808225</v>
      </c>
      <c r="R485" s="539">
        <f t="shared" si="147"/>
        <v>9863.0136986301313</v>
      </c>
      <c r="S485" s="539">
        <f t="shared" si="147"/>
        <v>2414268.0000000005</v>
      </c>
      <c r="T485" s="539">
        <f t="shared" si="147"/>
        <v>2798924.2328767148</v>
      </c>
      <c r="U485" s="539">
        <f t="shared" si="147"/>
        <v>27871.10999999995</v>
      </c>
      <c r="V485" s="539" t="e">
        <f t="shared" si="147"/>
        <v>#REF!</v>
      </c>
      <c r="W485" s="539">
        <f t="shared" si="147"/>
        <v>330</v>
      </c>
      <c r="X485" s="539">
        <f t="shared" si="147"/>
        <v>2851.23</v>
      </c>
      <c r="Y485" s="539">
        <f t="shared" si="147"/>
        <v>120644.74999999996</v>
      </c>
      <c r="Z485" s="539" t="e">
        <f t="shared" si="147"/>
        <v>#REF!</v>
      </c>
      <c r="AA485" s="539" t="e">
        <f t="shared" si="147"/>
        <v>#REF!</v>
      </c>
      <c r="AB485" s="539">
        <f t="shared" si="147"/>
        <v>150000</v>
      </c>
      <c r="AC485" s="22">
        <v>614541.9</v>
      </c>
      <c r="AD485" s="618">
        <f>AC485-O485</f>
        <v>-9.3132257461547852E-10</v>
      </c>
      <c r="AF485" s="507">
        <v>2</v>
      </c>
    </row>
    <row r="486" spans="1:35" s="486" customFormat="1" ht="15" customHeight="1">
      <c r="A486" s="620"/>
      <c r="B486" s="620"/>
      <c r="C486" s="621"/>
      <c r="D486" s="620"/>
      <c r="E486" s="620"/>
      <c r="F486" s="622"/>
      <c r="G486" s="541"/>
      <c r="H486" s="541"/>
      <c r="I486" s="541"/>
      <c r="J486" s="541"/>
      <c r="K486" s="541"/>
      <c r="L486" s="541"/>
      <c r="M486" s="541"/>
      <c r="N486" s="541"/>
      <c r="O486" s="623"/>
      <c r="P486" s="541"/>
      <c r="Q486" s="541"/>
      <c r="R486" s="541"/>
      <c r="S486" s="541"/>
      <c r="T486" s="541"/>
      <c r="U486" s="541"/>
      <c r="V486" s="541"/>
      <c r="W486" s="541"/>
      <c r="X486" s="541"/>
      <c r="Y486" s="541"/>
      <c r="Z486" s="541"/>
      <c r="AA486" s="541"/>
      <c r="AB486" s="541"/>
      <c r="AC486" s="493"/>
    </row>
    <row r="487" spans="1:35" s="486" customFormat="1" ht="12.75" thickBot="1">
      <c r="C487" s="494"/>
      <c r="F487" s="509"/>
      <c r="S487" s="508"/>
      <c r="T487" s="508"/>
    </row>
    <row r="488" spans="1:35" s="486" customFormat="1" ht="18">
      <c r="A488" s="730" t="s">
        <v>947</v>
      </c>
      <c r="B488" s="731"/>
      <c r="C488" s="731"/>
      <c r="D488" s="731"/>
      <c r="E488" s="731"/>
      <c r="F488" s="731"/>
      <c r="G488" s="731"/>
      <c r="H488" s="731"/>
      <c r="I488" s="731"/>
      <c r="J488" s="731"/>
      <c r="K488" s="731"/>
      <c r="L488" s="731"/>
      <c r="M488" s="731"/>
      <c r="N488" s="731"/>
      <c r="O488" s="495"/>
      <c r="P488" s="495"/>
      <c r="Q488" s="495"/>
      <c r="R488" s="495"/>
      <c r="S488" s="496"/>
      <c r="T488" s="496"/>
      <c r="U488" s="495"/>
      <c r="V488" s="495"/>
      <c r="W488" s="495"/>
      <c r="X488" s="495"/>
      <c r="Y488" s="495"/>
      <c r="Z488" s="495"/>
      <c r="AA488" s="495"/>
    </row>
    <row r="489" spans="1:35" s="486" customFormat="1" ht="24.75" customHeight="1">
      <c r="A489" s="543" t="s">
        <v>149</v>
      </c>
      <c r="B489" s="449" t="s">
        <v>150</v>
      </c>
      <c r="C489" s="450" t="s">
        <v>151</v>
      </c>
      <c r="D489" s="544" t="s">
        <v>152</v>
      </c>
      <c r="E489" s="544" t="s">
        <v>153</v>
      </c>
      <c r="F489" s="545" t="s">
        <v>269</v>
      </c>
      <c r="G489" s="546" t="s">
        <v>155</v>
      </c>
      <c r="H489" s="454" t="s">
        <v>156</v>
      </c>
      <c r="I489" s="454" t="s">
        <v>157</v>
      </c>
      <c r="J489" s="454" t="s">
        <v>158</v>
      </c>
      <c r="K489" s="485" t="s">
        <v>159</v>
      </c>
      <c r="L489" s="485" t="s">
        <v>2413</v>
      </c>
      <c r="M489" s="485" t="s">
        <v>160</v>
      </c>
      <c r="N489" s="485" t="s">
        <v>161</v>
      </c>
      <c r="O489" s="485" t="s">
        <v>162</v>
      </c>
      <c r="P489" s="485" t="s">
        <v>232</v>
      </c>
      <c r="Q489" s="485" t="s">
        <v>233</v>
      </c>
      <c r="R489" s="455" t="s">
        <v>234</v>
      </c>
      <c r="S489" s="531" t="s">
        <v>235</v>
      </c>
      <c r="T489" s="531" t="s">
        <v>236</v>
      </c>
      <c r="U489" s="485" t="s">
        <v>237</v>
      </c>
      <c r="V489" s="485" t="s">
        <v>238</v>
      </c>
      <c r="W489" s="485" t="s">
        <v>239</v>
      </c>
      <c r="X489" s="485" t="s">
        <v>267</v>
      </c>
      <c r="Y489" s="485" t="s">
        <v>1176</v>
      </c>
      <c r="Z489" s="485" t="s">
        <v>240</v>
      </c>
      <c r="AA489" s="485" t="s">
        <v>241</v>
      </c>
      <c r="AB489" s="455" t="s">
        <v>242</v>
      </c>
    </row>
    <row r="490" spans="1:35" s="507" customFormat="1" ht="12">
      <c r="A490" s="456">
        <v>1</v>
      </c>
      <c r="B490" s="457" t="s">
        <v>948</v>
      </c>
      <c r="C490" s="497">
        <v>9901443334</v>
      </c>
      <c r="D490" s="459" t="s">
        <v>949</v>
      </c>
      <c r="E490" s="460" t="s">
        <v>1175</v>
      </c>
      <c r="F490" s="461">
        <v>31</v>
      </c>
      <c r="G490" s="498">
        <v>71.400000000000006</v>
      </c>
      <c r="H490" s="462">
        <f t="shared" ref="H490:H498" si="148">+F490*G490</f>
        <v>2213.4</v>
      </c>
      <c r="I490" s="462">
        <f t="shared" ref="I490:I498" si="149">G490*120</f>
        <v>8568</v>
      </c>
      <c r="J490" s="463">
        <v>4</v>
      </c>
      <c r="K490" s="534">
        <v>50</v>
      </c>
      <c r="L490" s="462">
        <f t="shared" ref="L490:L498" si="150">M490+N490</f>
        <v>1760</v>
      </c>
      <c r="M490" s="462">
        <v>1510</v>
      </c>
      <c r="N490" s="462">
        <v>250</v>
      </c>
      <c r="O490" s="462">
        <f t="shared" ref="O490:O498" si="151">+H490+M490+N490+K490</f>
        <v>4023.4</v>
      </c>
      <c r="P490" s="488">
        <f t="shared" ref="P490:P498" si="152">(((G490*120)+(K490+M490)*4)/12)</f>
        <v>1234</v>
      </c>
      <c r="Q490" s="489">
        <f t="shared" ref="Q490:Q498" si="153">(((G490*30)+M490+K490)/365*120)</f>
        <v>1217.0958904109589</v>
      </c>
      <c r="R490" s="489">
        <f t="shared" ref="R490:R498" si="154">+(200/365)*120</f>
        <v>65.753424657534239</v>
      </c>
      <c r="S490" s="490">
        <f t="shared" ref="S490:S498" si="155">(((G490*120)+((K490+M490+N490)*4)))</f>
        <v>15808</v>
      </c>
      <c r="T490" s="490">
        <f t="shared" ref="T490:T498" si="156">+S490+R490+Q490+P490</f>
        <v>18324.849315068492</v>
      </c>
      <c r="U490" s="491">
        <f t="shared" ref="U490:U497" si="157">ROUND((((H490+K490+M490)*4.83)/100),2)</f>
        <v>182.26</v>
      </c>
      <c r="V490" s="498"/>
      <c r="W490" s="498">
        <v>10</v>
      </c>
      <c r="X490" s="498"/>
      <c r="Y490" s="498">
        <v>1204.81</v>
      </c>
      <c r="Z490" s="462">
        <f t="shared" ref="Z490:Z498" si="158">V490+W490+X490+Y490+U490</f>
        <v>1397.07</v>
      </c>
      <c r="AA490" s="462">
        <f t="shared" ref="AA490:AA498" si="159">+O490-Z490</f>
        <v>2626.33</v>
      </c>
      <c r="AB490" s="489">
        <v>1000</v>
      </c>
    </row>
    <row r="491" spans="1:35" s="507" customFormat="1">
      <c r="A491" s="456">
        <v>2</v>
      </c>
      <c r="B491" s="457" t="s">
        <v>950</v>
      </c>
      <c r="C491" s="497">
        <v>9901443356</v>
      </c>
      <c r="D491" s="459" t="s">
        <v>951</v>
      </c>
      <c r="E491" s="460" t="s">
        <v>1175</v>
      </c>
      <c r="F491" s="461">
        <v>31</v>
      </c>
      <c r="G491" s="498">
        <v>71.400000000000006</v>
      </c>
      <c r="H491" s="462">
        <f t="shared" si="148"/>
        <v>2213.4</v>
      </c>
      <c r="I491" s="462">
        <f t="shared" si="149"/>
        <v>8568</v>
      </c>
      <c r="J491" s="463">
        <v>4</v>
      </c>
      <c r="K491" s="534">
        <v>50</v>
      </c>
      <c r="L491" s="462">
        <f t="shared" si="150"/>
        <v>1760</v>
      </c>
      <c r="M491" s="462">
        <v>1510</v>
      </c>
      <c r="N491" s="462">
        <v>250</v>
      </c>
      <c r="O491" s="462">
        <f t="shared" si="151"/>
        <v>4023.4</v>
      </c>
      <c r="P491" s="488">
        <f t="shared" si="152"/>
        <v>1234</v>
      </c>
      <c r="Q491" s="489">
        <f t="shared" si="153"/>
        <v>1217.0958904109589</v>
      </c>
      <c r="R491" s="489">
        <f t="shared" si="154"/>
        <v>65.753424657534239</v>
      </c>
      <c r="S491" s="490">
        <f t="shared" si="155"/>
        <v>15808</v>
      </c>
      <c r="T491" s="490">
        <f t="shared" si="156"/>
        <v>18324.849315068492</v>
      </c>
      <c r="U491" s="491">
        <f t="shared" si="157"/>
        <v>182.26</v>
      </c>
      <c r="V491" s="498">
        <f>(O491-N491)*11%</f>
        <v>415.07400000000001</v>
      </c>
      <c r="W491" s="498"/>
      <c r="X491" s="498"/>
      <c r="Y491" s="498"/>
      <c r="Z491" s="462">
        <f t="shared" si="158"/>
        <v>597.33400000000006</v>
      </c>
      <c r="AA491" s="462">
        <f t="shared" si="159"/>
        <v>3426.0659999999998</v>
      </c>
      <c r="AB491" s="489">
        <v>1000</v>
      </c>
      <c r="AF491" s="479" t="s">
        <v>226</v>
      </c>
      <c r="AG491" t="s">
        <v>228</v>
      </c>
      <c r="AH491" t="s">
        <v>229</v>
      </c>
      <c r="AI491" t="s">
        <v>231</v>
      </c>
    </row>
    <row r="492" spans="1:35" s="507" customFormat="1">
      <c r="A492" s="456">
        <v>3</v>
      </c>
      <c r="B492" s="466" t="s">
        <v>952</v>
      </c>
      <c r="C492" s="497">
        <v>9901442564</v>
      </c>
      <c r="D492" s="459" t="s">
        <v>953</v>
      </c>
      <c r="E492" s="460" t="s">
        <v>1175</v>
      </c>
      <c r="F492" s="461">
        <v>31</v>
      </c>
      <c r="G492" s="498">
        <v>71.400000000000006</v>
      </c>
      <c r="H492" s="462">
        <f t="shared" si="148"/>
        <v>2213.4</v>
      </c>
      <c r="I492" s="462">
        <f t="shared" si="149"/>
        <v>8568</v>
      </c>
      <c r="J492" s="463">
        <v>4</v>
      </c>
      <c r="K492" s="534">
        <v>75</v>
      </c>
      <c r="L492" s="462">
        <f t="shared" si="150"/>
        <v>1760</v>
      </c>
      <c r="M492" s="462">
        <v>1510</v>
      </c>
      <c r="N492" s="462">
        <v>250</v>
      </c>
      <c r="O492" s="462">
        <f t="shared" si="151"/>
        <v>4048.4</v>
      </c>
      <c r="P492" s="488">
        <f t="shared" si="152"/>
        <v>1242.3333333333333</v>
      </c>
      <c r="Q492" s="489">
        <f t="shared" si="153"/>
        <v>1225.3150684931506</v>
      </c>
      <c r="R492" s="489">
        <f t="shared" si="154"/>
        <v>65.753424657534239</v>
      </c>
      <c r="S492" s="490">
        <f t="shared" si="155"/>
        <v>15908</v>
      </c>
      <c r="T492" s="490">
        <f t="shared" si="156"/>
        <v>18441.401826484016</v>
      </c>
      <c r="U492" s="491">
        <f t="shared" si="157"/>
        <v>183.46</v>
      </c>
      <c r="V492" s="498"/>
      <c r="W492" s="498">
        <v>10</v>
      </c>
      <c r="X492" s="498"/>
      <c r="Y492" s="498"/>
      <c r="Z492" s="462">
        <f t="shared" si="158"/>
        <v>193.46</v>
      </c>
      <c r="AA492" s="462">
        <f t="shared" si="159"/>
        <v>3854.94</v>
      </c>
      <c r="AB492" s="489">
        <v>1000</v>
      </c>
      <c r="AF492" s="480" t="s">
        <v>44</v>
      </c>
      <c r="AG492" s="481">
        <v>7</v>
      </c>
      <c r="AH492" s="481">
        <v>72.540000000000006</v>
      </c>
      <c r="AI492" s="481">
        <v>425</v>
      </c>
    </row>
    <row r="493" spans="1:35" s="507" customFormat="1">
      <c r="A493" s="456">
        <v>4</v>
      </c>
      <c r="B493" s="457" t="s">
        <v>954</v>
      </c>
      <c r="C493" s="497">
        <v>9901443236</v>
      </c>
      <c r="D493" s="459" t="s">
        <v>955</v>
      </c>
      <c r="E493" s="460" t="s">
        <v>35</v>
      </c>
      <c r="F493" s="461">
        <v>31</v>
      </c>
      <c r="G493" s="498">
        <v>71.400000000000006</v>
      </c>
      <c r="H493" s="462">
        <f t="shared" si="148"/>
        <v>2213.4</v>
      </c>
      <c r="I493" s="462">
        <f t="shared" si="149"/>
        <v>8568</v>
      </c>
      <c r="J493" s="463">
        <v>4</v>
      </c>
      <c r="K493" s="534"/>
      <c r="L493" s="462">
        <f t="shared" si="150"/>
        <v>1760</v>
      </c>
      <c r="M493" s="462">
        <v>1510</v>
      </c>
      <c r="N493" s="462">
        <v>250</v>
      </c>
      <c r="O493" s="462">
        <f t="shared" si="151"/>
        <v>3973.4</v>
      </c>
      <c r="P493" s="488">
        <f t="shared" si="152"/>
        <v>1217.3333333333333</v>
      </c>
      <c r="Q493" s="489">
        <f t="shared" si="153"/>
        <v>1200.6575342465753</v>
      </c>
      <c r="R493" s="489">
        <f t="shared" si="154"/>
        <v>65.753424657534239</v>
      </c>
      <c r="S493" s="490">
        <f t="shared" si="155"/>
        <v>15608</v>
      </c>
      <c r="T493" s="490">
        <f t="shared" si="156"/>
        <v>18091.744292237443</v>
      </c>
      <c r="U493" s="491">
        <f t="shared" si="157"/>
        <v>179.84</v>
      </c>
      <c r="V493" s="498"/>
      <c r="W493" s="498"/>
      <c r="X493" s="498"/>
      <c r="Y493" s="498"/>
      <c r="Z493" s="462">
        <f t="shared" si="158"/>
        <v>179.84</v>
      </c>
      <c r="AA493" s="462">
        <f t="shared" si="159"/>
        <v>3793.56</v>
      </c>
      <c r="AB493" s="489">
        <v>1000</v>
      </c>
      <c r="AF493" s="480" t="s">
        <v>47</v>
      </c>
      <c r="AG493" s="481">
        <v>2</v>
      </c>
      <c r="AH493" s="481">
        <v>74.63</v>
      </c>
      <c r="AI493" s="481">
        <v>100</v>
      </c>
    </row>
    <row r="494" spans="1:35" s="507" customFormat="1">
      <c r="A494" s="456">
        <v>5</v>
      </c>
      <c r="B494" s="457" t="s">
        <v>956</v>
      </c>
      <c r="C494" s="497">
        <v>9901443042</v>
      </c>
      <c r="D494" s="459" t="s">
        <v>957</v>
      </c>
      <c r="E494" s="460" t="s">
        <v>1175</v>
      </c>
      <c r="F494" s="461">
        <v>31</v>
      </c>
      <c r="G494" s="498">
        <v>71.400000000000006</v>
      </c>
      <c r="H494" s="462">
        <f t="shared" si="148"/>
        <v>2213.4</v>
      </c>
      <c r="I494" s="462">
        <f t="shared" si="149"/>
        <v>8568</v>
      </c>
      <c r="J494" s="463">
        <v>4</v>
      </c>
      <c r="K494" s="533">
        <v>35</v>
      </c>
      <c r="L494" s="462">
        <f t="shared" si="150"/>
        <v>1760</v>
      </c>
      <c r="M494" s="462">
        <v>1510</v>
      </c>
      <c r="N494" s="462">
        <v>250</v>
      </c>
      <c r="O494" s="462">
        <f t="shared" si="151"/>
        <v>4008.4</v>
      </c>
      <c r="P494" s="488">
        <f t="shared" si="152"/>
        <v>1229</v>
      </c>
      <c r="Q494" s="489">
        <f t="shared" si="153"/>
        <v>1212.1643835616437</v>
      </c>
      <c r="R494" s="489">
        <f t="shared" si="154"/>
        <v>65.753424657534239</v>
      </c>
      <c r="S494" s="490">
        <f t="shared" si="155"/>
        <v>15748</v>
      </c>
      <c r="T494" s="490">
        <f t="shared" si="156"/>
        <v>18254.917808219179</v>
      </c>
      <c r="U494" s="491">
        <f t="shared" si="157"/>
        <v>181.53</v>
      </c>
      <c r="V494" s="498"/>
      <c r="W494" s="498">
        <v>10</v>
      </c>
      <c r="X494" s="498"/>
      <c r="Y494" s="498"/>
      <c r="Z494" s="462">
        <f t="shared" si="158"/>
        <v>191.53</v>
      </c>
      <c r="AA494" s="462">
        <f t="shared" si="159"/>
        <v>3816.87</v>
      </c>
      <c r="AB494" s="489">
        <v>1000</v>
      </c>
      <c r="AF494" s="480" t="s">
        <v>72</v>
      </c>
      <c r="AG494" s="481">
        <v>7</v>
      </c>
      <c r="AH494" s="481">
        <v>71.400000000000006</v>
      </c>
      <c r="AI494" s="481">
        <v>525</v>
      </c>
    </row>
    <row r="495" spans="1:35" s="507" customFormat="1">
      <c r="A495" s="456">
        <v>6</v>
      </c>
      <c r="B495" s="466" t="s">
        <v>958</v>
      </c>
      <c r="C495" s="497">
        <v>9901442290</v>
      </c>
      <c r="D495" s="459" t="s">
        <v>959</v>
      </c>
      <c r="E495" s="460" t="s">
        <v>1175</v>
      </c>
      <c r="F495" s="461">
        <v>31</v>
      </c>
      <c r="G495" s="498">
        <v>71.400000000000006</v>
      </c>
      <c r="H495" s="462">
        <f t="shared" si="148"/>
        <v>2213.4</v>
      </c>
      <c r="I495" s="462">
        <f t="shared" si="149"/>
        <v>8568</v>
      </c>
      <c r="J495" s="463">
        <v>4</v>
      </c>
      <c r="K495" s="534">
        <v>50</v>
      </c>
      <c r="L495" s="462">
        <f t="shared" si="150"/>
        <v>1760</v>
      </c>
      <c r="M495" s="462">
        <v>1510</v>
      </c>
      <c r="N495" s="462">
        <v>250</v>
      </c>
      <c r="O495" s="462">
        <f t="shared" si="151"/>
        <v>4023.4</v>
      </c>
      <c r="P495" s="488">
        <f t="shared" si="152"/>
        <v>1234</v>
      </c>
      <c r="Q495" s="489">
        <f t="shared" si="153"/>
        <v>1217.0958904109589</v>
      </c>
      <c r="R495" s="489">
        <f t="shared" si="154"/>
        <v>65.753424657534239</v>
      </c>
      <c r="S495" s="490">
        <f t="shared" si="155"/>
        <v>15808</v>
      </c>
      <c r="T495" s="490">
        <f t="shared" si="156"/>
        <v>18324.849315068492</v>
      </c>
      <c r="U495" s="491">
        <f t="shared" si="157"/>
        <v>182.26</v>
      </c>
      <c r="V495" s="498"/>
      <c r="W495" s="498">
        <v>10</v>
      </c>
      <c r="X495" s="498"/>
      <c r="Y495" s="498"/>
      <c r="Z495" s="462">
        <f t="shared" si="158"/>
        <v>192.26</v>
      </c>
      <c r="AA495" s="462">
        <f t="shared" si="159"/>
        <v>3831.1400000000003</v>
      </c>
      <c r="AB495" s="489">
        <v>1000</v>
      </c>
      <c r="AF495" s="480" t="s">
        <v>48</v>
      </c>
      <c r="AG495" s="481">
        <v>1</v>
      </c>
      <c r="AH495" s="481">
        <v>71.400000000000006</v>
      </c>
      <c r="AI495" s="481"/>
    </row>
    <row r="496" spans="1:35" s="507" customFormat="1">
      <c r="A496" s="456">
        <v>7</v>
      </c>
      <c r="B496" s="457" t="s">
        <v>960</v>
      </c>
      <c r="C496" s="497">
        <v>9901442318</v>
      </c>
      <c r="D496" s="459" t="s">
        <v>961</v>
      </c>
      <c r="E496" s="460" t="s">
        <v>1175</v>
      </c>
      <c r="F496" s="461">
        <v>31</v>
      </c>
      <c r="G496" s="498">
        <v>71.400000000000006</v>
      </c>
      <c r="H496" s="462">
        <f t="shared" si="148"/>
        <v>2213.4</v>
      </c>
      <c r="I496" s="462">
        <f t="shared" si="149"/>
        <v>8568</v>
      </c>
      <c r="J496" s="463">
        <v>4</v>
      </c>
      <c r="K496" s="534">
        <v>75</v>
      </c>
      <c r="L496" s="462">
        <f t="shared" si="150"/>
        <v>1760</v>
      </c>
      <c r="M496" s="462">
        <v>1510</v>
      </c>
      <c r="N496" s="462">
        <v>250</v>
      </c>
      <c r="O496" s="462">
        <f t="shared" si="151"/>
        <v>4048.4</v>
      </c>
      <c r="P496" s="488">
        <f t="shared" si="152"/>
        <v>1242.3333333333333</v>
      </c>
      <c r="Q496" s="489">
        <f t="shared" si="153"/>
        <v>1225.3150684931506</v>
      </c>
      <c r="R496" s="489">
        <f t="shared" si="154"/>
        <v>65.753424657534239</v>
      </c>
      <c r="S496" s="490">
        <f t="shared" si="155"/>
        <v>15908</v>
      </c>
      <c r="T496" s="490">
        <f t="shared" si="156"/>
        <v>18441.401826484016</v>
      </c>
      <c r="U496" s="491">
        <f t="shared" si="157"/>
        <v>183.46</v>
      </c>
      <c r="V496" s="498"/>
      <c r="W496" s="498">
        <v>10</v>
      </c>
      <c r="X496" s="498"/>
      <c r="Y496" s="498"/>
      <c r="Z496" s="462">
        <f t="shared" si="158"/>
        <v>193.46</v>
      </c>
      <c r="AA496" s="462">
        <f t="shared" si="159"/>
        <v>3854.94</v>
      </c>
      <c r="AB496" s="489">
        <v>1000</v>
      </c>
      <c r="AF496" s="480" t="s">
        <v>35</v>
      </c>
      <c r="AG496" s="481">
        <v>8</v>
      </c>
      <c r="AH496" s="481">
        <v>71.400000000000006</v>
      </c>
      <c r="AI496" s="481">
        <v>135</v>
      </c>
    </row>
    <row r="497" spans="1:35" s="507" customFormat="1">
      <c r="A497" s="456">
        <v>8</v>
      </c>
      <c r="B497" s="466" t="s">
        <v>962</v>
      </c>
      <c r="C497" s="497">
        <v>9901442200</v>
      </c>
      <c r="D497" s="459" t="s">
        <v>963</v>
      </c>
      <c r="E497" s="460" t="s">
        <v>1175</v>
      </c>
      <c r="F497" s="461">
        <v>31</v>
      </c>
      <c r="G497" s="498">
        <v>71.400000000000006</v>
      </c>
      <c r="H497" s="462">
        <f t="shared" si="148"/>
        <v>2213.4</v>
      </c>
      <c r="I497" s="462">
        <f t="shared" si="149"/>
        <v>8568</v>
      </c>
      <c r="J497" s="463">
        <v>4</v>
      </c>
      <c r="K497" s="533">
        <v>50</v>
      </c>
      <c r="L497" s="462">
        <f t="shared" si="150"/>
        <v>1760</v>
      </c>
      <c r="M497" s="462">
        <v>1510</v>
      </c>
      <c r="N497" s="462">
        <v>250</v>
      </c>
      <c r="O497" s="462">
        <f t="shared" si="151"/>
        <v>4023.4</v>
      </c>
      <c r="P497" s="488">
        <f t="shared" si="152"/>
        <v>1234</v>
      </c>
      <c r="Q497" s="489">
        <f t="shared" si="153"/>
        <v>1217.0958904109589</v>
      </c>
      <c r="R497" s="489">
        <f t="shared" si="154"/>
        <v>65.753424657534239</v>
      </c>
      <c r="S497" s="490">
        <f t="shared" si="155"/>
        <v>15808</v>
      </c>
      <c r="T497" s="490">
        <f t="shared" si="156"/>
        <v>18324.849315068492</v>
      </c>
      <c r="U497" s="491">
        <f t="shared" si="157"/>
        <v>182.26</v>
      </c>
      <c r="V497" s="498">
        <f>(O497-N497)*11%</f>
        <v>415.07400000000001</v>
      </c>
      <c r="W497" s="498"/>
      <c r="X497" s="498"/>
      <c r="Y497" s="498"/>
      <c r="Z497" s="462">
        <f t="shared" si="158"/>
        <v>597.33400000000006</v>
      </c>
      <c r="AA497" s="462">
        <f t="shared" si="159"/>
        <v>3426.0659999999998</v>
      </c>
      <c r="AB497" s="489">
        <v>1000</v>
      </c>
      <c r="AF497" s="480" t="s">
        <v>67</v>
      </c>
      <c r="AG497" s="481">
        <v>1</v>
      </c>
      <c r="AH497" s="481">
        <v>73.59</v>
      </c>
      <c r="AI497" s="481">
        <v>75</v>
      </c>
    </row>
    <row r="498" spans="1:35" s="507" customFormat="1">
      <c r="A498" s="456">
        <v>9</v>
      </c>
      <c r="B498" s="565"/>
      <c r="C498">
        <v>9901563300</v>
      </c>
      <c r="D498" s="507" t="s">
        <v>964</v>
      </c>
      <c r="E498" s="460" t="s">
        <v>35</v>
      </c>
      <c r="F498" s="461">
        <v>31</v>
      </c>
      <c r="G498" s="498">
        <v>71.400000000000006</v>
      </c>
      <c r="H498" s="462">
        <f t="shared" si="148"/>
        <v>2213.4</v>
      </c>
      <c r="I498" s="462">
        <f t="shared" si="149"/>
        <v>8568</v>
      </c>
      <c r="J498" s="463">
        <v>4</v>
      </c>
      <c r="K498" s="464"/>
      <c r="L498" s="462">
        <f t="shared" si="150"/>
        <v>1760</v>
      </c>
      <c r="M498" s="462">
        <v>1510</v>
      </c>
      <c r="N498" s="462">
        <v>250</v>
      </c>
      <c r="O498" s="462">
        <f t="shared" si="151"/>
        <v>3973.4</v>
      </c>
      <c r="P498" s="488">
        <f t="shared" si="152"/>
        <v>1217.3333333333333</v>
      </c>
      <c r="Q498" s="489">
        <f t="shared" si="153"/>
        <v>1200.6575342465753</v>
      </c>
      <c r="R498" s="489">
        <f t="shared" si="154"/>
        <v>65.753424657534239</v>
      </c>
      <c r="S498" s="490">
        <f t="shared" si="155"/>
        <v>15608</v>
      </c>
      <c r="T498" s="490">
        <f t="shared" si="156"/>
        <v>18091.744292237443</v>
      </c>
      <c r="U498" s="491"/>
      <c r="W498" s="498"/>
      <c r="X498" s="498"/>
      <c r="Y498" s="498"/>
      <c r="Z498" s="462">
        <f t="shared" si="158"/>
        <v>0</v>
      </c>
      <c r="AA498" s="462">
        <f t="shared" si="159"/>
        <v>3973.4</v>
      </c>
      <c r="AB498" s="489">
        <v>1000</v>
      </c>
      <c r="AF498" s="480" t="s">
        <v>52</v>
      </c>
      <c r="AG498" s="481">
        <v>1</v>
      </c>
      <c r="AH498" s="481">
        <v>72.540000000000006</v>
      </c>
      <c r="AI498" s="481">
        <v>75</v>
      </c>
    </row>
    <row r="499" spans="1:35" s="507" customFormat="1">
      <c r="A499" s="456">
        <v>1</v>
      </c>
      <c r="B499" s="457" t="s">
        <v>965</v>
      </c>
      <c r="C499" s="497">
        <v>9901442266</v>
      </c>
      <c r="D499" s="459" t="s">
        <v>966</v>
      </c>
      <c r="E499" s="460" t="s">
        <v>47</v>
      </c>
      <c r="F499" s="461">
        <v>31</v>
      </c>
      <c r="G499" s="498">
        <v>74.63</v>
      </c>
      <c r="H499" s="462">
        <f t="shared" ref="H499:H514" si="160">+F499*G499</f>
        <v>2313.5299999999997</v>
      </c>
      <c r="I499" s="462">
        <f t="shared" ref="I499:I514" si="161">G499*120</f>
        <v>8955.5999999999985</v>
      </c>
      <c r="J499" s="463">
        <v>4</v>
      </c>
      <c r="K499" s="534">
        <v>50</v>
      </c>
      <c r="L499" s="462">
        <f t="shared" ref="L499:L514" si="162">M499+N499</f>
        <v>1760</v>
      </c>
      <c r="M499" s="462">
        <v>1510</v>
      </c>
      <c r="N499" s="462">
        <v>250</v>
      </c>
      <c r="O499" s="462">
        <f t="shared" ref="O499:O514" si="163">+H499+M499+N499+K499</f>
        <v>4123.53</v>
      </c>
      <c r="P499" s="488">
        <f t="shared" ref="P499:P514" si="164">(((G499*120)+(K499+M499)*4)/12)</f>
        <v>1266.3</v>
      </c>
      <c r="Q499" s="489">
        <f t="shared" ref="Q499:Q514" si="165">(((G499*30)+M499+K499)/365*120)</f>
        <v>1248.9534246575342</v>
      </c>
      <c r="R499" s="489">
        <f t="shared" ref="R499:R514" si="166">+(200/365)*120</f>
        <v>65.753424657534239</v>
      </c>
      <c r="S499" s="490">
        <f t="shared" ref="S499:S514" si="167">(((G499*120)+((K499+M499+N499)*4)))</f>
        <v>16195.599999999999</v>
      </c>
      <c r="T499" s="490">
        <f t="shared" ref="T499:T514" si="168">+S499+R499+Q499+P499</f>
        <v>18776.606849315067</v>
      </c>
      <c r="U499" s="491">
        <f t="shared" ref="U499:U514" si="169">ROUND((((H499+K499+M499)*4.83)/100),2)</f>
        <v>187.09</v>
      </c>
      <c r="V499" s="498"/>
      <c r="W499" s="498">
        <v>10</v>
      </c>
      <c r="X499" s="498"/>
      <c r="Y499" s="498">
        <v>1370.89</v>
      </c>
      <c r="Z499" s="462">
        <f t="shared" ref="Z499:Z514" si="170">V499+W499+X499+Y499+U499</f>
        <v>1567.98</v>
      </c>
      <c r="AA499" s="462">
        <f t="shared" ref="AA499:AA514" si="171">+O499-Z499</f>
        <v>2555.5499999999997</v>
      </c>
      <c r="AB499" s="489">
        <v>1000</v>
      </c>
      <c r="AF499" s="480" t="s">
        <v>38</v>
      </c>
      <c r="AG499" s="481">
        <v>1</v>
      </c>
      <c r="AH499" s="481">
        <v>71.400000000000006</v>
      </c>
      <c r="AI499" s="481">
        <v>0</v>
      </c>
    </row>
    <row r="500" spans="1:35" s="507" customFormat="1">
      <c r="A500" s="456">
        <v>2</v>
      </c>
      <c r="B500" s="466" t="s">
        <v>967</v>
      </c>
      <c r="C500" s="497">
        <v>9901442267</v>
      </c>
      <c r="D500" s="459" t="s">
        <v>968</v>
      </c>
      <c r="E500" s="460" t="s">
        <v>47</v>
      </c>
      <c r="F500" s="461">
        <v>31</v>
      </c>
      <c r="G500" s="498">
        <v>74.63</v>
      </c>
      <c r="H500" s="462">
        <f t="shared" si="160"/>
        <v>2313.5299999999997</v>
      </c>
      <c r="I500" s="462">
        <f t="shared" si="161"/>
        <v>8955.5999999999985</v>
      </c>
      <c r="J500" s="463">
        <v>4</v>
      </c>
      <c r="K500" s="534">
        <v>50</v>
      </c>
      <c r="L500" s="462">
        <f t="shared" si="162"/>
        <v>1760</v>
      </c>
      <c r="M500" s="462">
        <v>1510</v>
      </c>
      <c r="N500" s="462">
        <v>250</v>
      </c>
      <c r="O500" s="462">
        <f t="shared" si="163"/>
        <v>4123.53</v>
      </c>
      <c r="P500" s="488">
        <f t="shared" si="164"/>
        <v>1266.3</v>
      </c>
      <c r="Q500" s="489">
        <f t="shared" si="165"/>
        <v>1248.9534246575342</v>
      </c>
      <c r="R500" s="489">
        <f t="shared" si="166"/>
        <v>65.753424657534239</v>
      </c>
      <c r="S500" s="490">
        <f t="shared" si="167"/>
        <v>16195.599999999999</v>
      </c>
      <c r="T500" s="490">
        <f t="shared" si="168"/>
        <v>18776.606849315067</v>
      </c>
      <c r="U500" s="491">
        <f t="shared" si="169"/>
        <v>187.09</v>
      </c>
      <c r="V500" s="498"/>
      <c r="W500" s="498">
        <v>10</v>
      </c>
      <c r="X500" s="498"/>
      <c r="Y500" s="498"/>
      <c r="Z500" s="462">
        <f t="shared" si="170"/>
        <v>197.09</v>
      </c>
      <c r="AA500" s="462">
        <f t="shared" si="171"/>
        <v>3926.4399999999996</v>
      </c>
      <c r="AB500" s="489">
        <v>1000</v>
      </c>
      <c r="AF500" s="480" t="s">
        <v>39</v>
      </c>
      <c r="AG500" s="481">
        <v>1</v>
      </c>
      <c r="AH500" s="481">
        <v>78.25</v>
      </c>
      <c r="AI500" s="481">
        <v>75</v>
      </c>
    </row>
    <row r="501" spans="1:35" s="507" customFormat="1">
      <c r="A501" s="456">
        <v>3</v>
      </c>
      <c r="B501" s="457" t="s">
        <v>969</v>
      </c>
      <c r="C501" s="497">
        <v>9901442323</v>
      </c>
      <c r="D501" s="459" t="s">
        <v>970</v>
      </c>
      <c r="E501" s="460" t="s">
        <v>1175</v>
      </c>
      <c r="F501" s="461">
        <v>31</v>
      </c>
      <c r="G501" s="498">
        <v>71.400000000000006</v>
      </c>
      <c r="H501" s="462">
        <f t="shared" si="160"/>
        <v>2213.4</v>
      </c>
      <c r="I501" s="462">
        <f t="shared" si="161"/>
        <v>8568</v>
      </c>
      <c r="J501" s="463">
        <v>4</v>
      </c>
      <c r="K501" s="534">
        <v>75</v>
      </c>
      <c r="L501" s="462">
        <f t="shared" si="162"/>
        <v>1760</v>
      </c>
      <c r="M501" s="462">
        <v>1510</v>
      </c>
      <c r="N501" s="462">
        <v>250</v>
      </c>
      <c r="O501" s="462">
        <f t="shared" si="163"/>
        <v>4048.4</v>
      </c>
      <c r="P501" s="488">
        <f t="shared" si="164"/>
        <v>1242.3333333333333</v>
      </c>
      <c r="Q501" s="489">
        <f t="shared" si="165"/>
        <v>1225.3150684931506</v>
      </c>
      <c r="R501" s="489">
        <f t="shared" si="166"/>
        <v>65.753424657534239</v>
      </c>
      <c r="S501" s="490">
        <f t="shared" si="167"/>
        <v>15908</v>
      </c>
      <c r="T501" s="490">
        <f t="shared" si="168"/>
        <v>18441.401826484016</v>
      </c>
      <c r="U501" s="491">
        <f t="shared" si="169"/>
        <v>183.46</v>
      </c>
      <c r="V501" s="498"/>
      <c r="W501" s="498">
        <v>10</v>
      </c>
      <c r="X501" s="498"/>
      <c r="Y501" s="498">
        <v>2022.49</v>
      </c>
      <c r="Z501" s="462">
        <f t="shared" si="170"/>
        <v>2215.9499999999998</v>
      </c>
      <c r="AA501" s="462">
        <f t="shared" si="171"/>
        <v>1832.4500000000003</v>
      </c>
      <c r="AB501" s="489">
        <v>1000</v>
      </c>
      <c r="AF501" s="480" t="s">
        <v>32</v>
      </c>
      <c r="AG501" s="481">
        <v>20</v>
      </c>
      <c r="AH501" s="481">
        <v>71.400000000000006</v>
      </c>
      <c r="AI501" s="481">
        <v>775</v>
      </c>
    </row>
    <row r="502" spans="1:35" s="507" customFormat="1">
      <c r="A502" s="456">
        <v>4</v>
      </c>
      <c r="B502" s="466" t="s">
        <v>971</v>
      </c>
      <c r="C502" s="497">
        <v>9901442324</v>
      </c>
      <c r="D502" s="459" t="s">
        <v>972</v>
      </c>
      <c r="E502" s="460" t="s">
        <v>1175</v>
      </c>
      <c r="F502" s="461">
        <v>31</v>
      </c>
      <c r="G502" s="498">
        <v>71.400000000000006</v>
      </c>
      <c r="H502" s="462">
        <f t="shared" si="160"/>
        <v>2213.4</v>
      </c>
      <c r="I502" s="462">
        <f t="shared" si="161"/>
        <v>8568</v>
      </c>
      <c r="J502" s="463">
        <v>4</v>
      </c>
      <c r="K502" s="534">
        <v>75</v>
      </c>
      <c r="L502" s="462">
        <f t="shared" si="162"/>
        <v>1760</v>
      </c>
      <c r="M502" s="462">
        <v>1510</v>
      </c>
      <c r="N502" s="462">
        <v>250</v>
      </c>
      <c r="O502" s="462">
        <f t="shared" si="163"/>
        <v>4048.4</v>
      </c>
      <c r="P502" s="488">
        <f t="shared" si="164"/>
        <v>1242.3333333333333</v>
      </c>
      <c r="Q502" s="489">
        <f t="shared" si="165"/>
        <v>1225.3150684931506</v>
      </c>
      <c r="R502" s="489">
        <f t="shared" si="166"/>
        <v>65.753424657534239</v>
      </c>
      <c r="S502" s="490">
        <f t="shared" si="167"/>
        <v>15908</v>
      </c>
      <c r="T502" s="490">
        <f t="shared" si="168"/>
        <v>18441.401826484016</v>
      </c>
      <c r="U502" s="491">
        <f t="shared" si="169"/>
        <v>183.46</v>
      </c>
      <c r="V502" s="498"/>
      <c r="W502" s="498">
        <v>10</v>
      </c>
      <c r="X502" s="498"/>
      <c r="Y502" s="498">
        <v>1626.09</v>
      </c>
      <c r="Z502" s="462">
        <f t="shared" si="170"/>
        <v>1819.55</v>
      </c>
      <c r="AA502" s="462">
        <f t="shared" si="171"/>
        <v>2228.8500000000004</v>
      </c>
      <c r="AB502" s="489">
        <v>1000</v>
      </c>
      <c r="AF502" s="480" t="s">
        <v>1175</v>
      </c>
      <c r="AG502" s="481">
        <v>70</v>
      </c>
      <c r="AH502" s="481">
        <v>71.400000000000006</v>
      </c>
      <c r="AI502" s="481">
        <v>3750</v>
      </c>
    </row>
    <row r="503" spans="1:35" s="507" customFormat="1">
      <c r="A503" s="456">
        <v>5</v>
      </c>
      <c r="B503" s="457" t="s">
        <v>973</v>
      </c>
      <c r="C503" s="497">
        <v>9901443348</v>
      </c>
      <c r="D503" s="459" t="s">
        <v>974</v>
      </c>
      <c r="E503" s="460" t="s">
        <v>1175</v>
      </c>
      <c r="F503" s="461">
        <v>31</v>
      </c>
      <c r="G503" s="498">
        <v>71.400000000000006</v>
      </c>
      <c r="H503" s="462">
        <f t="shared" si="160"/>
        <v>2213.4</v>
      </c>
      <c r="I503" s="462">
        <f t="shared" si="161"/>
        <v>8568</v>
      </c>
      <c r="J503" s="463">
        <v>4</v>
      </c>
      <c r="K503" s="534">
        <v>75</v>
      </c>
      <c r="L503" s="462">
        <f t="shared" si="162"/>
        <v>1760</v>
      </c>
      <c r="M503" s="462">
        <v>1510</v>
      </c>
      <c r="N503" s="462">
        <v>250</v>
      </c>
      <c r="O503" s="462">
        <f t="shared" si="163"/>
        <v>4048.4</v>
      </c>
      <c r="P503" s="488">
        <f t="shared" si="164"/>
        <v>1242.3333333333333</v>
      </c>
      <c r="Q503" s="489">
        <f t="shared" si="165"/>
        <v>1225.3150684931506</v>
      </c>
      <c r="R503" s="489">
        <f t="shared" si="166"/>
        <v>65.753424657534239</v>
      </c>
      <c r="S503" s="490">
        <f t="shared" si="167"/>
        <v>15908</v>
      </c>
      <c r="T503" s="490">
        <f t="shared" si="168"/>
        <v>18441.401826484016</v>
      </c>
      <c r="U503" s="491">
        <f t="shared" si="169"/>
        <v>183.46</v>
      </c>
      <c r="V503" s="498"/>
      <c r="W503" s="498">
        <v>10</v>
      </c>
      <c r="X503" s="498"/>
      <c r="Y503" s="498">
        <v>1329.7</v>
      </c>
      <c r="Z503" s="462">
        <f t="shared" si="170"/>
        <v>1523.16</v>
      </c>
      <c r="AA503" s="462">
        <f t="shared" si="171"/>
        <v>2525.2399999999998</v>
      </c>
      <c r="AB503" s="489">
        <v>1000</v>
      </c>
      <c r="AF503" s="480" t="s">
        <v>227</v>
      </c>
      <c r="AG503" s="481">
        <v>119</v>
      </c>
      <c r="AH503" s="481">
        <v>78.25</v>
      </c>
      <c r="AI503" s="481">
        <v>5935</v>
      </c>
    </row>
    <row r="504" spans="1:35" s="507" customFormat="1">
      <c r="A504" s="456">
        <v>6</v>
      </c>
      <c r="B504" s="457" t="s">
        <v>975</v>
      </c>
      <c r="C504" s="497">
        <v>9901442268</v>
      </c>
      <c r="D504" s="459" t="s">
        <v>976</v>
      </c>
      <c r="E504" s="460" t="s">
        <v>1175</v>
      </c>
      <c r="F504" s="461">
        <v>31</v>
      </c>
      <c r="G504" s="498">
        <v>71.400000000000006</v>
      </c>
      <c r="H504" s="462">
        <f t="shared" si="160"/>
        <v>2213.4</v>
      </c>
      <c r="I504" s="462">
        <f t="shared" si="161"/>
        <v>8568</v>
      </c>
      <c r="J504" s="463">
        <v>4</v>
      </c>
      <c r="K504" s="534">
        <v>50</v>
      </c>
      <c r="L504" s="462">
        <f t="shared" si="162"/>
        <v>1760</v>
      </c>
      <c r="M504" s="462">
        <v>1510</v>
      </c>
      <c r="N504" s="462">
        <v>250</v>
      </c>
      <c r="O504" s="462">
        <f t="shared" si="163"/>
        <v>4023.4</v>
      </c>
      <c r="P504" s="488">
        <f t="shared" si="164"/>
        <v>1234</v>
      </c>
      <c r="Q504" s="489">
        <f t="shared" si="165"/>
        <v>1217.0958904109589</v>
      </c>
      <c r="R504" s="489">
        <f t="shared" si="166"/>
        <v>65.753424657534239</v>
      </c>
      <c r="S504" s="490">
        <f t="shared" si="167"/>
        <v>15808</v>
      </c>
      <c r="T504" s="490">
        <f t="shared" si="168"/>
        <v>18324.849315068492</v>
      </c>
      <c r="U504" s="491">
        <f t="shared" si="169"/>
        <v>182.26</v>
      </c>
      <c r="V504" s="498"/>
      <c r="W504" s="498">
        <v>10</v>
      </c>
      <c r="X504" s="498"/>
      <c r="Y504" s="498">
        <v>347.98</v>
      </c>
      <c r="Z504" s="462">
        <f t="shared" si="170"/>
        <v>540.24</v>
      </c>
      <c r="AA504" s="462">
        <f t="shared" si="171"/>
        <v>3483.16</v>
      </c>
      <c r="AB504" s="489">
        <v>1000</v>
      </c>
      <c r="AF504"/>
      <c r="AG504"/>
      <c r="AH504"/>
    </row>
    <row r="505" spans="1:35" s="507" customFormat="1">
      <c r="A505" s="456">
        <v>7</v>
      </c>
      <c r="B505" s="466" t="s">
        <v>977</v>
      </c>
      <c r="C505" s="497">
        <v>9901442322</v>
      </c>
      <c r="D505" s="459" t="s">
        <v>978</v>
      </c>
      <c r="E505" s="460" t="s">
        <v>1175</v>
      </c>
      <c r="F505" s="461">
        <v>31</v>
      </c>
      <c r="G505" s="498">
        <v>71.400000000000006</v>
      </c>
      <c r="H505" s="462">
        <f t="shared" si="160"/>
        <v>2213.4</v>
      </c>
      <c r="I505" s="462">
        <f t="shared" si="161"/>
        <v>8568</v>
      </c>
      <c r="J505" s="463">
        <v>4</v>
      </c>
      <c r="K505" s="534">
        <v>75</v>
      </c>
      <c r="L505" s="462">
        <f t="shared" si="162"/>
        <v>1760</v>
      </c>
      <c r="M505" s="462">
        <v>1510</v>
      </c>
      <c r="N505" s="462">
        <v>250</v>
      </c>
      <c r="O505" s="462">
        <f t="shared" si="163"/>
        <v>4048.4</v>
      </c>
      <c r="P505" s="488">
        <f t="shared" si="164"/>
        <v>1242.3333333333333</v>
      </c>
      <c r="Q505" s="489">
        <f t="shared" si="165"/>
        <v>1225.3150684931506</v>
      </c>
      <c r="R505" s="489">
        <f t="shared" si="166"/>
        <v>65.753424657534239</v>
      </c>
      <c r="S505" s="490">
        <f t="shared" si="167"/>
        <v>15908</v>
      </c>
      <c r="T505" s="490">
        <f t="shared" si="168"/>
        <v>18441.401826484016</v>
      </c>
      <c r="U505" s="491">
        <f t="shared" si="169"/>
        <v>183.46</v>
      </c>
      <c r="V505" s="498"/>
      <c r="W505" s="498">
        <v>10</v>
      </c>
      <c r="X505" s="498"/>
      <c r="Y505" s="498">
        <v>1204.71</v>
      </c>
      <c r="Z505" s="462">
        <f t="shared" si="170"/>
        <v>1398.17</v>
      </c>
      <c r="AA505" s="462">
        <f t="shared" si="171"/>
        <v>2650.23</v>
      </c>
      <c r="AB505" s="489">
        <v>1000</v>
      </c>
      <c r="AF505"/>
      <c r="AG505"/>
      <c r="AH505"/>
    </row>
    <row r="506" spans="1:35" s="507" customFormat="1">
      <c r="A506" s="456">
        <v>8</v>
      </c>
      <c r="B506" s="457" t="s">
        <v>979</v>
      </c>
      <c r="C506" s="497">
        <v>9901442265</v>
      </c>
      <c r="D506" s="459" t="s">
        <v>980</v>
      </c>
      <c r="E506" s="460" t="s">
        <v>1175</v>
      </c>
      <c r="F506" s="461">
        <v>31</v>
      </c>
      <c r="G506" s="498">
        <v>71.400000000000006</v>
      </c>
      <c r="H506" s="462">
        <f t="shared" si="160"/>
        <v>2213.4</v>
      </c>
      <c r="I506" s="462">
        <f t="shared" si="161"/>
        <v>8568</v>
      </c>
      <c r="J506" s="463">
        <v>4</v>
      </c>
      <c r="K506" s="468">
        <v>50</v>
      </c>
      <c r="L506" s="462">
        <f t="shared" si="162"/>
        <v>1760</v>
      </c>
      <c r="M506" s="462">
        <v>1510</v>
      </c>
      <c r="N506" s="462">
        <v>250</v>
      </c>
      <c r="O506" s="462">
        <f t="shared" si="163"/>
        <v>4023.4</v>
      </c>
      <c r="P506" s="488">
        <f t="shared" si="164"/>
        <v>1234</v>
      </c>
      <c r="Q506" s="489">
        <f t="shared" si="165"/>
        <v>1217.0958904109589</v>
      </c>
      <c r="R506" s="489">
        <f t="shared" si="166"/>
        <v>65.753424657534239</v>
      </c>
      <c r="S506" s="490">
        <f t="shared" si="167"/>
        <v>15808</v>
      </c>
      <c r="T506" s="490">
        <f t="shared" si="168"/>
        <v>18324.849315068492</v>
      </c>
      <c r="U506" s="491">
        <f t="shared" si="169"/>
        <v>182.26</v>
      </c>
      <c r="V506" s="498"/>
      <c r="W506" s="498">
        <v>10</v>
      </c>
      <c r="X506" s="498"/>
      <c r="Y506" s="498">
        <v>1626.09</v>
      </c>
      <c r="Z506" s="462">
        <f t="shared" si="170"/>
        <v>1818.35</v>
      </c>
      <c r="AA506" s="462">
        <f t="shared" si="171"/>
        <v>2205.0500000000002</v>
      </c>
      <c r="AB506" s="489">
        <v>1000</v>
      </c>
      <c r="AD506" s="507" t="s">
        <v>305</v>
      </c>
      <c r="AF506"/>
      <c r="AG506"/>
      <c r="AH506"/>
    </row>
    <row r="507" spans="1:35" s="507" customFormat="1">
      <c r="A507" s="456">
        <v>9</v>
      </c>
      <c r="B507" s="457" t="s">
        <v>981</v>
      </c>
      <c r="C507" s="497">
        <v>9901442321</v>
      </c>
      <c r="D507" s="459" t="s">
        <v>982</v>
      </c>
      <c r="E507" s="460" t="s">
        <v>1175</v>
      </c>
      <c r="F507" s="461">
        <v>31</v>
      </c>
      <c r="G507" s="498">
        <v>71.400000000000006</v>
      </c>
      <c r="H507" s="462">
        <f t="shared" si="160"/>
        <v>2213.4</v>
      </c>
      <c r="I507" s="462">
        <f t="shared" si="161"/>
        <v>8568</v>
      </c>
      <c r="J507" s="463">
        <v>4</v>
      </c>
      <c r="K507" s="534">
        <v>75</v>
      </c>
      <c r="L507" s="462">
        <f t="shared" si="162"/>
        <v>1760</v>
      </c>
      <c r="M507" s="462">
        <v>1510</v>
      </c>
      <c r="N507" s="462">
        <v>250</v>
      </c>
      <c r="O507" s="462">
        <f t="shared" si="163"/>
        <v>4048.4</v>
      </c>
      <c r="P507" s="488">
        <f t="shared" si="164"/>
        <v>1242.3333333333333</v>
      </c>
      <c r="Q507" s="489">
        <f t="shared" si="165"/>
        <v>1225.3150684931506</v>
      </c>
      <c r="R507" s="489">
        <f t="shared" si="166"/>
        <v>65.753424657534239</v>
      </c>
      <c r="S507" s="490">
        <f t="shared" si="167"/>
        <v>15908</v>
      </c>
      <c r="T507" s="490">
        <f t="shared" si="168"/>
        <v>18441.401826484016</v>
      </c>
      <c r="U507" s="491">
        <f t="shared" si="169"/>
        <v>183.46</v>
      </c>
      <c r="V507" s="498"/>
      <c r="W507" s="498">
        <v>10</v>
      </c>
      <c r="X507" s="498"/>
      <c r="Y507" s="498">
        <v>1356.75</v>
      </c>
      <c r="Z507" s="462">
        <f t="shared" si="170"/>
        <v>1550.21</v>
      </c>
      <c r="AA507" s="462">
        <f t="shared" si="171"/>
        <v>2498.19</v>
      </c>
      <c r="AB507" s="489">
        <v>1000</v>
      </c>
      <c r="AF507"/>
      <c r="AG507"/>
      <c r="AH507"/>
    </row>
    <row r="508" spans="1:35" s="507" customFormat="1">
      <c r="A508" s="456">
        <v>10</v>
      </c>
      <c r="B508" s="466" t="s">
        <v>983</v>
      </c>
      <c r="C508" s="497">
        <v>9901443693</v>
      </c>
      <c r="D508" s="459" t="s">
        <v>984</v>
      </c>
      <c r="E508" s="460" t="s">
        <v>1175</v>
      </c>
      <c r="F508" s="461">
        <v>31</v>
      </c>
      <c r="G508" s="498">
        <v>71.400000000000006</v>
      </c>
      <c r="H508" s="462">
        <f t="shared" si="160"/>
        <v>2213.4</v>
      </c>
      <c r="I508" s="462">
        <f t="shared" si="161"/>
        <v>8568</v>
      </c>
      <c r="J508" s="463">
        <v>4</v>
      </c>
      <c r="K508" s="534">
        <v>75</v>
      </c>
      <c r="L508" s="462">
        <f t="shared" si="162"/>
        <v>1760</v>
      </c>
      <c r="M508" s="462">
        <v>1510</v>
      </c>
      <c r="N508" s="462">
        <v>250</v>
      </c>
      <c r="O508" s="462">
        <f t="shared" si="163"/>
        <v>4048.4</v>
      </c>
      <c r="P508" s="488">
        <f t="shared" si="164"/>
        <v>1242.3333333333333</v>
      </c>
      <c r="Q508" s="489">
        <f t="shared" si="165"/>
        <v>1225.3150684931506</v>
      </c>
      <c r="R508" s="489">
        <f t="shared" si="166"/>
        <v>65.753424657534239</v>
      </c>
      <c r="S508" s="490">
        <f t="shared" si="167"/>
        <v>15908</v>
      </c>
      <c r="T508" s="490">
        <f t="shared" si="168"/>
        <v>18441.401826484016</v>
      </c>
      <c r="U508" s="491">
        <f t="shared" si="169"/>
        <v>183.46</v>
      </c>
      <c r="V508" s="498"/>
      <c r="W508" s="498">
        <v>10</v>
      </c>
      <c r="X508" s="498"/>
      <c r="Y508" s="498">
        <v>1173.53</v>
      </c>
      <c r="Z508" s="462">
        <f t="shared" si="170"/>
        <v>1366.99</v>
      </c>
      <c r="AA508" s="462">
        <f t="shared" si="171"/>
        <v>2681.41</v>
      </c>
      <c r="AB508" s="489">
        <v>1000</v>
      </c>
      <c r="AF508"/>
      <c r="AG508"/>
      <c r="AH508"/>
    </row>
    <row r="509" spans="1:35" s="507" customFormat="1">
      <c r="A509" s="456">
        <v>11</v>
      </c>
      <c r="B509" s="457" t="s">
        <v>985</v>
      </c>
      <c r="C509" s="497">
        <v>9901442255</v>
      </c>
      <c r="D509" s="459" t="s">
        <v>986</v>
      </c>
      <c r="E509" s="460" t="s">
        <v>1175</v>
      </c>
      <c r="F509" s="461">
        <v>31</v>
      </c>
      <c r="G509" s="498">
        <v>71.400000000000006</v>
      </c>
      <c r="H509" s="462">
        <f t="shared" si="160"/>
        <v>2213.4</v>
      </c>
      <c r="I509" s="462">
        <f t="shared" si="161"/>
        <v>8568</v>
      </c>
      <c r="J509" s="463">
        <v>4</v>
      </c>
      <c r="K509" s="534">
        <v>50</v>
      </c>
      <c r="L509" s="462">
        <f t="shared" si="162"/>
        <v>1760</v>
      </c>
      <c r="M509" s="462">
        <v>1510</v>
      </c>
      <c r="N509" s="462">
        <v>250</v>
      </c>
      <c r="O509" s="462">
        <f t="shared" si="163"/>
        <v>4023.4</v>
      </c>
      <c r="P509" s="488">
        <f t="shared" si="164"/>
        <v>1234</v>
      </c>
      <c r="Q509" s="489">
        <f t="shared" si="165"/>
        <v>1217.0958904109589</v>
      </c>
      <c r="R509" s="489">
        <f t="shared" si="166"/>
        <v>65.753424657534239</v>
      </c>
      <c r="S509" s="490">
        <f t="shared" si="167"/>
        <v>15808</v>
      </c>
      <c r="T509" s="490">
        <f t="shared" si="168"/>
        <v>18324.849315068492</v>
      </c>
      <c r="U509" s="491">
        <f t="shared" si="169"/>
        <v>182.26</v>
      </c>
      <c r="V509" s="498">
        <f>(O509-N509)*11%</f>
        <v>415.07400000000001</v>
      </c>
      <c r="W509" s="498">
        <v>10</v>
      </c>
      <c r="X509" s="498"/>
      <c r="Y509" s="498"/>
      <c r="Z509" s="462">
        <f t="shared" si="170"/>
        <v>607.33400000000006</v>
      </c>
      <c r="AA509" s="462">
        <f t="shared" si="171"/>
        <v>3416.0659999999998</v>
      </c>
      <c r="AB509" s="489">
        <v>1000</v>
      </c>
      <c r="AF509"/>
      <c r="AG509"/>
      <c r="AH509"/>
    </row>
    <row r="510" spans="1:35" s="507" customFormat="1">
      <c r="A510" s="456">
        <v>12</v>
      </c>
      <c r="B510" s="466" t="s">
        <v>987</v>
      </c>
      <c r="C510" s="497">
        <v>9901443402</v>
      </c>
      <c r="D510" s="459" t="s">
        <v>988</v>
      </c>
      <c r="E510" s="460" t="s">
        <v>32</v>
      </c>
      <c r="F510" s="461">
        <v>31</v>
      </c>
      <c r="G510" s="498">
        <v>71.400000000000006</v>
      </c>
      <c r="H510" s="462">
        <f t="shared" si="160"/>
        <v>2213.4</v>
      </c>
      <c r="I510" s="462">
        <f t="shared" si="161"/>
        <v>8568</v>
      </c>
      <c r="J510" s="463">
        <v>4</v>
      </c>
      <c r="K510" s="533">
        <v>50</v>
      </c>
      <c r="L510" s="462">
        <f t="shared" si="162"/>
        <v>1760</v>
      </c>
      <c r="M510" s="462">
        <v>1510</v>
      </c>
      <c r="N510" s="462">
        <v>250</v>
      </c>
      <c r="O510" s="462">
        <f t="shared" si="163"/>
        <v>4023.4</v>
      </c>
      <c r="P510" s="488">
        <f t="shared" si="164"/>
        <v>1234</v>
      </c>
      <c r="Q510" s="489">
        <f t="shared" si="165"/>
        <v>1217.0958904109589</v>
      </c>
      <c r="R510" s="489">
        <f t="shared" si="166"/>
        <v>65.753424657534239</v>
      </c>
      <c r="S510" s="490">
        <f t="shared" si="167"/>
        <v>15808</v>
      </c>
      <c r="T510" s="490">
        <f t="shared" si="168"/>
        <v>18324.849315068492</v>
      </c>
      <c r="U510" s="491">
        <f t="shared" si="169"/>
        <v>182.26</v>
      </c>
      <c r="V510" s="498"/>
      <c r="W510" s="498">
        <v>10</v>
      </c>
      <c r="X510" s="498"/>
      <c r="Y510" s="498">
        <v>974.57</v>
      </c>
      <c r="Z510" s="462">
        <f t="shared" si="170"/>
        <v>1166.83</v>
      </c>
      <c r="AA510" s="462">
        <f t="shared" si="171"/>
        <v>2856.57</v>
      </c>
      <c r="AB510" s="489">
        <v>1000</v>
      </c>
      <c r="AF510"/>
      <c r="AG510"/>
      <c r="AH510"/>
    </row>
    <row r="511" spans="1:35" s="507" customFormat="1">
      <c r="A511" s="456">
        <v>13</v>
      </c>
      <c r="B511" s="457" t="s">
        <v>989</v>
      </c>
      <c r="C511" s="497">
        <v>9901443245</v>
      </c>
      <c r="D511" s="459" t="s">
        <v>990</v>
      </c>
      <c r="E511" s="460" t="s">
        <v>1175</v>
      </c>
      <c r="F511" s="461">
        <v>31</v>
      </c>
      <c r="G511" s="498">
        <v>71.400000000000006</v>
      </c>
      <c r="H511" s="462">
        <f t="shared" si="160"/>
        <v>2213.4</v>
      </c>
      <c r="I511" s="462">
        <f t="shared" si="161"/>
        <v>8568</v>
      </c>
      <c r="J511" s="463">
        <v>4</v>
      </c>
      <c r="K511" s="534">
        <v>75</v>
      </c>
      <c r="L511" s="462">
        <f t="shared" si="162"/>
        <v>1760</v>
      </c>
      <c r="M511" s="462">
        <v>1510</v>
      </c>
      <c r="N511" s="462">
        <v>250</v>
      </c>
      <c r="O511" s="462">
        <f t="shared" si="163"/>
        <v>4048.4</v>
      </c>
      <c r="P511" s="488">
        <f t="shared" si="164"/>
        <v>1242.3333333333333</v>
      </c>
      <c r="Q511" s="489">
        <f t="shared" si="165"/>
        <v>1225.3150684931506</v>
      </c>
      <c r="R511" s="489">
        <f t="shared" si="166"/>
        <v>65.753424657534239</v>
      </c>
      <c r="S511" s="490">
        <f t="shared" si="167"/>
        <v>15908</v>
      </c>
      <c r="T511" s="490">
        <f t="shared" si="168"/>
        <v>18441.401826484016</v>
      </c>
      <c r="U511" s="491">
        <f t="shared" si="169"/>
        <v>183.46</v>
      </c>
      <c r="V511" s="498"/>
      <c r="W511" s="498">
        <v>10</v>
      </c>
      <c r="X511" s="498"/>
      <c r="Y511" s="498"/>
      <c r="Z511" s="462">
        <f t="shared" si="170"/>
        <v>193.46</v>
      </c>
      <c r="AA511" s="462">
        <f t="shared" si="171"/>
        <v>3854.94</v>
      </c>
      <c r="AB511" s="489">
        <v>1000</v>
      </c>
      <c r="AF511"/>
      <c r="AG511"/>
      <c r="AH511"/>
    </row>
    <row r="512" spans="1:35" s="507" customFormat="1">
      <c r="A512" s="456">
        <v>14</v>
      </c>
      <c r="B512" s="536" t="s">
        <v>991</v>
      </c>
      <c r="C512" s="566">
        <v>9901498942</v>
      </c>
      <c r="D512" s="459" t="s">
        <v>992</v>
      </c>
      <c r="E512" s="460" t="s">
        <v>1175</v>
      </c>
      <c r="F512" s="523">
        <v>31</v>
      </c>
      <c r="G512" s="498">
        <v>71.400000000000006</v>
      </c>
      <c r="H512" s="519">
        <f t="shared" si="160"/>
        <v>2213.4</v>
      </c>
      <c r="I512" s="462">
        <f t="shared" si="161"/>
        <v>8568</v>
      </c>
      <c r="J512" s="463">
        <v>4</v>
      </c>
      <c r="K512" s="561"/>
      <c r="L512" s="462">
        <f t="shared" si="162"/>
        <v>1760</v>
      </c>
      <c r="M512" s="462">
        <v>1510</v>
      </c>
      <c r="N512" s="462">
        <v>250</v>
      </c>
      <c r="O512" s="462">
        <f t="shared" si="163"/>
        <v>3973.4</v>
      </c>
      <c r="P512" s="488">
        <f t="shared" si="164"/>
        <v>1217.3333333333333</v>
      </c>
      <c r="Q512" s="489">
        <f t="shared" si="165"/>
        <v>1200.6575342465753</v>
      </c>
      <c r="R512" s="489">
        <f t="shared" si="166"/>
        <v>65.753424657534239</v>
      </c>
      <c r="S512" s="490">
        <f t="shared" si="167"/>
        <v>15608</v>
      </c>
      <c r="T512" s="490">
        <f t="shared" si="168"/>
        <v>18091.744292237443</v>
      </c>
      <c r="U512" s="491">
        <f t="shared" si="169"/>
        <v>179.84</v>
      </c>
      <c r="V512" s="498">
        <f>(O512-N512)*11%</f>
        <v>409.57400000000001</v>
      </c>
      <c r="W512" s="560"/>
      <c r="X512" s="560"/>
      <c r="Y512" s="560"/>
      <c r="Z512" s="462">
        <f t="shared" si="170"/>
        <v>589.41399999999999</v>
      </c>
      <c r="AA512" s="462">
        <f t="shared" si="171"/>
        <v>3383.9859999999999</v>
      </c>
      <c r="AB512" s="489">
        <v>1000</v>
      </c>
      <c r="AF512"/>
      <c r="AG512"/>
      <c r="AH512"/>
    </row>
    <row r="513" spans="1:34" s="507" customFormat="1">
      <c r="A513" s="456">
        <v>15</v>
      </c>
      <c r="B513" s="536" t="s">
        <v>993</v>
      </c>
      <c r="C513" s="550">
        <v>9901532786</v>
      </c>
      <c r="D513" s="459" t="s">
        <v>994</v>
      </c>
      <c r="E513" s="460" t="s">
        <v>1175</v>
      </c>
      <c r="F513" s="523">
        <v>31</v>
      </c>
      <c r="G513" s="498">
        <v>71.400000000000006</v>
      </c>
      <c r="H513" s="519">
        <f t="shared" si="160"/>
        <v>2213.4</v>
      </c>
      <c r="I513" s="462">
        <f t="shared" si="161"/>
        <v>8568</v>
      </c>
      <c r="J513" s="463">
        <v>4</v>
      </c>
      <c r="K513" s="561"/>
      <c r="L513" s="462">
        <f t="shared" si="162"/>
        <v>1760</v>
      </c>
      <c r="M513" s="462">
        <v>1510</v>
      </c>
      <c r="N513" s="462">
        <v>250</v>
      </c>
      <c r="O513" s="462">
        <f t="shared" si="163"/>
        <v>3973.4</v>
      </c>
      <c r="P513" s="488">
        <f t="shared" si="164"/>
        <v>1217.3333333333333</v>
      </c>
      <c r="Q513" s="489">
        <f t="shared" si="165"/>
        <v>1200.6575342465753</v>
      </c>
      <c r="R513" s="489">
        <f t="shared" si="166"/>
        <v>65.753424657534239</v>
      </c>
      <c r="S513" s="490">
        <f t="shared" si="167"/>
        <v>15608</v>
      </c>
      <c r="T513" s="490">
        <f t="shared" si="168"/>
        <v>18091.744292237443</v>
      </c>
      <c r="U513" s="491">
        <f t="shared" si="169"/>
        <v>179.84</v>
      </c>
      <c r="V513" s="560"/>
      <c r="W513" s="498">
        <v>10</v>
      </c>
      <c r="X513" s="560"/>
      <c r="Y513" s="560"/>
      <c r="Z513" s="462">
        <f t="shared" si="170"/>
        <v>189.84</v>
      </c>
      <c r="AA513" s="462">
        <f t="shared" si="171"/>
        <v>3783.56</v>
      </c>
      <c r="AB513" s="489">
        <v>1000</v>
      </c>
      <c r="AF513"/>
      <c r="AG513"/>
      <c r="AH513"/>
    </row>
    <row r="514" spans="1:34" s="507" customFormat="1">
      <c r="A514" s="456">
        <v>16</v>
      </c>
      <c r="B514" s="536" t="s">
        <v>995</v>
      </c>
      <c r="C514" s="507">
        <v>9901532790</v>
      </c>
      <c r="D514" s="507" t="s">
        <v>996</v>
      </c>
      <c r="E514" s="507" t="s">
        <v>1175</v>
      </c>
      <c r="F514" s="523">
        <v>31</v>
      </c>
      <c r="G514" s="498">
        <v>71.400000000000006</v>
      </c>
      <c r="H514" s="519">
        <f t="shared" si="160"/>
        <v>2213.4</v>
      </c>
      <c r="I514" s="462">
        <f t="shared" si="161"/>
        <v>8568</v>
      </c>
      <c r="J514" s="463">
        <v>4</v>
      </c>
      <c r="K514" s="561"/>
      <c r="L514" s="462">
        <f t="shared" si="162"/>
        <v>1760</v>
      </c>
      <c r="M514" s="462">
        <v>1510</v>
      </c>
      <c r="N514" s="462">
        <v>250</v>
      </c>
      <c r="O514" s="462">
        <f t="shared" si="163"/>
        <v>3973.4</v>
      </c>
      <c r="P514" s="488">
        <f t="shared" si="164"/>
        <v>1217.3333333333333</v>
      </c>
      <c r="Q514" s="489">
        <f t="shared" si="165"/>
        <v>1200.6575342465753</v>
      </c>
      <c r="R514" s="489">
        <f t="shared" si="166"/>
        <v>65.753424657534239</v>
      </c>
      <c r="S514" s="490">
        <f t="shared" si="167"/>
        <v>15608</v>
      </c>
      <c r="T514" s="490">
        <f t="shared" si="168"/>
        <v>18091.744292237443</v>
      </c>
      <c r="U514" s="491">
        <f t="shared" si="169"/>
        <v>179.84</v>
      </c>
      <c r="W514" s="498">
        <v>10</v>
      </c>
      <c r="X514" s="560"/>
      <c r="Y514" s="560"/>
      <c r="Z514" s="462">
        <f t="shared" si="170"/>
        <v>189.84</v>
      </c>
      <c r="AA514" s="462">
        <f t="shared" si="171"/>
        <v>3783.56</v>
      </c>
      <c r="AB514" s="489">
        <v>1000</v>
      </c>
      <c r="AF514"/>
      <c r="AG514"/>
      <c r="AH514"/>
    </row>
    <row r="515" spans="1:34" s="507" customFormat="1">
      <c r="A515" s="456">
        <v>1</v>
      </c>
      <c r="B515" s="457" t="s">
        <v>997</v>
      </c>
      <c r="C515" s="497">
        <v>9901443424</v>
      </c>
      <c r="D515" s="459" t="s">
        <v>998</v>
      </c>
      <c r="E515" s="460" t="s">
        <v>1175</v>
      </c>
      <c r="F515" s="461">
        <v>31</v>
      </c>
      <c r="G515" s="498">
        <v>71.400000000000006</v>
      </c>
      <c r="H515" s="462">
        <f t="shared" ref="H515:H529" si="172">+F515*G515</f>
        <v>2213.4</v>
      </c>
      <c r="I515" s="462">
        <f t="shared" ref="I515:I529" si="173">G515*120</f>
        <v>8568</v>
      </c>
      <c r="J515" s="463">
        <v>4</v>
      </c>
      <c r="K515" s="534">
        <v>75</v>
      </c>
      <c r="L515" s="462">
        <f t="shared" ref="L515:L529" si="174">M515+N515</f>
        <v>1760</v>
      </c>
      <c r="M515" s="462">
        <v>1510</v>
      </c>
      <c r="N515" s="462">
        <v>250</v>
      </c>
      <c r="O515" s="462">
        <f t="shared" ref="O515:O529" si="175">+H515+M515+N515+K515</f>
        <v>4048.4</v>
      </c>
      <c r="P515" s="488">
        <f t="shared" ref="P515:P529" si="176">(((G515*120)+(K515+M515)*4)/12)</f>
        <v>1242.3333333333333</v>
      </c>
      <c r="Q515" s="489">
        <f t="shared" ref="Q515:Q529" si="177">(((G515*30)+M515+K515)/365*120)</f>
        <v>1225.3150684931506</v>
      </c>
      <c r="R515" s="489">
        <f t="shared" ref="R515:R529" si="178">+(200/365)*120</f>
        <v>65.753424657534239</v>
      </c>
      <c r="S515" s="490">
        <f t="shared" ref="S515:S529" si="179">(((G515*120)+((K515+M515+N515)*4)))</f>
        <v>15908</v>
      </c>
      <c r="T515" s="490">
        <f t="shared" ref="T515:T529" si="180">+S515+R515+Q515+P515</f>
        <v>18441.401826484016</v>
      </c>
      <c r="U515" s="491">
        <f t="shared" ref="U515:U529" si="181">ROUND((((H515+K515+M515)*4.83)/100),2)</f>
        <v>183.46</v>
      </c>
      <c r="V515" s="498"/>
      <c r="W515" s="498">
        <v>10</v>
      </c>
      <c r="X515" s="512">
        <v>949.6</v>
      </c>
      <c r="Y515" s="498"/>
      <c r="Z515" s="462">
        <f t="shared" ref="Z515:Z529" si="182">V515+W515+X515+Y515+U515</f>
        <v>1143.06</v>
      </c>
      <c r="AA515" s="462">
        <f t="shared" ref="AA515:AA529" si="183">+O515-Z515</f>
        <v>2905.34</v>
      </c>
      <c r="AB515" s="489">
        <v>1000</v>
      </c>
      <c r="AF515"/>
      <c r="AG515"/>
      <c r="AH515"/>
    </row>
    <row r="516" spans="1:34" s="507" customFormat="1">
      <c r="A516" s="456">
        <v>2</v>
      </c>
      <c r="B516" s="466" t="s">
        <v>999</v>
      </c>
      <c r="C516" s="497">
        <v>9901443471</v>
      </c>
      <c r="D516" s="459" t="s">
        <v>1000</v>
      </c>
      <c r="E516" s="460" t="s">
        <v>1175</v>
      </c>
      <c r="F516" s="461">
        <v>31</v>
      </c>
      <c r="G516" s="498">
        <v>71.400000000000006</v>
      </c>
      <c r="H516" s="462">
        <f t="shared" si="172"/>
        <v>2213.4</v>
      </c>
      <c r="I516" s="462">
        <f t="shared" si="173"/>
        <v>8568</v>
      </c>
      <c r="J516" s="463">
        <v>4</v>
      </c>
      <c r="K516" s="534">
        <v>75</v>
      </c>
      <c r="L516" s="462">
        <f t="shared" si="174"/>
        <v>1760</v>
      </c>
      <c r="M516" s="462">
        <v>1510</v>
      </c>
      <c r="N516" s="462">
        <v>250</v>
      </c>
      <c r="O516" s="462">
        <f t="shared" si="175"/>
        <v>4048.4</v>
      </c>
      <c r="P516" s="488">
        <f t="shared" si="176"/>
        <v>1242.3333333333333</v>
      </c>
      <c r="Q516" s="489">
        <f t="shared" si="177"/>
        <v>1225.3150684931506</v>
      </c>
      <c r="R516" s="489">
        <f t="shared" si="178"/>
        <v>65.753424657534239</v>
      </c>
      <c r="S516" s="490">
        <f t="shared" si="179"/>
        <v>15908</v>
      </c>
      <c r="T516" s="490">
        <f t="shared" si="180"/>
        <v>18441.401826484016</v>
      </c>
      <c r="U516" s="491">
        <f t="shared" si="181"/>
        <v>183.46</v>
      </c>
      <c r="V516" s="498"/>
      <c r="W516" s="498">
        <v>10</v>
      </c>
      <c r="X516" s="498"/>
      <c r="Y516" s="498"/>
      <c r="Z516" s="462">
        <f t="shared" si="182"/>
        <v>193.46</v>
      </c>
      <c r="AA516" s="462">
        <f t="shared" si="183"/>
        <v>3854.94</v>
      </c>
      <c r="AB516" s="489">
        <v>1000</v>
      </c>
      <c r="AF516"/>
      <c r="AG516"/>
      <c r="AH516"/>
    </row>
    <row r="517" spans="1:34" s="507" customFormat="1">
      <c r="A517" s="456">
        <v>3</v>
      </c>
      <c r="B517" s="457" t="s">
        <v>1001</v>
      </c>
      <c r="C517" s="497">
        <v>9901443926</v>
      </c>
      <c r="D517" s="459" t="s">
        <v>1002</v>
      </c>
      <c r="E517" s="460" t="s">
        <v>1175</v>
      </c>
      <c r="F517" s="461">
        <v>31</v>
      </c>
      <c r="G517" s="498">
        <v>71.400000000000006</v>
      </c>
      <c r="H517" s="462">
        <f t="shared" si="172"/>
        <v>2213.4</v>
      </c>
      <c r="I517" s="462">
        <f t="shared" si="173"/>
        <v>8568</v>
      </c>
      <c r="J517" s="463">
        <v>4</v>
      </c>
      <c r="K517" s="533">
        <v>35</v>
      </c>
      <c r="L517" s="462">
        <f t="shared" si="174"/>
        <v>1760</v>
      </c>
      <c r="M517" s="462">
        <v>1510</v>
      </c>
      <c r="N517" s="462">
        <v>250</v>
      </c>
      <c r="O517" s="462">
        <f t="shared" si="175"/>
        <v>4008.4</v>
      </c>
      <c r="P517" s="488">
        <f t="shared" si="176"/>
        <v>1229</v>
      </c>
      <c r="Q517" s="489">
        <f t="shared" si="177"/>
        <v>1212.1643835616437</v>
      </c>
      <c r="R517" s="489">
        <f t="shared" si="178"/>
        <v>65.753424657534239</v>
      </c>
      <c r="S517" s="490">
        <f t="shared" si="179"/>
        <v>15748</v>
      </c>
      <c r="T517" s="490">
        <f t="shared" si="180"/>
        <v>18254.917808219179</v>
      </c>
      <c r="U517" s="491">
        <f t="shared" si="181"/>
        <v>181.53</v>
      </c>
      <c r="V517" s="498"/>
      <c r="W517" s="498">
        <v>10</v>
      </c>
      <c r="X517" s="498"/>
      <c r="Y517" s="498"/>
      <c r="Z517" s="462">
        <f t="shared" si="182"/>
        <v>191.53</v>
      </c>
      <c r="AA517" s="462">
        <f t="shared" si="183"/>
        <v>3816.87</v>
      </c>
      <c r="AB517" s="489">
        <v>1000</v>
      </c>
      <c r="AF517"/>
      <c r="AG517"/>
      <c r="AH517"/>
    </row>
    <row r="518" spans="1:34" s="507" customFormat="1">
      <c r="A518" s="456">
        <v>4</v>
      </c>
      <c r="B518" s="466" t="s">
        <v>1003</v>
      </c>
      <c r="C518" s="497">
        <v>9901443340</v>
      </c>
      <c r="D518" s="459" t="s">
        <v>1004</v>
      </c>
      <c r="E518" s="460" t="s">
        <v>1175</v>
      </c>
      <c r="F518" s="461">
        <v>31</v>
      </c>
      <c r="G518" s="498">
        <v>71.400000000000006</v>
      </c>
      <c r="H518" s="462">
        <f t="shared" si="172"/>
        <v>2213.4</v>
      </c>
      <c r="I518" s="462">
        <f t="shared" si="173"/>
        <v>8568</v>
      </c>
      <c r="J518" s="463">
        <v>4</v>
      </c>
      <c r="K518" s="534">
        <v>75</v>
      </c>
      <c r="L518" s="462">
        <f t="shared" si="174"/>
        <v>1760</v>
      </c>
      <c r="M518" s="462">
        <v>1510</v>
      </c>
      <c r="N518" s="462">
        <v>250</v>
      </c>
      <c r="O518" s="462">
        <f t="shared" si="175"/>
        <v>4048.4</v>
      </c>
      <c r="P518" s="488">
        <f t="shared" si="176"/>
        <v>1242.3333333333333</v>
      </c>
      <c r="Q518" s="489">
        <f t="shared" si="177"/>
        <v>1225.3150684931506</v>
      </c>
      <c r="R518" s="489">
        <f t="shared" si="178"/>
        <v>65.753424657534239</v>
      </c>
      <c r="S518" s="490">
        <f t="shared" si="179"/>
        <v>15908</v>
      </c>
      <c r="T518" s="490">
        <f t="shared" si="180"/>
        <v>18441.401826484016</v>
      </c>
      <c r="U518" s="491">
        <f t="shared" si="181"/>
        <v>183.46</v>
      </c>
      <c r="V518" s="498"/>
      <c r="W518" s="498">
        <v>10</v>
      </c>
      <c r="X518" s="498"/>
      <c r="Y518" s="498"/>
      <c r="Z518" s="462">
        <f t="shared" si="182"/>
        <v>193.46</v>
      </c>
      <c r="AA518" s="462">
        <f t="shared" si="183"/>
        <v>3854.94</v>
      </c>
      <c r="AB518" s="489">
        <v>1000</v>
      </c>
      <c r="AF518"/>
      <c r="AG518"/>
      <c r="AH518"/>
    </row>
    <row r="519" spans="1:34" s="507" customFormat="1">
      <c r="A519" s="456">
        <v>5</v>
      </c>
      <c r="B519" s="466" t="s">
        <v>1005</v>
      </c>
      <c r="C519" s="497">
        <v>9901442291</v>
      </c>
      <c r="D519" s="459" t="s">
        <v>1006</v>
      </c>
      <c r="E519" s="460" t="s">
        <v>1175</v>
      </c>
      <c r="F519" s="461">
        <v>31</v>
      </c>
      <c r="G519" s="498">
        <v>71.400000000000006</v>
      </c>
      <c r="H519" s="462">
        <f t="shared" si="172"/>
        <v>2213.4</v>
      </c>
      <c r="I519" s="462">
        <f t="shared" si="173"/>
        <v>8568</v>
      </c>
      <c r="J519" s="463">
        <v>4</v>
      </c>
      <c r="K519" s="534">
        <v>75</v>
      </c>
      <c r="L519" s="462">
        <f t="shared" si="174"/>
        <v>1760</v>
      </c>
      <c r="M519" s="462">
        <v>1510</v>
      </c>
      <c r="N519" s="462">
        <v>250</v>
      </c>
      <c r="O519" s="462">
        <f t="shared" si="175"/>
        <v>4048.4</v>
      </c>
      <c r="P519" s="488">
        <f t="shared" si="176"/>
        <v>1242.3333333333333</v>
      </c>
      <c r="Q519" s="489">
        <f t="shared" si="177"/>
        <v>1225.3150684931506</v>
      </c>
      <c r="R519" s="489">
        <f t="shared" si="178"/>
        <v>65.753424657534239</v>
      </c>
      <c r="S519" s="490">
        <f t="shared" si="179"/>
        <v>15908</v>
      </c>
      <c r="T519" s="490">
        <f t="shared" si="180"/>
        <v>18441.401826484016</v>
      </c>
      <c r="U519" s="491">
        <f t="shared" si="181"/>
        <v>183.46</v>
      </c>
      <c r="V519" s="498"/>
      <c r="W519" s="498">
        <v>10</v>
      </c>
      <c r="X519" s="498"/>
      <c r="Y519" s="498">
        <v>1376.63</v>
      </c>
      <c r="Z519" s="462">
        <f t="shared" si="182"/>
        <v>1570.0900000000001</v>
      </c>
      <c r="AA519" s="462">
        <f t="shared" si="183"/>
        <v>2478.31</v>
      </c>
      <c r="AB519" s="489">
        <v>1000</v>
      </c>
      <c r="AF519"/>
      <c r="AG519"/>
      <c r="AH519"/>
    </row>
    <row r="520" spans="1:34" s="507" customFormat="1">
      <c r="A520" s="456">
        <v>6</v>
      </c>
      <c r="B520" s="457" t="s">
        <v>1007</v>
      </c>
      <c r="C520" s="497">
        <v>9901442335</v>
      </c>
      <c r="D520" s="459" t="s">
        <v>1008</v>
      </c>
      <c r="E520" s="460" t="s">
        <v>1175</v>
      </c>
      <c r="F520" s="461">
        <v>31</v>
      </c>
      <c r="G520" s="498">
        <v>71.400000000000006</v>
      </c>
      <c r="H520" s="462">
        <f t="shared" si="172"/>
        <v>2213.4</v>
      </c>
      <c r="I520" s="462">
        <f t="shared" si="173"/>
        <v>8568</v>
      </c>
      <c r="J520" s="463">
        <v>4</v>
      </c>
      <c r="K520" s="534">
        <v>75</v>
      </c>
      <c r="L520" s="462">
        <f t="shared" si="174"/>
        <v>1760</v>
      </c>
      <c r="M520" s="462">
        <v>1510</v>
      </c>
      <c r="N520" s="462">
        <v>250</v>
      </c>
      <c r="O520" s="462">
        <f t="shared" si="175"/>
        <v>4048.4</v>
      </c>
      <c r="P520" s="488">
        <f t="shared" si="176"/>
        <v>1242.3333333333333</v>
      </c>
      <c r="Q520" s="489">
        <f t="shared" si="177"/>
        <v>1225.3150684931506</v>
      </c>
      <c r="R520" s="489">
        <f t="shared" si="178"/>
        <v>65.753424657534239</v>
      </c>
      <c r="S520" s="490">
        <f t="shared" si="179"/>
        <v>15908</v>
      </c>
      <c r="T520" s="490">
        <f t="shared" si="180"/>
        <v>18441.401826484016</v>
      </c>
      <c r="U520" s="491">
        <f t="shared" si="181"/>
        <v>183.46</v>
      </c>
      <c r="V520" s="498"/>
      <c r="W520" s="498">
        <v>10</v>
      </c>
      <c r="X520" s="498"/>
      <c r="Y520" s="498"/>
      <c r="Z520" s="462">
        <f t="shared" si="182"/>
        <v>193.46</v>
      </c>
      <c r="AA520" s="462">
        <f t="shared" si="183"/>
        <v>3854.94</v>
      </c>
      <c r="AB520" s="489">
        <v>1000</v>
      </c>
      <c r="AF520"/>
      <c r="AG520"/>
      <c r="AH520"/>
    </row>
    <row r="521" spans="1:34" s="507" customFormat="1">
      <c r="A521" s="456">
        <v>7</v>
      </c>
      <c r="B521" s="457" t="s">
        <v>1009</v>
      </c>
      <c r="C521" s="497">
        <v>9901443840</v>
      </c>
      <c r="D521" s="459" t="s">
        <v>1010</v>
      </c>
      <c r="E521" s="460" t="s">
        <v>1175</v>
      </c>
      <c r="F521" s="461">
        <v>31</v>
      </c>
      <c r="G521" s="498">
        <v>71.400000000000006</v>
      </c>
      <c r="H521" s="462">
        <f t="shared" si="172"/>
        <v>2213.4</v>
      </c>
      <c r="I521" s="462">
        <f t="shared" si="173"/>
        <v>8568</v>
      </c>
      <c r="J521" s="463">
        <v>4</v>
      </c>
      <c r="K521" s="534">
        <v>50</v>
      </c>
      <c r="L521" s="462">
        <f t="shared" si="174"/>
        <v>1760</v>
      </c>
      <c r="M521" s="462">
        <v>1510</v>
      </c>
      <c r="N521" s="462">
        <v>250</v>
      </c>
      <c r="O521" s="462">
        <f t="shared" si="175"/>
        <v>4023.4</v>
      </c>
      <c r="P521" s="488">
        <f t="shared" si="176"/>
        <v>1234</v>
      </c>
      <c r="Q521" s="489">
        <f t="shared" si="177"/>
        <v>1217.0958904109589</v>
      </c>
      <c r="R521" s="489">
        <f t="shared" si="178"/>
        <v>65.753424657534239</v>
      </c>
      <c r="S521" s="490">
        <f t="shared" si="179"/>
        <v>15808</v>
      </c>
      <c r="T521" s="490">
        <f t="shared" si="180"/>
        <v>18324.849315068492</v>
      </c>
      <c r="U521" s="491">
        <f t="shared" si="181"/>
        <v>182.26</v>
      </c>
      <c r="V521" s="498"/>
      <c r="W521" s="498">
        <v>10</v>
      </c>
      <c r="X521" s="498"/>
      <c r="Y521" s="498"/>
      <c r="Z521" s="462">
        <f t="shared" si="182"/>
        <v>192.26</v>
      </c>
      <c r="AA521" s="462">
        <f t="shared" si="183"/>
        <v>3831.1400000000003</v>
      </c>
      <c r="AB521" s="489">
        <v>1000</v>
      </c>
      <c r="AF521"/>
      <c r="AG521"/>
      <c r="AH521"/>
    </row>
    <row r="522" spans="1:34" s="507" customFormat="1">
      <c r="A522" s="456">
        <v>8</v>
      </c>
      <c r="B522" s="466" t="s">
        <v>1011</v>
      </c>
      <c r="C522" s="497">
        <v>9901443615</v>
      </c>
      <c r="D522" s="459" t="s">
        <v>1012</v>
      </c>
      <c r="E522" s="460" t="s">
        <v>1175</v>
      </c>
      <c r="F522" s="461">
        <v>31</v>
      </c>
      <c r="G522" s="498">
        <v>71.400000000000006</v>
      </c>
      <c r="H522" s="462">
        <f t="shared" si="172"/>
        <v>2213.4</v>
      </c>
      <c r="I522" s="462">
        <f t="shared" si="173"/>
        <v>8568</v>
      </c>
      <c r="J522" s="463">
        <v>4</v>
      </c>
      <c r="K522" s="533">
        <v>35</v>
      </c>
      <c r="L522" s="462">
        <f t="shared" si="174"/>
        <v>1760</v>
      </c>
      <c r="M522" s="462">
        <v>1510</v>
      </c>
      <c r="N522" s="462">
        <v>250</v>
      </c>
      <c r="O522" s="462">
        <f t="shared" si="175"/>
        <v>4008.4</v>
      </c>
      <c r="P522" s="488">
        <f t="shared" si="176"/>
        <v>1229</v>
      </c>
      <c r="Q522" s="489">
        <f t="shared" si="177"/>
        <v>1212.1643835616437</v>
      </c>
      <c r="R522" s="489">
        <f t="shared" si="178"/>
        <v>65.753424657534239</v>
      </c>
      <c r="S522" s="490">
        <f t="shared" si="179"/>
        <v>15748</v>
      </c>
      <c r="T522" s="490">
        <f t="shared" si="180"/>
        <v>18254.917808219179</v>
      </c>
      <c r="U522" s="491">
        <f t="shared" si="181"/>
        <v>181.53</v>
      </c>
      <c r="V522" s="498">
        <f>(O522-N522)*11%</f>
        <v>413.42400000000004</v>
      </c>
      <c r="W522" s="498">
        <v>10</v>
      </c>
      <c r="X522" s="498"/>
      <c r="Y522" s="498"/>
      <c r="Z522" s="462">
        <f t="shared" si="182"/>
        <v>604.95400000000006</v>
      </c>
      <c r="AA522" s="462">
        <f t="shared" si="183"/>
        <v>3403.4459999999999</v>
      </c>
      <c r="AB522" s="489">
        <v>1000</v>
      </c>
      <c r="AF522"/>
      <c r="AG522"/>
      <c r="AH522"/>
    </row>
    <row r="523" spans="1:34" s="507" customFormat="1">
      <c r="A523" s="456">
        <v>9</v>
      </c>
      <c r="B523" s="457" t="s">
        <v>1013</v>
      </c>
      <c r="C523" s="497">
        <v>9901443819</v>
      </c>
      <c r="D523" s="459" t="s">
        <v>1014</v>
      </c>
      <c r="E523" s="460" t="s">
        <v>1175</v>
      </c>
      <c r="F523" s="461">
        <v>31</v>
      </c>
      <c r="G523" s="498">
        <v>71.400000000000006</v>
      </c>
      <c r="H523" s="462">
        <f t="shared" si="172"/>
        <v>2213.4</v>
      </c>
      <c r="I523" s="462">
        <f t="shared" si="173"/>
        <v>8568</v>
      </c>
      <c r="J523" s="463">
        <v>4</v>
      </c>
      <c r="K523" s="534">
        <v>50</v>
      </c>
      <c r="L523" s="462">
        <f t="shared" si="174"/>
        <v>1760</v>
      </c>
      <c r="M523" s="462">
        <v>1510</v>
      </c>
      <c r="N523" s="462">
        <v>250</v>
      </c>
      <c r="O523" s="462">
        <f t="shared" si="175"/>
        <v>4023.4</v>
      </c>
      <c r="P523" s="488">
        <f t="shared" si="176"/>
        <v>1234</v>
      </c>
      <c r="Q523" s="489">
        <f t="shared" si="177"/>
        <v>1217.0958904109589</v>
      </c>
      <c r="R523" s="489">
        <f t="shared" si="178"/>
        <v>65.753424657534239</v>
      </c>
      <c r="S523" s="490">
        <f t="shared" si="179"/>
        <v>15808</v>
      </c>
      <c r="T523" s="490">
        <f t="shared" si="180"/>
        <v>18324.849315068492</v>
      </c>
      <c r="U523" s="491">
        <f t="shared" si="181"/>
        <v>182.26</v>
      </c>
      <c r="V523" s="498"/>
      <c r="W523" s="498">
        <v>10</v>
      </c>
      <c r="X523" s="498"/>
      <c r="Y523" s="498"/>
      <c r="Z523" s="462">
        <f t="shared" si="182"/>
        <v>192.26</v>
      </c>
      <c r="AA523" s="462">
        <f t="shared" si="183"/>
        <v>3831.1400000000003</v>
      </c>
      <c r="AB523" s="489">
        <v>1000</v>
      </c>
      <c r="AF523"/>
      <c r="AG523"/>
      <c r="AH523"/>
    </row>
    <row r="524" spans="1:34" s="507" customFormat="1">
      <c r="A524" s="456">
        <v>10</v>
      </c>
      <c r="B524" s="457" t="s">
        <v>1015</v>
      </c>
      <c r="C524" s="497">
        <v>9901484077</v>
      </c>
      <c r="D524" s="459" t="s">
        <v>1016</v>
      </c>
      <c r="E524" s="460" t="s">
        <v>32</v>
      </c>
      <c r="F524" s="461">
        <v>31</v>
      </c>
      <c r="G524" s="498">
        <v>71.400000000000006</v>
      </c>
      <c r="H524" s="462">
        <f t="shared" si="172"/>
        <v>2213.4</v>
      </c>
      <c r="I524" s="462">
        <f t="shared" si="173"/>
        <v>8568</v>
      </c>
      <c r="J524" s="463">
        <v>4</v>
      </c>
      <c r="K524" s="534"/>
      <c r="L524" s="462">
        <f t="shared" si="174"/>
        <v>1760</v>
      </c>
      <c r="M524" s="462">
        <v>1510</v>
      </c>
      <c r="N524" s="462">
        <v>250</v>
      </c>
      <c r="O524" s="462">
        <f t="shared" si="175"/>
        <v>3973.4</v>
      </c>
      <c r="P524" s="488">
        <f t="shared" si="176"/>
        <v>1217.3333333333333</v>
      </c>
      <c r="Q524" s="489">
        <f t="shared" si="177"/>
        <v>1200.6575342465753</v>
      </c>
      <c r="R524" s="489">
        <f t="shared" si="178"/>
        <v>65.753424657534239</v>
      </c>
      <c r="S524" s="490">
        <f t="shared" si="179"/>
        <v>15608</v>
      </c>
      <c r="T524" s="490">
        <f t="shared" si="180"/>
        <v>18091.744292237443</v>
      </c>
      <c r="U524" s="491">
        <f t="shared" si="181"/>
        <v>179.84</v>
      </c>
      <c r="V524" s="498"/>
      <c r="W524" s="498"/>
      <c r="X524" s="498"/>
      <c r="Y524" s="498"/>
      <c r="Z524" s="462">
        <f t="shared" si="182"/>
        <v>179.84</v>
      </c>
      <c r="AA524" s="462">
        <f t="shared" si="183"/>
        <v>3793.56</v>
      </c>
      <c r="AB524" s="489">
        <v>1000</v>
      </c>
      <c r="AF524"/>
      <c r="AG524"/>
      <c r="AH524"/>
    </row>
    <row r="525" spans="1:34" s="507" customFormat="1">
      <c r="A525" s="456">
        <v>11</v>
      </c>
      <c r="B525" s="466" t="s">
        <v>1017</v>
      </c>
      <c r="C525" s="497">
        <v>9901443580</v>
      </c>
      <c r="D525" s="459" t="s">
        <v>1018</v>
      </c>
      <c r="E525" s="460" t="s">
        <v>35</v>
      </c>
      <c r="F525" s="461">
        <v>31</v>
      </c>
      <c r="G525" s="498">
        <v>71.400000000000006</v>
      </c>
      <c r="H525" s="462">
        <f t="shared" si="172"/>
        <v>2213.4</v>
      </c>
      <c r="I525" s="462">
        <f t="shared" si="173"/>
        <v>8568</v>
      </c>
      <c r="J525" s="463">
        <v>4</v>
      </c>
      <c r="K525" s="534"/>
      <c r="L525" s="462">
        <f t="shared" si="174"/>
        <v>1760</v>
      </c>
      <c r="M525" s="462">
        <v>1510</v>
      </c>
      <c r="N525" s="462">
        <v>250</v>
      </c>
      <c r="O525" s="462">
        <f t="shared" si="175"/>
        <v>3973.4</v>
      </c>
      <c r="P525" s="488">
        <f t="shared" si="176"/>
        <v>1217.3333333333333</v>
      </c>
      <c r="Q525" s="489">
        <f t="shared" si="177"/>
        <v>1200.6575342465753</v>
      </c>
      <c r="R525" s="489">
        <f t="shared" si="178"/>
        <v>65.753424657534239</v>
      </c>
      <c r="S525" s="490">
        <f t="shared" si="179"/>
        <v>15608</v>
      </c>
      <c r="T525" s="490">
        <f t="shared" si="180"/>
        <v>18091.744292237443</v>
      </c>
      <c r="U525" s="491">
        <f t="shared" si="181"/>
        <v>179.84</v>
      </c>
      <c r="V525" s="498"/>
      <c r="W525" s="498"/>
      <c r="X525" s="498"/>
      <c r="Y525" s="498"/>
      <c r="Z525" s="462">
        <f t="shared" si="182"/>
        <v>179.84</v>
      </c>
      <c r="AA525" s="462">
        <f t="shared" si="183"/>
        <v>3793.56</v>
      </c>
      <c r="AB525" s="489">
        <v>1000</v>
      </c>
      <c r="AF525"/>
      <c r="AG525"/>
      <c r="AH525"/>
    </row>
    <row r="526" spans="1:34" s="507" customFormat="1" ht="12">
      <c r="A526" s="456">
        <v>12</v>
      </c>
      <c r="B526" s="457" t="s">
        <v>1019</v>
      </c>
      <c r="C526" s="497">
        <v>9901443966</v>
      </c>
      <c r="D526" s="459" t="s">
        <v>1020</v>
      </c>
      <c r="E526" s="460" t="s">
        <v>1175</v>
      </c>
      <c r="F526" s="461">
        <v>31</v>
      </c>
      <c r="G526" s="498">
        <v>71.400000000000006</v>
      </c>
      <c r="H526" s="462">
        <f t="shared" si="172"/>
        <v>2213.4</v>
      </c>
      <c r="I526" s="462">
        <f t="shared" si="173"/>
        <v>8568</v>
      </c>
      <c r="J526" s="463">
        <v>4</v>
      </c>
      <c r="K526" s="534">
        <v>75</v>
      </c>
      <c r="L526" s="462">
        <f t="shared" si="174"/>
        <v>1760</v>
      </c>
      <c r="M526" s="462">
        <v>1510</v>
      </c>
      <c r="N526" s="462">
        <v>250</v>
      </c>
      <c r="O526" s="462">
        <f t="shared" si="175"/>
        <v>4048.4</v>
      </c>
      <c r="P526" s="488">
        <f t="shared" si="176"/>
        <v>1242.3333333333333</v>
      </c>
      <c r="Q526" s="489">
        <f t="shared" si="177"/>
        <v>1225.3150684931506</v>
      </c>
      <c r="R526" s="489">
        <f t="shared" si="178"/>
        <v>65.753424657534239</v>
      </c>
      <c r="S526" s="490">
        <f t="shared" si="179"/>
        <v>15908</v>
      </c>
      <c r="T526" s="490">
        <f t="shared" si="180"/>
        <v>18441.401826484016</v>
      </c>
      <c r="U526" s="491">
        <f t="shared" si="181"/>
        <v>183.46</v>
      </c>
      <c r="V526" s="498"/>
      <c r="W526" s="498">
        <v>10</v>
      </c>
      <c r="X526" s="498"/>
      <c r="Y526" s="498"/>
      <c r="Z526" s="462">
        <f t="shared" si="182"/>
        <v>193.46</v>
      </c>
      <c r="AA526" s="462">
        <f t="shared" si="183"/>
        <v>3854.94</v>
      </c>
      <c r="AB526" s="489">
        <v>1000</v>
      </c>
    </row>
    <row r="527" spans="1:34" s="507" customFormat="1" ht="12">
      <c r="A527" s="456">
        <v>13</v>
      </c>
      <c r="B527" s="466" t="s">
        <v>1021</v>
      </c>
      <c r="C527" s="497">
        <v>9901443591</v>
      </c>
      <c r="D527" s="459" t="s">
        <v>1022</v>
      </c>
      <c r="E527" s="460" t="s">
        <v>1175</v>
      </c>
      <c r="F527" s="461">
        <v>31</v>
      </c>
      <c r="G527" s="498">
        <v>71.400000000000006</v>
      </c>
      <c r="H527" s="462">
        <f t="shared" si="172"/>
        <v>2213.4</v>
      </c>
      <c r="I527" s="462">
        <f t="shared" si="173"/>
        <v>8568</v>
      </c>
      <c r="J527" s="463">
        <v>4</v>
      </c>
      <c r="K527" s="534">
        <f>75</f>
        <v>75</v>
      </c>
      <c r="L527" s="462">
        <f t="shared" si="174"/>
        <v>1760</v>
      </c>
      <c r="M527" s="462">
        <v>1510</v>
      </c>
      <c r="N527" s="462">
        <v>250</v>
      </c>
      <c r="O527" s="462">
        <f t="shared" si="175"/>
        <v>4048.4</v>
      </c>
      <c r="P527" s="488">
        <f t="shared" si="176"/>
        <v>1242.3333333333333</v>
      </c>
      <c r="Q527" s="489">
        <f t="shared" si="177"/>
        <v>1225.3150684931506</v>
      </c>
      <c r="R527" s="489">
        <f t="shared" si="178"/>
        <v>65.753424657534239</v>
      </c>
      <c r="S527" s="490">
        <f t="shared" si="179"/>
        <v>15908</v>
      </c>
      <c r="T527" s="490">
        <f t="shared" si="180"/>
        <v>18441.401826484016</v>
      </c>
      <c r="U527" s="491">
        <f t="shared" si="181"/>
        <v>183.46</v>
      </c>
      <c r="V527" s="498">
        <f>(O527-N527)*11%</f>
        <v>417.82400000000001</v>
      </c>
      <c r="W527" s="498">
        <v>10</v>
      </c>
      <c r="X527" s="498"/>
      <c r="Y527" s="498"/>
      <c r="Z527" s="462">
        <f t="shared" si="182"/>
        <v>611.28399999999999</v>
      </c>
      <c r="AA527" s="462">
        <f t="shared" si="183"/>
        <v>3437.116</v>
      </c>
      <c r="AB527" s="489">
        <v>1000</v>
      </c>
    </row>
    <row r="528" spans="1:34" s="507" customFormat="1" ht="12">
      <c r="A528" s="456">
        <v>14</v>
      </c>
      <c r="B528" s="457" t="s">
        <v>1023</v>
      </c>
      <c r="C528" s="497">
        <v>9901443400</v>
      </c>
      <c r="D528" s="459" t="s">
        <v>1024</v>
      </c>
      <c r="E528" s="460" t="s">
        <v>32</v>
      </c>
      <c r="F528" s="461">
        <v>31</v>
      </c>
      <c r="G528" s="498">
        <v>71.400000000000006</v>
      </c>
      <c r="H528" s="462">
        <f t="shared" si="172"/>
        <v>2213.4</v>
      </c>
      <c r="I528" s="462">
        <f t="shared" si="173"/>
        <v>8568</v>
      </c>
      <c r="J528" s="463">
        <v>4</v>
      </c>
      <c r="K528" s="534"/>
      <c r="L528" s="462">
        <f t="shared" si="174"/>
        <v>1760</v>
      </c>
      <c r="M528" s="462">
        <v>1510</v>
      </c>
      <c r="N528" s="462">
        <v>250</v>
      </c>
      <c r="O528" s="462">
        <f t="shared" si="175"/>
        <v>3973.4</v>
      </c>
      <c r="P528" s="488">
        <f t="shared" si="176"/>
        <v>1217.3333333333333</v>
      </c>
      <c r="Q528" s="489">
        <f t="shared" si="177"/>
        <v>1200.6575342465753</v>
      </c>
      <c r="R528" s="489">
        <f t="shared" si="178"/>
        <v>65.753424657534239</v>
      </c>
      <c r="S528" s="490">
        <f t="shared" si="179"/>
        <v>15608</v>
      </c>
      <c r="T528" s="490">
        <f t="shared" si="180"/>
        <v>18091.744292237443</v>
      </c>
      <c r="U528" s="491">
        <f t="shared" si="181"/>
        <v>179.84</v>
      </c>
      <c r="V528" s="498"/>
      <c r="W528" s="498">
        <v>10</v>
      </c>
      <c r="X528" s="498"/>
      <c r="Y528" s="498"/>
      <c r="Z528" s="462">
        <f t="shared" si="182"/>
        <v>189.84</v>
      </c>
      <c r="AA528" s="462">
        <f t="shared" si="183"/>
        <v>3783.56</v>
      </c>
      <c r="AB528" s="489">
        <v>1000</v>
      </c>
    </row>
    <row r="529" spans="1:29" s="507" customFormat="1" ht="12">
      <c r="A529" s="456">
        <v>15</v>
      </c>
      <c r="B529" s="457" t="s">
        <v>1025</v>
      </c>
      <c r="C529" s="497">
        <v>9901442336</v>
      </c>
      <c r="D529" s="459" t="s">
        <v>1026</v>
      </c>
      <c r="E529" s="460" t="s">
        <v>1175</v>
      </c>
      <c r="F529" s="461">
        <v>31</v>
      </c>
      <c r="G529" s="498">
        <v>71.400000000000006</v>
      </c>
      <c r="H529" s="462">
        <f t="shared" si="172"/>
        <v>2213.4</v>
      </c>
      <c r="I529" s="462">
        <f t="shared" si="173"/>
        <v>8568</v>
      </c>
      <c r="J529" s="463">
        <v>4</v>
      </c>
      <c r="K529" s="534">
        <v>75</v>
      </c>
      <c r="L529" s="462">
        <f t="shared" si="174"/>
        <v>1760</v>
      </c>
      <c r="M529" s="462">
        <v>1510</v>
      </c>
      <c r="N529" s="462">
        <v>250</v>
      </c>
      <c r="O529" s="462">
        <f t="shared" si="175"/>
        <v>4048.4</v>
      </c>
      <c r="P529" s="488">
        <f t="shared" si="176"/>
        <v>1242.3333333333333</v>
      </c>
      <c r="Q529" s="489">
        <f t="shared" si="177"/>
        <v>1225.3150684931506</v>
      </c>
      <c r="R529" s="489">
        <f t="shared" si="178"/>
        <v>65.753424657534239</v>
      </c>
      <c r="S529" s="490">
        <f t="shared" si="179"/>
        <v>15908</v>
      </c>
      <c r="T529" s="490">
        <f t="shared" si="180"/>
        <v>18441.401826484016</v>
      </c>
      <c r="U529" s="491">
        <f t="shared" si="181"/>
        <v>183.46</v>
      </c>
      <c r="V529" s="498"/>
      <c r="W529" s="498">
        <v>10</v>
      </c>
      <c r="X529" s="498"/>
      <c r="Y529" s="498"/>
      <c r="Z529" s="462">
        <f t="shared" si="182"/>
        <v>193.46</v>
      </c>
      <c r="AA529" s="462">
        <f t="shared" si="183"/>
        <v>3854.94</v>
      </c>
      <c r="AB529" s="489">
        <v>1000</v>
      </c>
    </row>
    <row r="530" spans="1:29" s="507" customFormat="1" ht="12">
      <c r="A530" s="456">
        <v>1</v>
      </c>
      <c r="B530" s="457" t="s">
        <v>1027</v>
      </c>
      <c r="C530" s="497">
        <v>9901443752</v>
      </c>
      <c r="D530" s="459" t="s">
        <v>1028</v>
      </c>
      <c r="E530" s="460" t="s">
        <v>32</v>
      </c>
      <c r="F530" s="461">
        <v>31</v>
      </c>
      <c r="G530" s="498">
        <v>71.400000000000006</v>
      </c>
      <c r="H530" s="462">
        <f t="shared" ref="H530:H546" si="184">+F530*G530</f>
        <v>2213.4</v>
      </c>
      <c r="I530" s="462">
        <f t="shared" ref="I530:I546" si="185">G530*120</f>
        <v>8568</v>
      </c>
      <c r="J530" s="463">
        <v>4</v>
      </c>
      <c r="K530" s="534">
        <v>75</v>
      </c>
      <c r="L530" s="462">
        <f t="shared" ref="L530:L546" si="186">M530+N530</f>
        <v>1760</v>
      </c>
      <c r="M530" s="462">
        <v>1510</v>
      </c>
      <c r="N530" s="462">
        <v>250</v>
      </c>
      <c r="O530" s="462">
        <f t="shared" ref="O530:O546" si="187">+H530+M530+N530+K530</f>
        <v>4048.4</v>
      </c>
      <c r="P530" s="488">
        <f t="shared" ref="P530:P546" si="188">(((G530*120)+(K530+M530)*4)/12)</f>
        <v>1242.3333333333333</v>
      </c>
      <c r="Q530" s="489">
        <f t="shared" ref="Q530:Q546" si="189">(((G530*30)+M530+K530)/365*120)</f>
        <v>1225.3150684931506</v>
      </c>
      <c r="R530" s="489">
        <f t="shared" ref="R530:R546" si="190">+(200/365)*120</f>
        <v>65.753424657534239</v>
      </c>
      <c r="S530" s="490">
        <f t="shared" ref="S530:S546" si="191">(((G530*120)+((K530+M530+N530)*4)))</f>
        <v>15908</v>
      </c>
      <c r="T530" s="490">
        <f t="shared" ref="T530:T546" si="192">+S530+R530+Q530+P530</f>
        <v>18441.401826484016</v>
      </c>
      <c r="U530" s="491">
        <f t="shared" ref="U530:U546" si="193">ROUND((((H530+K530+M530)*4.83)/100),2)</f>
        <v>183.46</v>
      </c>
      <c r="V530" s="498"/>
      <c r="W530" s="498">
        <v>10</v>
      </c>
      <c r="X530" s="498"/>
      <c r="Y530" s="498"/>
      <c r="Z530" s="462">
        <f t="shared" ref="Z530:Z546" si="194">V530+W530+X530+Y530+U530</f>
        <v>193.46</v>
      </c>
      <c r="AA530" s="462">
        <f t="shared" ref="AA530:AA546" si="195">+O530-Z530</f>
        <v>3854.94</v>
      </c>
      <c r="AB530" s="489">
        <v>1000</v>
      </c>
    </row>
    <row r="531" spans="1:29" s="507" customFormat="1" ht="12">
      <c r="A531" s="456">
        <v>2</v>
      </c>
      <c r="B531" s="457" t="s">
        <v>1029</v>
      </c>
      <c r="C531" s="497">
        <v>9901443401</v>
      </c>
      <c r="D531" s="459" t="s">
        <v>1030</v>
      </c>
      <c r="E531" s="460" t="s">
        <v>1175</v>
      </c>
      <c r="F531" s="461">
        <v>31</v>
      </c>
      <c r="G531" s="498">
        <v>71.400000000000006</v>
      </c>
      <c r="H531" s="462">
        <f t="shared" si="184"/>
        <v>2213.4</v>
      </c>
      <c r="I531" s="462">
        <f t="shared" si="185"/>
        <v>8568</v>
      </c>
      <c r="J531" s="463">
        <v>4</v>
      </c>
      <c r="K531" s="533">
        <v>35</v>
      </c>
      <c r="L531" s="462">
        <f t="shared" si="186"/>
        <v>1760</v>
      </c>
      <c r="M531" s="462">
        <v>1510</v>
      </c>
      <c r="N531" s="462">
        <v>250</v>
      </c>
      <c r="O531" s="462">
        <f t="shared" si="187"/>
        <v>4008.4</v>
      </c>
      <c r="P531" s="488">
        <f t="shared" si="188"/>
        <v>1229</v>
      </c>
      <c r="Q531" s="489">
        <f t="shared" si="189"/>
        <v>1212.1643835616437</v>
      </c>
      <c r="R531" s="489">
        <f t="shared" si="190"/>
        <v>65.753424657534239</v>
      </c>
      <c r="S531" s="490">
        <f t="shared" si="191"/>
        <v>15748</v>
      </c>
      <c r="T531" s="490">
        <f t="shared" si="192"/>
        <v>18254.917808219179</v>
      </c>
      <c r="U531" s="491">
        <f t="shared" si="193"/>
        <v>181.53</v>
      </c>
      <c r="V531" s="498"/>
      <c r="W531" s="498">
        <v>10</v>
      </c>
      <c r="X531" s="498"/>
      <c r="Y531" s="498"/>
      <c r="Z531" s="462">
        <f t="shared" si="194"/>
        <v>191.53</v>
      </c>
      <c r="AA531" s="462">
        <f t="shared" si="195"/>
        <v>3816.87</v>
      </c>
      <c r="AB531" s="489">
        <v>1000</v>
      </c>
    </row>
    <row r="532" spans="1:29" s="507" customFormat="1" ht="12">
      <c r="A532" s="456">
        <v>3</v>
      </c>
      <c r="B532" s="466" t="s">
        <v>1031</v>
      </c>
      <c r="C532" s="497">
        <v>9901442980</v>
      </c>
      <c r="D532" s="459" t="s">
        <v>1032</v>
      </c>
      <c r="E532" s="460" t="s">
        <v>52</v>
      </c>
      <c r="F532" s="461">
        <v>31</v>
      </c>
      <c r="G532" s="498">
        <v>72.540000000000006</v>
      </c>
      <c r="H532" s="462">
        <f t="shared" si="184"/>
        <v>2248.7400000000002</v>
      </c>
      <c r="I532" s="462">
        <f t="shared" si="185"/>
        <v>8704.8000000000011</v>
      </c>
      <c r="J532" s="463">
        <v>4</v>
      </c>
      <c r="K532" s="534">
        <v>75</v>
      </c>
      <c r="L532" s="462">
        <f t="shared" si="186"/>
        <v>1760</v>
      </c>
      <c r="M532" s="462">
        <v>1510</v>
      </c>
      <c r="N532" s="462">
        <v>250</v>
      </c>
      <c r="O532" s="462">
        <f t="shared" si="187"/>
        <v>4083.7400000000002</v>
      </c>
      <c r="P532" s="488">
        <f t="shared" si="188"/>
        <v>1253.7333333333333</v>
      </c>
      <c r="Q532" s="489">
        <f t="shared" si="189"/>
        <v>1236.5589041095891</v>
      </c>
      <c r="R532" s="489">
        <f t="shared" si="190"/>
        <v>65.753424657534239</v>
      </c>
      <c r="S532" s="490">
        <f t="shared" si="191"/>
        <v>16044.800000000001</v>
      </c>
      <c r="T532" s="490">
        <f t="shared" si="192"/>
        <v>18600.845662100459</v>
      </c>
      <c r="U532" s="491">
        <f t="shared" si="193"/>
        <v>185.17</v>
      </c>
      <c r="V532" s="498"/>
      <c r="W532" s="498">
        <v>10</v>
      </c>
      <c r="X532" s="498"/>
      <c r="Y532" s="498"/>
      <c r="Z532" s="462">
        <f t="shared" si="194"/>
        <v>195.17</v>
      </c>
      <c r="AA532" s="462">
        <f t="shared" si="195"/>
        <v>3888.57</v>
      </c>
      <c r="AB532" s="489">
        <v>1000</v>
      </c>
      <c r="AC532" s="567"/>
    </row>
    <row r="533" spans="1:29" s="507" customFormat="1" ht="12">
      <c r="A533" s="456">
        <v>4</v>
      </c>
      <c r="B533" s="457" t="s">
        <v>1033</v>
      </c>
      <c r="C533" s="497">
        <v>9901442926</v>
      </c>
      <c r="D533" s="459" t="s">
        <v>1034</v>
      </c>
      <c r="E533" s="460" t="s">
        <v>44</v>
      </c>
      <c r="F533" s="461">
        <v>31</v>
      </c>
      <c r="G533" s="498">
        <v>72.540000000000006</v>
      </c>
      <c r="H533" s="462">
        <f t="shared" si="184"/>
        <v>2248.7400000000002</v>
      </c>
      <c r="I533" s="462">
        <f t="shared" si="185"/>
        <v>8704.8000000000011</v>
      </c>
      <c r="J533" s="463">
        <v>4</v>
      </c>
      <c r="K533" s="534">
        <v>50</v>
      </c>
      <c r="L533" s="462">
        <f t="shared" si="186"/>
        <v>1760</v>
      </c>
      <c r="M533" s="462">
        <v>1510</v>
      </c>
      <c r="N533" s="462">
        <v>250</v>
      </c>
      <c r="O533" s="462">
        <f t="shared" si="187"/>
        <v>4058.7400000000002</v>
      </c>
      <c r="P533" s="488">
        <f t="shared" si="188"/>
        <v>1245.4000000000001</v>
      </c>
      <c r="Q533" s="489">
        <f t="shared" si="189"/>
        <v>1228.3397260273973</v>
      </c>
      <c r="R533" s="489">
        <f t="shared" si="190"/>
        <v>65.753424657534239</v>
      </c>
      <c r="S533" s="490">
        <f t="shared" si="191"/>
        <v>15944.800000000001</v>
      </c>
      <c r="T533" s="490">
        <f t="shared" si="192"/>
        <v>18484.293150684935</v>
      </c>
      <c r="U533" s="491">
        <f t="shared" si="193"/>
        <v>183.96</v>
      </c>
      <c r="V533" s="498">
        <f>(O533-N533)*11%</f>
        <v>418.96140000000003</v>
      </c>
      <c r="W533" s="498">
        <v>10</v>
      </c>
      <c r="X533" s="498"/>
      <c r="Y533" s="498"/>
      <c r="Z533" s="462">
        <f t="shared" si="194"/>
        <v>612.92140000000006</v>
      </c>
      <c r="AA533" s="462">
        <f t="shared" si="195"/>
        <v>3445.8186000000001</v>
      </c>
      <c r="AB533" s="489">
        <v>1000</v>
      </c>
    </row>
    <row r="534" spans="1:29" s="507" customFormat="1" ht="12">
      <c r="A534" s="456">
        <v>5</v>
      </c>
      <c r="B534" s="457" t="s">
        <v>1035</v>
      </c>
      <c r="C534" s="497">
        <v>9901442736</v>
      </c>
      <c r="D534" s="459" t="s">
        <v>1036</v>
      </c>
      <c r="E534" s="460" t="s">
        <v>1175</v>
      </c>
      <c r="F534" s="461">
        <v>31</v>
      </c>
      <c r="G534" s="498">
        <v>71.400000000000006</v>
      </c>
      <c r="H534" s="462">
        <f t="shared" si="184"/>
        <v>2213.4</v>
      </c>
      <c r="I534" s="462">
        <f t="shared" si="185"/>
        <v>8568</v>
      </c>
      <c r="J534" s="463">
        <v>4</v>
      </c>
      <c r="K534" s="534">
        <v>75</v>
      </c>
      <c r="L534" s="462">
        <f t="shared" si="186"/>
        <v>1760</v>
      </c>
      <c r="M534" s="462">
        <v>1510</v>
      </c>
      <c r="N534" s="462">
        <v>250</v>
      </c>
      <c r="O534" s="462">
        <f t="shared" si="187"/>
        <v>4048.4</v>
      </c>
      <c r="P534" s="488">
        <f t="shared" si="188"/>
        <v>1242.3333333333333</v>
      </c>
      <c r="Q534" s="489">
        <f t="shared" si="189"/>
        <v>1225.3150684931506</v>
      </c>
      <c r="R534" s="489">
        <f t="shared" si="190"/>
        <v>65.753424657534239</v>
      </c>
      <c r="S534" s="490">
        <f t="shared" si="191"/>
        <v>15908</v>
      </c>
      <c r="T534" s="490">
        <f t="shared" si="192"/>
        <v>18441.401826484016</v>
      </c>
      <c r="U534" s="491">
        <f t="shared" si="193"/>
        <v>183.46</v>
      </c>
      <c r="V534" s="498"/>
      <c r="W534" s="498">
        <v>10</v>
      </c>
      <c r="X534" s="498"/>
      <c r="Y534" s="498"/>
      <c r="Z534" s="462">
        <f t="shared" si="194"/>
        <v>193.46</v>
      </c>
      <c r="AA534" s="462">
        <f t="shared" si="195"/>
        <v>3854.94</v>
      </c>
      <c r="AB534" s="489">
        <v>1000</v>
      </c>
    </row>
    <row r="535" spans="1:29" s="507" customFormat="1" ht="12">
      <c r="A535" s="456">
        <v>6</v>
      </c>
      <c r="B535" s="466" t="s">
        <v>1037</v>
      </c>
      <c r="C535" s="497">
        <v>9901451282</v>
      </c>
      <c r="D535" s="459" t="s">
        <v>1038</v>
      </c>
      <c r="E535" s="460" t="s">
        <v>44</v>
      </c>
      <c r="F535" s="461">
        <v>31</v>
      </c>
      <c r="G535" s="498">
        <v>72.540000000000006</v>
      </c>
      <c r="H535" s="462">
        <f t="shared" si="184"/>
        <v>2248.7400000000002</v>
      </c>
      <c r="I535" s="462">
        <f t="shared" si="185"/>
        <v>8704.8000000000011</v>
      </c>
      <c r="J535" s="463">
        <v>4</v>
      </c>
      <c r="K535" s="534">
        <v>75</v>
      </c>
      <c r="L535" s="462">
        <f t="shared" si="186"/>
        <v>1760</v>
      </c>
      <c r="M535" s="462">
        <v>1510</v>
      </c>
      <c r="N535" s="462">
        <v>250</v>
      </c>
      <c r="O535" s="462">
        <f t="shared" si="187"/>
        <v>4083.7400000000002</v>
      </c>
      <c r="P535" s="488">
        <f t="shared" si="188"/>
        <v>1253.7333333333333</v>
      </c>
      <c r="Q535" s="489">
        <f t="shared" si="189"/>
        <v>1236.5589041095891</v>
      </c>
      <c r="R535" s="489">
        <f t="shared" si="190"/>
        <v>65.753424657534239</v>
      </c>
      <c r="S535" s="490">
        <f t="shared" si="191"/>
        <v>16044.800000000001</v>
      </c>
      <c r="T535" s="490">
        <f t="shared" si="192"/>
        <v>18600.845662100459</v>
      </c>
      <c r="U535" s="491">
        <f t="shared" si="193"/>
        <v>185.17</v>
      </c>
      <c r="V535" s="498"/>
      <c r="W535" s="498">
        <v>10</v>
      </c>
      <c r="X535" s="498"/>
      <c r="Y535" s="498"/>
      <c r="Z535" s="462">
        <f t="shared" si="194"/>
        <v>195.17</v>
      </c>
      <c r="AA535" s="462">
        <f t="shared" si="195"/>
        <v>3888.57</v>
      </c>
      <c r="AB535" s="489">
        <v>1000</v>
      </c>
    </row>
    <row r="536" spans="1:29" s="507" customFormat="1" ht="12">
      <c r="A536" s="456">
        <v>7</v>
      </c>
      <c r="B536" s="457" t="s">
        <v>1039</v>
      </c>
      <c r="C536" s="497">
        <v>9901442591</v>
      </c>
      <c r="D536" s="459" t="s">
        <v>1040</v>
      </c>
      <c r="E536" s="460" t="s">
        <v>32</v>
      </c>
      <c r="F536" s="461">
        <v>31</v>
      </c>
      <c r="G536" s="498">
        <v>71.400000000000006</v>
      </c>
      <c r="H536" s="462">
        <f t="shared" si="184"/>
        <v>2213.4</v>
      </c>
      <c r="I536" s="462">
        <f t="shared" si="185"/>
        <v>8568</v>
      </c>
      <c r="J536" s="463">
        <v>4</v>
      </c>
      <c r="K536" s="534">
        <v>75</v>
      </c>
      <c r="L536" s="462">
        <f t="shared" si="186"/>
        <v>1760</v>
      </c>
      <c r="M536" s="462">
        <v>1510</v>
      </c>
      <c r="N536" s="462">
        <v>250</v>
      </c>
      <c r="O536" s="462">
        <f t="shared" si="187"/>
        <v>4048.4</v>
      </c>
      <c r="P536" s="488">
        <f t="shared" si="188"/>
        <v>1242.3333333333333</v>
      </c>
      <c r="Q536" s="489">
        <f t="shared" si="189"/>
        <v>1225.3150684931506</v>
      </c>
      <c r="R536" s="489">
        <f t="shared" si="190"/>
        <v>65.753424657534239</v>
      </c>
      <c r="S536" s="490">
        <f t="shared" si="191"/>
        <v>15908</v>
      </c>
      <c r="T536" s="490">
        <f t="shared" si="192"/>
        <v>18441.401826484016</v>
      </c>
      <c r="U536" s="491">
        <f t="shared" si="193"/>
        <v>183.46</v>
      </c>
      <c r="V536" s="498"/>
      <c r="W536" s="498">
        <v>10</v>
      </c>
      <c r="X536" s="498"/>
      <c r="Y536" s="498"/>
      <c r="Z536" s="462">
        <f t="shared" si="194"/>
        <v>193.46</v>
      </c>
      <c r="AA536" s="462">
        <f t="shared" si="195"/>
        <v>3854.94</v>
      </c>
      <c r="AB536" s="489">
        <v>1000</v>
      </c>
    </row>
    <row r="537" spans="1:29" s="507" customFormat="1" ht="12" customHeight="1">
      <c r="A537" s="456">
        <v>8</v>
      </c>
      <c r="B537" s="457" t="s">
        <v>1041</v>
      </c>
      <c r="C537" s="497">
        <v>9901442590</v>
      </c>
      <c r="D537" s="459" t="s">
        <v>1042</v>
      </c>
      <c r="E537" s="460" t="s">
        <v>32</v>
      </c>
      <c r="F537" s="461">
        <v>31</v>
      </c>
      <c r="G537" s="498">
        <v>71.400000000000006</v>
      </c>
      <c r="H537" s="462">
        <f t="shared" si="184"/>
        <v>2213.4</v>
      </c>
      <c r="I537" s="462">
        <f t="shared" si="185"/>
        <v>8568</v>
      </c>
      <c r="J537" s="463">
        <v>4</v>
      </c>
      <c r="K537" s="534">
        <v>75</v>
      </c>
      <c r="L537" s="462">
        <f t="shared" si="186"/>
        <v>1760</v>
      </c>
      <c r="M537" s="462">
        <v>1510</v>
      </c>
      <c r="N537" s="462">
        <v>250</v>
      </c>
      <c r="O537" s="462">
        <f t="shared" si="187"/>
        <v>4048.4</v>
      </c>
      <c r="P537" s="488">
        <f t="shared" si="188"/>
        <v>1242.3333333333333</v>
      </c>
      <c r="Q537" s="489">
        <f t="shared" si="189"/>
        <v>1225.3150684931506</v>
      </c>
      <c r="R537" s="489">
        <f t="shared" si="190"/>
        <v>65.753424657534239</v>
      </c>
      <c r="S537" s="490">
        <f t="shared" si="191"/>
        <v>15908</v>
      </c>
      <c r="T537" s="490">
        <f t="shared" si="192"/>
        <v>18441.401826484016</v>
      </c>
      <c r="U537" s="491">
        <f t="shared" si="193"/>
        <v>183.46</v>
      </c>
      <c r="V537" s="498"/>
      <c r="W537" s="498">
        <v>10</v>
      </c>
      <c r="X537" s="498"/>
      <c r="Y537" s="498"/>
      <c r="Z537" s="462">
        <f t="shared" si="194"/>
        <v>193.46</v>
      </c>
      <c r="AA537" s="462">
        <f t="shared" si="195"/>
        <v>3854.94</v>
      </c>
      <c r="AB537" s="489">
        <v>1000</v>
      </c>
    </row>
    <row r="538" spans="1:29" s="507" customFormat="1" ht="12">
      <c r="A538" s="456">
        <v>9</v>
      </c>
      <c r="B538" s="457" t="s">
        <v>1043</v>
      </c>
      <c r="C538" s="497">
        <v>9901442593</v>
      </c>
      <c r="D538" s="459" t="s">
        <v>1044</v>
      </c>
      <c r="E538" s="460" t="s">
        <v>1175</v>
      </c>
      <c r="F538" s="461">
        <v>31</v>
      </c>
      <c r="G538" s="498">
        <v>71.400000000000006</v>
      </c>
      <c r="H538" s="462">
        <f t="shared" si="184"/>
        <v>2213.4</v>
      </c>
      <c r="I538" s="462">
        <f t="shared" si="185"/>
        <v>8568</v>
      </c>
      <c r="J538" s="463">
        <v>4</v>
      </c>
      <c r="K538" s="534">
        <v>75</v>
      </c>
      <c r="L538" s="462">
        <f t="shared" si="186"/>
        <v>1760</v>
      </c>
      <c r="M538" s="462">
        <v>1510</v>
      </c>
      <c r="N538" s="462">
        <v>250</v>
      </c>
      <c r="O538" s="462">
        <f t="shared" si="187"/>
        <v>4048.4</v>
      </c>
      <c r="P538" s="488">
        <f t="shared" si="188"/>
        <v>1242.3333333333333</v>
      </c>
      <c r="Q538" s="489">
        <f t="shared" si="189"/>
        <v>1225.3150684931506</v>
      </c>
      <c r="R538" s="489">
        <f t="shared" si="190"/>
        <v>65.753424657534239</v>
      </c>
      <c r="S538" s="490">
        <f t="shared" si="191"/>
        <v>15908</v>
      </c>
      <c r="T538" s="490">
        <f t="shared" si="192"/>
        <v>18441.401826484016</v>
      </c>
      <c r="U538" s="491">
        <f t="shared" si="193"/>
        <v>183.46</v>
      </c>
      <c r="V538" s="498"/>
      <c r="W538" s="498">
        <v>10</v>
      </c>
      <c r="X538" s="498"/>
      <c r="Y538" s="498"/>
      <c r="Z538" s="462">
        <f t="shared" si="194"/>
        <v>193.46</v>
      </c>
      <c r="AA538" s="462">
        <f t="shared" si="195"/>
        <v>3854.94</v>
      </c>
      <c r="AB538" s="489">
        <v>1000</v>
      </c>
    </row>
    <row r="539" spans="1:29" s="507" customFormat="1" ht="12">
      <c r="A539" s="456">
        <v>10</v>
      </c>
      <c r="B539" s="466" t="s">
        <v>1045</v>
      </c>
      <c r="C539" s="497">
        <v>9901442924</v>
      </c>
      <c r="D539" s="459" t="s">
        <v>1046</v>
      </c>
      <c r="E539" s="460" t="s">
        <v>32</v>
      </c>
      <c r="F539" s="461">
        <v>31</v>
      </c>
      <c r="G539" s="498">
        <v>71.400000000000006</v>
      </c>
      <c r="H539" s="462">
        <f t="shared" si="184"/>
        <v>2213.4</v>
      </c>
      <c r="I539" s="462">
        <f t="shared" si="185"/>
        <v>8568</v>
      </c>
      <c r="J539" s="463">
        <v>4</v>
      </c>
      <c r="K539" s="534">
        <v>50</v>
      </c>
      <c r="L539" s="462">
        <f t="shared" si="186"/>
        <v>1760</v>
      </c>
      <c r="M539" s="462">
        <v>1510</v>
      </c>
      <c r="N539" s="462">
        <v>250</v>
      </c>
      <c r="O539" s="462">
        <f t="shared" si="187"/>
        <v>4023.4</v>
      </c>
      <c r="P539" s="488">
        <f t="shared" si="188"/>
        <v>1234</v>
      </c>
      <c r="Q539" s="489">
        <f t="shared" si="189"/>
        <v>1217.0958904109589</v>
      </c>
      <c r="R539" s="489">
        <f t="shared" si="190"/>
        <v>65.753424657534239</v>
      </c>
      <c r="S539" s="490">
        <f t="shared" si="191"/>
        <v>15808</v>
      </c>
      <c r="T539" s="490">
        <f t="shared" si="192"/>
        <v>18324.849315068492</v>
      </c>
      <c r="U539" s="491">
        <f t="shared" si="193"/>
        <v>182.26</v>
      </c>
      <c r="V539" s="498">
        <f>(O539-N539)*11%</f>
        <v>415.07400000000001</v>
      </c>
      <c r="W539" s="498">
        <v>10</v>
      </c>
      <c r="X539" s="498"/>
      <c r="Y539" s="498">
        <v>950.53</v>
      </c>
      <c r="Z539" s="462">
        <f t="shared" si="194"/>
        <v>1557.864</v>
      </c>
      <c r="AA539" s="462">
        <f t="shared" si="195"/>
        <v>2465.5360000000001</v>
      </c>
      <c r="AB539" s="489">
        <v>1000</v>
      </c>
    </row>
    <row r="540" spans="1:29" s="507" customFormat="1" ht="12">
      <c r="A540" s="456">
        <v>11</v>
      </c>
      <c r="B540" s="457" t="s">
        <v>1047</v>
      </c>
      <c r="C540" s="497">
        <v>9901442737</v>
      </c>
      <c r="D540" s="459" t="s">
        <v>1048</v>
      </c>
      <c r="E540" s="460" t="s">
        <v>32</v>
      </c>
      <c r="F540" s="461">
        <v>31</v>
      </c>
      <c r="G540" s="498">
        <v>71.400000000000006</v>
      </c>
      <c r="H540" s="462">
        <f t="shared" si="184"/>
        <v>2213.4</v>
      </c>
      <c r="I540" s="462">
        <f t="shared" si="185"/>
        <v>8568</v>
      </c>
      <c r="J540" s="463">
        <v>4</v>
      </c>
      <c r="K540" s="534">
        <v>75</v>
      </c>
      <c r="L540" s="462">
        <f t="shared" si="186"/>
        <v>1760</v>
      </c>
      <c r="M540" s="462">
        <v>1510</v>
      </c>
      <c r="N540" s="462">
        <v>250</v>
      </c>
      <c r="O540" s="462">
        <f t="shared" si="187"/>
        <v>4048.4</v>
      </c>
      <c r="P540" s="488">
        <f t="shared" si="188"/>
        <v>1242.3333333333333</v>
      </c>
      <c r="Q540" s="489">
        <f t="shared" si="189"/>
        <v>1225.3150684931506</v>
      </c>
      <c r="R540" s="489">
        <f t="shared" si="190"/>
        <v>65.753424657534239</v>
      </c>
      <c r="S540" s="490">
        <f t="shared" si="191"/>
        <v>15908</v>
      </c>
      <c r="T540" s="490">
        <f t="shared" si="192"/>
        <v>18441.401826484016</v>
      </c>
      <c r="U540" s="491">
        <f t="shared" si="193"/>
        <v>183.46</v>
      </c>
      <c r="V540" s="498"/>
      <c r="W540" s="498">
        <v>10</v>
      </c>
      <c r="X540" s="498"/>
      <c r="Y540" s="498"/>
      <c r="Z540" s="462">
        <f t="shared" si="194"/>
        <v>193.46</v>
      </c>
      <c r="AA540" s="462">
        <f t="shared" si="195"/>
        <v>3854.94</v>
      </c>
      <c r="AB540" s="489">
        <v>1000</v>
      </c>
    </row>
    <row r="541" spans="1:29" s="507" customFormat="1" ht="12">
      <c r="A541" s="456">
        <v>12</v>
      </c>
      <c r="B541" s="466" t="s">
        <v>1049</v>
      </c>
      <c r="C541" s="497">
        <v>9901442738</v>
      </c>
      <c r="D541" s="459" t="s">
        <v>1050</v>
      </c>
      <c r="E541" s="460" t="s">
        <v>32</v>
      </c>
      <c r="F541" s="461">
        <v>31</v>
      </c>
      <c r="G541" s="498">
        <v>71.400000000000006</v>
      </c>
      <c r="H541" s="462">
        <f t="shared" si="184"/>
        <v>2213.4</v>
      </c>
      <c r="I541" s="462">
        <f t="shared" si="185"/>
        <v>8568</v>
      </c>
      <c r="J541" s="463">
        <v>4</v>
      </c>
      <c r="K541" s="534">
        <v>75</v>
      </c>
      <c r="L541" s="462">
        <f t="shared" si="186"/>
        <v>1760</v>
      </c>
      <c r="M541" s="462">
        <v>1510</v>
      </c>
      <c r="N541" s="462">
        <v>250</v>
      </c>
      <c r="O541" s="462">
        <f t="shared" si="187"/>
        <v>4048.4</v>
      </c>
      <c r="P541" s="488">
        <f t="shared" si="188"/>
        <v>1242.3333333333333</v>
      </c>
      <c r="Q541" s="489">
        <f t="shared" si="189"/>
        <v>1225.3150684931506</v>
      </c>
      <c r="R541" s="489">
        <f t="shared" si="190"/>
        <v>65.753424657534239</v>
      </c>
      <c r="S541" s="490">
        <f t="shared" si="191"/>
        <v>15908</v>
      </c>
      <c r="T541" s="490">
        <f t="shared" si="192"/>
        <v>18441.401826484016</v>
      </c>
      <c r="U541" s="491">
        <f t="shared" si="193"/>
        <v>183.46</v>
      </c>
      <c r="V541" s="498">
        <f>(O541-N541)*11%</f>
        <v>417.82400000000001</v>
      </c>
      <c r="W541" s="498">
        <v>10</v>
      </c>
      <c r="X541" s="498"/>
      <c r="Y541" s="498"/>
      <c r="Z541" s="462">
        <f t="shared" si="194"/>
        <v>611.28399999999999</v>
      </c>
      <c r="AA541" s="462">
        <f t="shared" si="195"/>
        <v>3437.116</v>
      </c>
      <c r="AB541" s="489">
        <v>1000</v>
      </c>
    </row>
    <row r="542" spans="1:29" s="507" customFormat="1" ht="12">
      <c r="A542" s="456">
        <v>13</v>
      </c>
      <c r="B542" s="457" t="s">
        <v>1051</v>
      </c>
      <c r="C542" s="497">
        <v>9901442308</v>
      </c>
      <c r="D542" s="459" t="s">
        <v>1052</v>
      </c>
      <c r="E542" s="460" t="s">
        <v>1175</v>
      </c>
      <c r="F542" s="461">
        <v>31</v>
      </c>
      <c r="G542" s="498">
        <v>71.400000000000006</v>
      </c>
      <c r="H542" s="462">
        <f t="shared" si="184"/>
        <v>2213.4</v>
      </c>
      <c r="I542" s="462">
        <f t="shared" si="185"/>
        <v>8568</v>
      </c>
      <c r="J542" s="463">
        <v>4</v>
      </c>
      <c r="K542" s="534">
        <v>75</v>
      </c>
      <c r="L542" s="462">
        <f t="shared" si="186"/>
        <v>1760</v>
      </c>
      <c r="M542" s="462">
        <v>1510</v>
      </c>
      <c r="N542" s="462">
        <v>250</v>
      </c>
      <c r="O542" s="462">
        <f t="shared" si="187"/>
        <v>4048.4</v>
      </c>
      <c r="P542" s="488">
        <f t="shared" si="188"/>
        <v>1242.3333333333333</v>
      </c>
      <c r="Q542" s="489">
        <f t="shared" si="189"/>
        <v>1225.3150684931506</v>
      </c>
      <c r="R542" s="489">
        <f t="shared" si="190"/>
        <v>65.753424657534239</v>
      </c>
      <c r="S542" s="490">
        <f t="shared" si="191"/>
        <v>15908</v>
      </c>
      <c r="T542" s="490">
        <f t="shared" si="192"/>
        <v>18441.401826484016</v>
      </c>
      <c r="U542" s="491">
        <f t="shared" si="193"/>
        <v>183.46</v>
      </c>
      <c r="V542" s="498"/>
      <c r="W542" s="498">
        <v>10</v>
      </c>
      <c r="X542" s="498"/>
      <c r="Y542" s="498"/>
      <c r="Z542" s="462">
        <f t="shared" si="194"/>
        <v>193.46</v>
      </c>
      <c r="AA542" s="462">
        <f t="shared" si="195"/>
        <v>3854.94</v>
      </c>
      <c r="AB542" s="489">
        <v>1000</v>
      </c>
    </row>
    <row r="543" spans="1:29" s="507" customFormat="1" ht="12">
      <c r="A543" s="456">
        <v>14</v>
      </c>
      <c r="B543" s="457" t="s">
        <v>1053</v>
      </c>
      <c r="C543" s="497">
        <v>9901442743</v>
      </c>
      <c r="D543" s="459" t="s">
        <v>1054</v>
      </c>
      <c r="E543" s="460" t="s">
        <v>44</v>
      </c>
      <c r="F543" s="461">
        <v>31</v>
      </c>
      <c r="G543" s="498">
        <v>72.540000000000006</v>
      </c>
      <c r="H543" s="462">
        <f t="shared" si="184"/>
        <v>2248.7400000000002</v>
      </c>
      <c r="I543" s="462">
        <f t="shared" si="185"/>
        <v>8704.8000000000011</v>
      </c>
      <c r="J543" s="463">
        <v>4</v>
      </c>
      <c r="K543" s="534">
        <v>75</v>
      </c>
      <c r="L543" s="462">
        <f t="shared" si="186"/>
        <v>1760</v>
      </c>
      <c r="M543" s="462">
        <v>1510</v>
      </c>
      <c r="N543" s="462">
        <v>250</v>
      </c>
      <c r="O543" s="462">
        <f t="shared" si="187"/>
        <v>4083.7400000000002</v>
      </c>
      <c r="P543" s="488">
        <f t="shared" si="188"/>
        <v>1253.7333333333333</v>
      </c>
      <c r="Q543" s="489">
        <f t="shared" si="189"/>
        <v>1236.5589041095891</v>
      </c>
      <c r="R543" s="489">
        <f t="shared" si="190"/>
        <v>65.753424657534239</v>
      </c>
      <c r="S543" s="490">
        <f t="shared" si="191"/>
        <v>16044.800000000001</v>
      </c>
      <c r="T543" s="490">
        <f t="shared" si="192"/>
        <v>18600.845662100459</v>
      </c>
      <c r="U543" s="491">
        <f t="shared" si="193"/>
        <v>185.17</v>
      </c>
      <c r="V543" s="498"/>
      <c r="W543" s="498">
        <v>10</v>
      </c>
      <c r="X543" s="498"/>
      <c r="Y543" s="498"/>
      <c r="Z543" s="462">
        <f t="shared" si="194"/>
        <v>195.17</v>
      </c>
      <c r="AA543" s="462">
        <f t="shared" si="195"/>
        <v>3888.57</v>
      </c>
      <c r="AB543" s="489">
        <v>1000</v>
      </c>
    </row>
    <row r="544" spans="1:29" s="507" customFormat="1" ht="12">
      <c r="A544" s="456">
        <v>15</v>
      </c>
      <c r="B544" s="466" t="s">
        <v>1055</v>
      </c>
      <c r="C544" s="497">
        <v>9901442981</v>
      </c>
      <c r="D544" s="459" t="s">
        <v>1056</v>
      </c>
      <c r="E544" s="460" t="s">
        <v>44</v>
      </c>
      <c r="F544" s="461">
        <v>31</v>
      </c>
      <c r="G544" s="498">
        <v>72.540000000000006</v>
      </c>
      <c r="H544" s="462">
        <f t="shared" si="184"/>
        <v>2248.7400000000002</v>
      </c>
      <c r="I544" s="462">
        <f t="shared" si="185"/>
        <v>8704.8000000000011</v>
      </c>
      <c r="J544" s="463">
        <v>4</v>
      </c>
      <c r="K544" s="534">
        <v>75</v>
      </c>
      <c r="L544" s="462">
        <f t="shared" si="186"/>
        <v>1760</v>
      </c>
      <c r="M544" s="462">
        <v>1510</v>
      </c>
      <c r="N544" s="462">
        <v>250</v>
      </c>
      <c r="O544" s="462">
        <f t="shared" si="187"/>
        <v>4083.7400000000002</v>
      </c>
      <c r="P544" s="488">
        <f t="shared" si="188"/>
        <v>1253.7333333333333</v>
      </c>
      <c r="Q544" s="489">
        <f t="shared" si="189"/>
        <v>1236.5589041095891</v>
      </c>
      <c r="R544" s="489">
        <f t="shared" si="190"/>
        <v>65.753424657534239</v>
      </c>
      <c r="S544" s="490">
        <f t="shared" si="191"/>
        <v>16044.800000000001</v>
      </c>
      <c r="T544" s="490">
        <f t="shared" si="192"/>
        <v>18600.845662100459</v>
      </c>
      <c r="U544" s="491">
        <f t="shared" si="193"/>
        <v>185.17</v>
      </c>
      <c r="V544" s="498">
        <f>(O544-N544)*11%</f>
        <v>421.71140000000003</v>
      </c>
      <c r="W544" s="498">
        <v>10</v>
      </c>
      <c r="X544" s="498"/>
      <c r="Y544" s="498"/>
      <c r="Z544" s="462">
        <f t="shared" si="194"/>
        <v>616.88139999999999</v>
      </c>
      <c r="AA544" s="462">
        <f t="shared" si="195"/>
        <v>3466.8586000000005</v>
      </c>
      <c r="AB544" s="489">
        <v>1000</v>
      </c>
    </row>
    <row r="545" spans="1:28" s="507" customFormat="1" ht="12">
      <c r="A545" s="456">
        <v>16</v>
      </c>
      <c r="B545" s="466" t="s">
        <v>1057</v>
      </c>
      <c r="C545" s="497">
        <v>9901442739</v>
      </c>
      <c r="D545" s="459" t="s">
        <v>1058</v>
      </c>
      <c r="E545" s="460" t="s">
        <v>32</v>
      </c>
      <c r="F545" s="461">
        <v>31</v>
      </c>
      <c r="G545" s="498">
        <v>71.400000000000006</v>
      </c>
      <c r="H545" s="462">
        <f t="shared" si="184"/>
        <v>2213.4</v>
      </c>
      <c r="I545" s="462">
        <f t="shared" si="185"/>
        <v>8568</v>
      </c>
      <c r="J545" s="463">
        <v>4</v>
      </c>
      <c r="K545" s="534">
        <v>75</v>
      </c>
      <c r="L545" s="462">
        <f t="shared" si="186"/>
        <v>1760</v>
      </c>
      <c r="M545" s="462">
        <v>1510</v>
      </c>
      <c r="N545" s="462">
        <v>250</v>
      </c>
      <c r="O545" s="462">
        <f t="shared" si="187"/>
        <v>4048.4</v>
      </c>
      <c r="P545" s="488">
        <f t="shared" si="188"/>
        <v>1242.3333333333333</v>
      </c>
      <c r="Q545" s="489">
        <f t="shared" si="189"/>
        <v>1225.3150684931506</v>
      </c>
      <c r="R545" s="489">
        <f t="shared" si="190"/>
        <v>65.753424657534239</v>
      </c>
      <c r="S545" s="490">
        <f t="shared" si="191"/>
        <v>15908</v>
      </c>
      <c r="T545" s="490">
        <f t="shared" si="192"/>
        <v>18441.401826484016</v>
      </c>
      <c r="U545" s="491">
        <f t="shared" si="193"/>
        <v>183.46</v>
      </c>
      <c r="V545" s="498"/>
      <c r="W545" s="498">
        <v>10</v>
      </c>
      <c r="X545" s="498"/>
      <c r="Y545" s="498"/>
      <c r="Z545" s="462">
        <f t="shared" si="194"/>
        <v>193.46</v>
      </c>
      <c r="AA545" s="462">
        <f t="shared" si="195"/>
        <v>3854.94</v>
      </c>
      <c r="AB545" s="489">
        <v>1000</v>
      </c>
    </row>
    <row r="546" spans="1:28" s="507" customFormat="1" ht="11.25">
      <c r="A546" s="456">
        <v>17</v>
      </c>
      <c r="B546" s="466" t="s">
        <v>1059</v>
      </c>
      <c r="C546" s="568">
        <v>9901529654</v>
      </c>
      <c r="D546" s="459" t="s">
        <v>1060</v>
      </c>
      <c r="E546" s="460" t="s">
        <v>48</v>
      </c>
      <c r="F546" s="461">
        <v>31</v>
      </c>
      <c r="G546" s="498">
        <v>71.400000000000006</v>
      </c>
      <c r="H546" s="462">
        <f t="shared" si="184"/>
        <v>2213.4</v>
      </c>
      <c r="I546" s="462">
        <f t="shared" si="185"/>
        <v>8568</v>
      </c>
      <c r="J546" s="463">
        <v>4</v>
      </c>
      <c r="K546" s="534"/>
      <c r="L546" s="462">
        <f t="shared" si="186"/>
        <v>1760</v>
      </c>
      <c r="M546" s="462">
        <v>1510</v>
      </c>
      <c r="N546" s="462">
        <v>250</v>
      </c>
      <c r="O546" s="462">
        <f t="shared" si="187"/>
        <v>3973.4</v>
      </c>
      <c r="P546" s="488">
        <f t="shared" si="188"/>
        <v>1217.3333333333333</v>
      </c>
      <c r="Q546" s="489">
        <f t="shared" si="189"/>
        <v>1200.6575342465753</v>
      </c>
      <c r="R546" s="489">
        <f t="shared" si="190"/>
        <v>65.753424657534239</v>
      </c>
      <c r="S546" s="490">
        <f t="shared" si="191"/>
        <v>15608</v>
      </c>
      <c r="T546" s="490">
        <f t="shared" si="192"/>
        <v>18091.744292237443</v>
      </c>
      <c r="U546" s="491">
        <f t="shared" si="193"/>
        <v>179.84</v>
      </c>
      <c r="V546" s="498"/>
      <c r="W546" s="498">
        <v>10</v>
      </c>
      <c r="X546" s="498"/>
      <c r="Y546" s="498"/>
      <c r="Z546" s="462">
        <f t="shared" si="194"/>
        <v>189.84</v>
      </c>
      <c r="AA546" s="462">
        <f t="shared" si="195"/>
        <v>3783.56</v>
      </c>
      <c r="AB546" s="489">
        <v>1000</v>
      </c>
    </row>
    <row r="547" spans="1:28" s="507" customFormat="1" ht="12">
      <c r="A547" s="456">
        <v>1</v>
      </c>
      <c r="B547" s="457" t="s">
        <v>1061</v>
      </c>
      <c r="C547" s="497">
        <v>9901443311</v>
      </c>
      <c r="D547" s="459" t="s">
        <v>1062</v>
      </c>
      <c r="E547" s="460" t="s">
        <v>1175</v>
      </c>
      <c r="F547" s="461">
        <v>31</v>
      </c>
      <c r="G547" s="498">
        <v>71.400000000000006</v>
      </c>
      <c r="H547" s="462">
        <f t="shared" ref="H547:H564" si="196">+F547*G547</f>
        <v>2213.4</v>
      </c>
      <c r="I547" s="462">
        <f t="shared" ref="I547:I564" si="197">G547*120</f>
        <v>8568</v>
      </c>
      <c r="J547" s="463">
        <v>4</v>
      </c>
      <c r="K547" s="569">
        <v>50</v>
      </c>
      <c r="L547" s="462">
        <f t="shared" ref="L547:L564" si="198">M547+N547</f>
        <v>1760</v>
      </c>
      <c r="M547" s="462">
        <v>1510</v>
      </c>
      <c r="N547" s="462">
        <v>250</v>
      </c>
      <c r="O547" s="462">
        <f t="shared" ref="O547:O564" si="199">+H547+M547+N547+K547</f>
        <v>4023.4</v>
      </c>
      <c r="P547" s="488">
        <f t="shared" ref="P547:P564" si="200">(((G547*120)+(K547+M547)*4)/12)</f>
        <v>1234</v>
      </c>
      <c r="Q547" s="489">
        <f t="shared" ref="Q547:Q564" si="201">(((G547*30)+M547+K547)/365*120)</f>
        <v>1217.0958904109589</v>
      </c>
      <c r="R547" s="489">
        <f t="shared" ref="R547:R564" si="202">+(200/365)*120</f>
        <v>65.753424657534239</v>
      </c>
      <c r="S547" s="490">
        <f t="shared" ref="S547:S564" si="203">(((G547*120)+((K547+M547+N547)*4)))</f>
        <v>15808</v>
      </c>
      <c r="T547" s="490">
        <f t="shared" ref="T547:T564" si="204">+S547+R547+Q547+P547</f>
        <v>18324.849315068492</v>
      </c>
      <c r="U547" s="491">
        <f t="shared" ref="U547:U564" si="205">ROUND((((H547+K547+M547)*4.83)/100),2)</f>
        <v>182.26</v>
      </c>
      <c r="V547" s="498">
        <f>(O547-N547)*11%</f>
        <v>415.07400000000001</v>
      </c>
      <c r="W547" s="498"/>
      <c r="X547" s="498"/>
      <c r="Y547" s="498"/>
      <c r="Z547" s="462">
        <f t="shared" ref="Z547:Z564" si="206">V547+W547+X547+Y547+U547</f>
        <v>597.33400000000006</v>
      </c>
      <c r="AA547" s="462">
        <f t="shared" ref="AA547:AA564" si="207">+O547-Z547</f>
        <v>3426.0659999999998</v>
      </c>
      <c r="AB547" s="489">
        <v>1000</v>
      </c>
    </row>
    <row r="548" spans="1:28" s="507" customFormat="1" ht="12">
      <c r="A548" s="456">
        <v>2</v>
      </c>
      <c r="B548" s="457" t="s">
        <v>1063</v>
      </c>
      <c r="C548" s="497">
        <v>9901443349</v>
      </c>
      <c r="D548" s="459" t="s">
        <v>1064</v>
      </c>
      <c r="E548" s="460" t="s">
        <v>1175</v>
      </c>
      <c r="F548" s="461">
        <v>31</v>
      </c>
      <c r="G548" s="498">
        <v>71.400000000000006</v>
      </c>
      <c r="H548" s="462">
        <f t="shared" si="196"/>
        <v>2213.4</v>
      </c>
      <c r="I548" s="462">
        <f t="shared" si="197"/>
        <v>8568</v>
      </c>
      <c r="J548" s="463">
        <v>4</v>
      </c>
      <c r="K548" s="569">
        <v>50</v>
      </c>
      <c r="L548" s="462">
        <f t="shared" si="198"/>
        <v>1760</v>
      </c>
      <c r="M548" s="462">
        <v>1510</v>
      </c>
      <c r="N548" s="462">
        <v>250</v>
      </c>
      <c r="O548" s="462">
        <f t="shared" si="199"/>
        <v>4023.4</v>
      </c>
      <c r="P548" s="488">
        <f t="shared" si="200"/>
        <v>1234</v>
      </c>
      <c r="Q548" s="489">
        <f t="shared" si="201"/>
        <v>1217.0958904109589</v>
      </c>
      <c r="R548" s="489">
        <f t="shared" si="202"/>
        <v>65.753424657534239</v>
      </c>
      <c r="S548" s="490">
        <f t="shared" si="203"/>
        <v>15808</v>
      </c>
      <c r="T548" s="490">
        <f t="shared" si="204"/>
        <v>18324.849315068492</v>
      </c>
      <c r="U548" s="491">
        <f t="shared" si="205"/>
        <v>182.26</v>
      </c>
      <c r="V548" s="498">
        <f>(O548-N548)*11%</f>
        <v>415.07400000000001</v>
      </c>
      <c r="W548" s="498">
        <v>10</v>
      </c>
      <c r="X548" s="498"/>
      <c r="Y548" s="498"/>
      <c r="Z548" s="462">
        <f t="shared" si="206"/>
        <v>607.33400000000006</v>
      </c>
      <c r="AA548" s="462">
        <f t="shared" si="207"/>
        <v>3416.0659999999998</v>
      </c>
      <c r="AB548" s="489">
        <v>1000</v>
      </c>
    </row>
    <row r="549" spans="1:28" s="507" customFormat="1" ht="12">
      <c r="A549" s="456">
        <v>3</v>
      </c>
      <c r="B549" s="466" t="s">
        <v>1065</v>
      </c>
      <c r="C549" s="497">
        <v>9901443190</v>
      </c>
      <c r="D549" s="459" t="s">
        <v>1066</v>
      </c>
      <c r="E549" s="460" t="s">
        <v>35</v>
      </c>
      <c r="F549" s="461">
        <v>31</v>
      </c>
      <c r="G549" s="498">
        <v>71.400000000000006</v>
      </c>
      <c r="H549" s="462">
        <f t="shared" si="196"/>
        <v>2213.4</v>
      </c>
      <c r="I549" s="462">
        <f t="shared" si="197"/>
        <v>8568</v>
      </c>
      <c r="J549" s="463">
        <v>4</v>
      </c>
      <c r="K549" s="569">
        <v>35</v>
      </c>
      <c r="L549" s="462">
        <f t="shared" si="198"/>
        <v>1760</v>
      </c>
      <c r="M549" s="462">
        <v>1510</v>
      </c>
      <c r="N549" s="462">
        <v>250</v>
      </c>
      <c r="O549" s="462">
        <f t="shared" si="199"/>
        <v>4008.4</v>
      </c>
      <c r="P549" s="488">
        <f t="shared" si="200"/>
        <v>1229</v>
      </c>
      <c r="Q549" s="489">
        <f t="shared" si="201"/>
        <v>1212.1643835616437</v>
      </c>
      <c r="R549" s="489">
        <f t="shared" si="202"/>
        <v>65.753424657534239</v>
      </c>
      <c r="S549" s="490">
        <f t="shared" si="203"/>
        <v>15748</v>
      </c>
      <c r="T549" s="490">
        <f t="shared" si="204"/>
        <v>18254.917808219179</v>
      </c>
      <c r="U549" s="491">
        <f t="shared" si="205"/>
        <v>181.53</v>
      </c>
      <c r="V549" s="498">
        <f>(O549-N549)*11%</f>
        <v>413.42400000000004</v>
      </c>
      <c r="W549" s="498"/>
      <c r="X549" s="498"/>
      <c r="Y549" s="498"/>
      <c r="Z549" s="462">
        <f t="shared" si="206"/>
        <v>594.95400000000006</v>
      </c>
      <c r="AA549" s="462">
        <f t="shared" si="207"/>
        <v>3413.4459999999999</v>
      </c>
      <c r="AB549" s="489">
        <v>1000</v>
      </c>
    </row>
    <row r="550" spans="1:28" s="507" customFormat="1" ht="12">
      <c r="A550" s="456">
        <v>4</v>
      </c>
      <c r="B550" s="457" t="s">
        <v>1067</v>
      </c>
      <c r="C550" s="497">
        <v>9901443304</v>
      </c>
      <c r="D550" s="459" t="s">
        <v>1068</v>
      </c>
      <c r="E550" s="460" t="s">
        <v>35</v>
      </c>
      <c r="F550" s="461">
        <v>31</v>
      </c>
      <c r="G550" s="498">
        <v>71.400000000000006</v>
      </c>
      <c r="H550" s="462">
        <f t="shared" si="196"/>
        <v>2213.4</v>
      </c>
      <c r="I550" s="462">
        <f t="shared" si="197"/>
        <v>8568</v>
      </c>
      <c r="J550" s="463">
        <v>4</v>
      </c>
      <c r="K550" s="569">
        <v>50</v>
      </c>
      <c r="L550" s="462">
        <f t="shared" si="198"/>
        <v>1760</v>
      </c>
      <c r="M550" s="462">
        <v>1510</v>
      </c>
      <c r="N550" s="462">
        <v>250</v>
      </c>
      <c r="O550" s="462">
        <f t="shared" si="199"/>
        <v>4023.4</v>
      </c>
      <c r="P550" s="488">
        <f t="shared" si="200"/>
        <v>1234</v>
      </c>
      <c r="Q550" s="489">
        <f t="shared" si="201"/>
        <v>1217.0958904109589</v>
      </c>
      <c r="R550" s="489">
        <f t="shared" si="202"/>
        <v>65.753424657534239</v>
      </c>
      <c r="S550" s="490">
        <f t="shared" si="203"/>
        <v>15808</v>
      </c>
      <c r="T550" s="490">
        <f t="shared" si="204"/>
        <v>18324.849315068492</v>
      </c>
      <c r="U550" s="491">
        <f t="shared" si="205"/>
        <v>182.26</v>
      </c>
      <c r="V550" s="498"/>
      <c r="W550" s="498"/>
      <c r="X550" s="498"/>
      <c r="Y550" s="498"/>
      <c r="Z550" s="462">
        <f t="shared" si="206"/>
        <v>182.26</v>
      </c>
      <c r="AA550" s="462">
        <f t="shared" si="207"/>
        <v>3841.1400000000003</v>
      </c>
      <c r="AB550" s="489">
        <v>1000</v>
      </c>
    </row>
    <row r="551" spans="1:28" s="507" customFormat="1" ht="12">
      <c r="A551" s="456">
        <v>5</v>
      </c>
      <c r="B551" s="466" t="s">
        <v>1069</v>
      </c>
      <c r="C551" s="497">
        <v>9901443699</v>
      </c>
      <c r="D551" s="459" t="s">
        <v>1070</v>
      </c>
      <c r="E551" s="460" t="s">
        <v>1175</v>
      </c>
      <c r="F551" s="461">
        <v>31</v>
      </c>
      <c r="G551" s="498">
        <v>71.400000000000006</v>
      </c>
      <c r="H551" s="462">
        <f t="shared" si="196"/>
        <v>2213.4</v>
      </c>
      <c r="I551" s="462">
        <f t="shared" si="197"/>
        <v>8568</v>
      </c>
      <c r="J551" s="463">
        <v>4</v>
      </c>
      <c r="K551" s="569">
        <v>50</v>
      </c>
      <c r="L551" s="462">
        <f t="shared" si="198"/>
        <v>1760</v>
      </c>
      <c r="M551" s="462">
        <v>1510</v>
      </c>
      <c r="N551" s="462">
        <v>250</v>
      </c>
      <c r="O551" s="462">
        <f t="shared" si="199"/>
        <v>4023.4</v>
      </c>
      <c r="P551" s="488">
        <f t="shared" si="200"/>
        <v>1234</v>
      </c>
      <c r="Q551" s="489">
        <f t="shared" si="201"/>
        <v>1217.0958904109589</v>
      </c>
      <c r="R551" s="489">
        <f t="shared" si="202"/>
        <v>65.753424657534239</v>
      </c>
      <c r="S551" s="490">
        <f t="shared" si="203"/>
        <v>15808</v>
      </c>
      <c r="T551" s="490">
        <f t="shared" si="204"/>
        <v>18324.849315068492</v>
      </c>
      <c r="U551" s="491">
        <f t="shared" si="205"/>
        <v>182.26</v>
      </c>
      <c r="V551" s="498">
        <f>(O551-N551)*11%</f>
        <v>415.07400000000001</v>
      </c>
      <c r="W551" s="498">
        <v>10</v>
      </c>
      <c r="X551" s="498"/>
      <c r="Y551" s="498"/>
      <c r="Z551" s="462">
        <f t="shared" si="206"/>
        <v>607.33400000000006</v>
      </c>
      <c r="AA551" s="462">
        <f t="shared" si="207"/>
        <v>3416.0659999999998</v>
      </c>
      <c r="AB551" s="489">
        <v>1000</v>
      </c>
    </row>
    <row r="552" spans="1:28" s="507" customFormat="1" ht="12">
      <c r="A552" s="456">
        <v>6</v>
      </c>
      <c r="B552" s="457" t="s">
        <v>1071</v>
      </c>
      <c r="C552" s="497">
        <v>9901443669</v>
      </c>
      <c r="D552" s="459" t="s">
        <v>1072</v>
      </c>
      <c r="E552" s="460" t="s">
        <v>32</v>
      </c>
      <c r="F552" s="461">
        <v>31</v>
      </c>
      <c r="G552" s="498">
        <v>71.400000000000006</v>
      </c>
      <c r="H552" s="462">
        <f t="shared" si="196"/>
        <v>2213.4</v>
      </c>
      <c r="I552" s="462">
        <f t="shared" si="197"/>
        <v>8568</v>
      </c>
      <c r="J552" s="463">
        <v>4</v>
      </c>
      <c r="K552" s="498"/>
      <c r="L552" s="462">
        <f t="shared" si="198"/>
        <v>1760</v>
      </c>
      <c r="M552" s="462">
        <v>1510</v>
      </c>
      <c r="N552" s="462">
        <v>250</v>
      </c>
      <c r="O552" s="462">
        <f t="shared" si="199"/>
        <v>3973.4</v>
      </c>
      <c r="P552" s="488">
        <f t="shared" si="200"/>
        <v>1217.3333333333333</v>
      </c>
      <c r="Q552" s="489">
        <f t="shared" si="201"/>
        <v>1200.6575342465753</v>
      </c>
      <c r="R552" s="489">
        <f t="shared" si="202"/>
        <v>65.753424657534239</v>
      </c>
      <c r="S552" s="490">
        <f t="shared" si="203"/>
        <v>15608</v>
      </c>
      <c r="T552" s="490">
        <f t="shared" si="204"/>
        <v>18091.744292237443</v>
      </c>
      <c r="U552" s="491">
        <f t="shared" si="205"/>
        <v>179.84</v>
      </c>
      <c r="V552" s="498"/>
      <c r="W552" s="498">
        <v>10</v>
      </c>
      <c r="X552" s="498"/>
      <c r="Y552" s="498"/>
      <c r="Z552" s="462">
        <f t="shared" si="206"/>
        <v>189.84</v>
      </c>
      <c r="AA552" s="462">
        <f t="shared" si="207"/>
        <v>3783.56</v>
      </c>
      <c r="AB552" s="489">
        <v>1000</v>
      </c>
    </row>
    <row r="553" spans="1:28" s="507" customFormat="1" ht="12">
      <c r="A553" s="456">
        <v>7</v>
      </c>
      <c r="B553" s="466" t="s">
        <v>1073</v>
      </c>
      <c r="C553" s="497">
        <v>9901443335</v>
      </c>
      <c r="D553" s="459" t="s">
        <v>1074</v>
      </c>
      <c r="E553" s="460" t="s">
        <v>1175</v>
      </c>
      <c r="F553" s="461">
        <v>31</v>
      </c>
      <c r="G553" s="498">
        <v>71.400000000000006</v>
      </c>
      <c r="H553" s="462">
        <f t="shared" si="196"/>
        <v>2213.4</v>
      </c>
      <c r="I553" s="462">
        <f t="shared" si="197"/>
        <v>8568</v>
      </c>
      <c r="J553" s="463">
        <v>4</v>
      </c>
      <c r="K553" s="569">
        <v>50</v>
      </c>
      <c r="L553" s="462">
        <f t="shared" si="198"/>
        <v>1760</v>
      </c>
      <c r="M553" s="462">
        <v>1510</v>
      </c>
      <c r="N553" s="462">
        <v>250</v>
      </c>
      <c r="O553" s="462">
        <f t="shared" si="199"/>
        <v>4023.4</v>
      </c>
      <c r="P553" s="488">
        <f t="shared" si="200"/>
        <v>1234</v>
      </c>
      <c r="Q553" s="489">
        <f t="shared" si="201"/>
        <v>1217.0958904109589</v>
      </c>
      <c r="R553" s="489">
        <f t="shared" si="202"/>
        <v>65.753424657534239</v>
      </c>
      <c r="S553" s="490">
        <f t="shared" si="203"/>
        <v>15808</v>
      </c>
      <c r="T553" s="490">
        <f t="shared" si="204"/>
        <v>18324.849315068492</v>
      </c>
      <c r="U553" s="491">
        <f t="shared" si="205"/>
        <v>182.26</v>
      </c>
      <c r="V553" s="498"/>
      <c r="W553" s="498"/>
      <c r="X553" s="498"/>
      <c r="Y553" s="498"/>
      <c r="Z553" s="462">
        <f t="shared" si="206"/>
        <v>182.26</v>
      </c>
      <c r="AA553" s="462">
        <f t="shared" si="207"/>
        <v>3841.1400000000003</v>
      </c>
      <c r="AB553" s="489">
        <v>1000</v>
      </c>
    </row>
    <row r="554" spans="1:28" s="507" customFormat="1" ht="12">
      <c r="A554" s="456">
        <v>8</v>
      </c>
      <c r="B554" s="457" t="s">
        <v>1075</v>
      </c>
      <c r="C554" s="497">
        <v>9901443445</v>
      </c>
      <c r="D554" s="459" t="s">
        <v>1076</v>
      </c>
      <c r="E554" s="460" t="s">
        <v>1175</v>
      </c>
      <c r="F554" s="461">
        <v>31</v>
      </c>
      <c r="G554" s="498">
        <v>71.400000000000006</v>
      </c>
      <c r="H554" s="462">
        <f t="shared" si="196"/>
        <v>2213.4</v>
      </c>
      <c r="I554" s="462">
        <f t="shared" si="197"/>
        <v>8568</v>
      </c>
      <c r="J554" s="463">
        <v>4</v>
      </c>
      <c r="K554" s="569">
        <v>50</v>
      </c>
      <c r="L554" s="462">
        <f t="shared" si="198"/>
        <v>1760</v>
      </c>
      <c r="M554" s="462">
        <v>1510</v>
      </c>
      <c r="N554" s="462">
        <v>250</v>
      </c>
      <c r="O554" s="462">
        <f t="shared" si="199"/>
        <v>4023.4</v>
      </c>
      <c r="P554" s="488">
        <f t="shared" si="200"/>
        <v>1234</v>
      </c>
      <c r="Q554" s="489">
        <f t="shared" si="201"/>
        <v>1217.0958904109589</v>
      </c>
      <c r="R554" s="489">
        <f t="shared" si="202"/>
        <v>65.753424657534239</v>
      </c>
      <c r="S554" s="490">
        <f t="shared" si="203"/>
        <v>15808</v>
      </c>
      <c r="T554" s="490">
        <f t="shared" si="204"/>
        <v>18324.849315068492</v>
      </c>
      <c r="U554" s="491">
        <f t="shared" si="205"/>
        <v>182.26</v>
      </c>
      <c r="V554" s="498"/>
      <c r="W554" s="498"/>
      <c r="X554" s="498"/>
      <c r="Y554" s="498"/>
      <c r="Z554" s="462">
        <f t="shared" si="206"/>
        <v>182.26</v>
      </c>
      <c r="AA554" s="462">
        <f t="shared" si="207"/>
        <v>3841.1400000000003</v>
      </c>
      <c r="AB554" s="489">
        <v>1000</v>
      </c>
    </row>
    <row r="555" spans="1:28" s="507" customFormat="1" ht="12">
      <c r="A555" s="456">
        <v>9</v>
      </c>
      <c r="B555" s="457" t="s">
        <v>1077</v>
      </c>
      <c r="C555" s="497">
        <v>9901443989</v>
      </c>
      <c r="D555" s="459" t="s">
        <v>1078</v>
      </c>
      <c r="E555" s="460" t="s">
        <v>1175</v>
      </c>
      <c r="F555" s="461">
        <v>31</v>
      </c>
      <c r="G555" s="498">
        <v>71.400000000000006</v>
      </c>
      <c r="H555" s="462">
        <f t="shared" si="196"/>
        <v>2213.4</v>
      </c>
      <c r="I555" s="462">
        <f t="shared" si="197"/>
        <v>8568</v>
      </c>
      <c r="J555" s="463">
        <v>4</v>
      </c>
      <c r="K555" s="569">
        <v>50</v>
      </c>
      <c r="L555" s="462">
        <f t="shared" si="198"/>
        <v>1760</v>
      </c>
      <c r="M555" s="462">
        <v>1510</v>
      </c>
      <c r="N555" s="462">
        <v>250</v>
      </c>
      <c r="O555" s="462">
        <f t="shared" si="199"/>
        <v>4023.4</v>
      </c>
      <c r="P555" s="488">
        <f t="shared" si="200"/>
        <v>1234</v>
      </c>
      <c r="Q555" s="489">
        <f t="shared" si="201"/>
        <v>1217.0958904109589</v>
      </c>
      <c r="R555" s="489">
        <f t="shared" si="202"/>
        <v>65.753424657534239</v>
      </c>
      <c r="S555" s="490">
        <f t="shared" si="203"/>
        <v>15808</v>
      </c>
      <c r="T555" s="490">
        <f t="shared" si="204"/>
        <v>18324.849315068492</v>
      </c>
      <c r="U555" s="491">
        <f t="shared" si="205"/>
        <v>182.26</v>
      </c>
      <c r="V555" s="498">
        <f>(O555-N555)*11%</f>
        <v>415.07400000000001</v>
      </c>
      <c r="W555" s="498">
        <v>10</v>
      </c>
      <c r="X555" s="498"/>
      <c r="Y555" s="498"/>
      <c r="Z555" s="462">
        <f t="shared" si="206"/>
        <v>607.33400000000006</v>
      </c>
      <c r="AA555" s="462">
        <f t="shared" si="207"/>
        <v>3416.0659999999998</v>
      </c>
      <c r="AB555" s="489">
        <v>1000</v>
      </c>
    </row>
    <row r="556" spans="1:28" s="507" customFormat="1" ht="12">
      <c r="A556" s="456">
        <v>10</v>
      </c>
      <c r="B556" s="466" t="s">
        <v>1079</v>
      </c>
      <c r="C556" s="497">
        <v>9901442741</v>
      </c>
      <c r="D556" s="459" t="s">
        <v>1080</v>
      </c>
      <c r="E556" s="460" t="s">
        <v>1175</v>
      </c>
      <c r="F556" s="461">
        <v>31</v>
      </c>
      <c r="G556" s="498">
        <v>71.400000000000006</v>
      </c>
      <c r="H556" s="462">
        <f t="shared" si="196"/>
        <v>2213.4</v>
      </c>
      <c r="I556" s="462">
        <f t="shared" si="197"/>
        <v>8568</v>
      </c>
      <c r="J556" s="463">
        <v>4</v>
      </c>
      <c r="K556" s="569">
        <v>35</v>
      </c>
      <c r="L556" s="462">
        <f t="shared" si="198"/>
        <v>1760</v>
      </c>
      <c r="M556" s="462">
        <v>1510</v>
      </c>
      <c r="N556" s="462">
        <v>250</v>
      </c>
      <c r="O556" s="462">
        <f t="shared" si="199"/>
        <v>4008.4</v>
      </c>
      <c r="P556" s="488">
        <f t="shared" si="200"/>
        <v>1229</v>
      </c>
      <c r="Q556" s="489">
        <f t="shared" si="201"/>
        <v>1212.1643835616437</v>
      </c>
      <c r="R556" s="489">
        <f t="shared" si="202"/>
        <v>65.753424657534239</v>
      </c>
      <c r="S556" s="490">
        <f t="shared" si="203"/>
        <v>15748</v>
      </c>
      <c r="T556" s="490">
        <f t="shared" si="204"/>
        <v>18254.917808219179</v>
      </c>
      <c r="U556" s="491">
        <f t="shared" si="205"/>
        <v>181.53</v>
      </c>
      <c r="V556" s="498">
        <f>(O556-N556)*11%</f>
        <v>413.42400000000004</v>
      </c>
      <c r="W556" s="498">
        <v>10</v>
      </c>
      <c r="X556" s="498"/>
      <c r="Y556" s="498"/>
      <c r="Z556" s="462">
        <f t="shared" si="206"/>
        <v>604.95400000000006</v>
      </c>
      <c r="AA556" s="462">
        <f t="shared" si="207"/>
        <v>3403.4459999999999</v>
      </c>
      <c r="AB556" s="489">
        <v>1000</v>
      </c>
    </row>
    <row r="557" spans="1:28" s="507" customFormat="1" ht="12">
      <c r="A557" s="456">
        <v>11</v>
      </c>
      <c r="B557" s="457" t="s">
        <v>1081</v>
      </c>
      <c r="C557" s="497">
        <v>9901443678</v>
      </c>
      <c r="D557" s="459" t="s">
        <v>1082</v>
      </c>
      <c r="E557" s="460" t="s">
        <v>1175</v>
      </c>
      <c r="F557" s="461">
        <v>31</v>
      </c>
      <c r="G557" s="498">
        <v>71.400000000000006</v>
      </c>
      <c r="H557" s="462">
        <f t="shared" si="196"/>
        <v>2213.4</v>
      </c>
      <c r="I557" s="462">
        <f t="shared" si="197"/>
        <v>8568</v>
      </c>
      <c r="J557" s="463">
        <v>4</v>
      </c>
      <c r="K557" s="569">
        <v>50</v>
      </c>
      <c r="L557" s="462">
        <f t="shared" si="198"/>
        <v>1760</v>
      </c>
      <c r="M557" s="462">
        <v>1510</v>
      </c>
      <c r="N557" s="462">
        <v>250</v>
      </c>
      <c r="O557" s="462">
        <f t="shared" si="199"/>
        <v>4023.4</v>
      </c>
      <c r="P557" s="488">
        <f t="shared" si="200"/>
        <v>1234</v>
      </c>
      <c r="Q557" s="489">
        <f t="shared" si="201"/>
        <v>1217.0958904109589</v>
      </c>
      <c r="R557" s="489">
        <f t="shared" si="202"/>
        <v>65.753424657534239</v>
      </c>
      <c r="S557" s="490">
        <f t="shared" si="203"/>
        <v>15808</v>
      </c>
      <c r="T557" s="490">
        <f t="shared" si="204"/>
        <v>18324.849315068492</v>
      </c>
      <c r="U557" s="491">
        <f t="shared" si="205"/>
        <v>182.26</v>
      </c>
      <c r="V557" s="498"/>
      <c r="W557" s="498"/>
      <c r="X557" s="498"/>
      <c r="Y557" s="498"/>
      <c r="Z557" s="462">
        <f t="shared" si="206"/>
        <v>182.26</v>
      </c>
      <c r="AA557" s="462">
        <f t="shared" si="207"/>
        <v>3841.1400000000003</v>
      </c>
      <c r="AB557" s="489">
        <v>1000</v>
      </c>
    </row>
    <row r="558" spans="1:28" s="507" customFormat="1" ht="12">
      <c r="A558" s="456">
        <v>12</v>
      </c>
      <c r="B558" s="457" t="s">
        <v>1083</v>
      </c>
      <c r="C558" s="497">
        <v>9901443353</v>
      </c>
      <c r="D558" s="459" t="s">
        <v>1084</v>
      </c>
      <c r="E558" s="460" t="s">
        <v>1175</v>
      </c>
      <c r="F558" s="461">
        <v>31</v>
      </c>
      <c r="G558" s="498">
        <v>71.400000000000006</v>
      </c>
      <c r="H558" s="462">
        <f t="shared" si="196"/>
        <v>2213.4</v>
      </c>
      <c r="I558" s="462">
        <f t="shared" si="197"/>
        <v>8568</v>
      </c>
      <c r="J558" s="463">
        <v>4</v>
      </c>
      <c r="K558" s="569">
        <v>50</v>
      </c>
      <c r="L558" s="462">
        <f t="shared" si="198"/>
        <v>1760</v>
      </c>
      <c r="M558" s="462">
        <v>1510</v>
      </c>
      <c r="N558" s="462">
        <v>250</v>
      </c>
      <c r="O558" s="462">
        <f t="shared" si="199"/>
        <v>4023.4</v>
      </c>
      <c r="P558" s="488">
        <f t="shared" si="200"/>
        <v>1234</v>
      </c>
      <c r="Q558" s="489">
        <f t="shared" si="201"/>
        <v>1217.0958904109589</v>
      </c>
      <c r="R558" s="489">
        <f t="shared" si="202"/>
        <v>65.753424657534239</v>
      </c>
      <c r="S558" s="490">
        <f t="shared" si="203"/>
        <v>15808</v>
      </c>
      <c r="T558" s="490">
        <f t="shared" si="204"/>
        <v>18324.849315068492</v>
      </c>
      <c r="U558" s="491">
        <f t="shared" si="205"/>
        <v>182.26</v>
      </c>
      <c r="V558" s="498"/>
      <c r="W558" s="498"/>
      <c r="X558" s="498"/>
      <c r="Y558" s="498"/>
      <c r="Z558" s="462">
        <f t="shared" si="206"/>
        <v>182.26</v>
      </c>
      <c r="AA558" s="462">
        <f t="shared" si="207"/>
        <v>3841.1400000000003</v>
      </c>
      <c r="AB558" s="489">
        <v>1000</v>
      </c>
    </row>
    <row r="559" spans="1:28" s="507" customFormat="1">
      <c r="A559" s="456">
        <v>13</v>
      </c>
      <c r="B559" s="536" t="s">
        <v>1085</v>
      </c>
      <c r="C559">
        <v>9901532795</v>
      </c>
      <c r="D559" s="459" t="s">
        <v>1086</v>
      </c>
      <c r="E559" s="460" t="s">
        <v>1175</v>
      </c>
      <c r="F559" s="461">
        <v>31</v>
      </c>
      <c r="G559" s="498">
        <v>71.400000000000006</v>
      </c>
      <c r="H559" s="462">
        <f t="shared" si="196"/>
        <v>2213.4</v>
      </c>
      <c r="I559" s="462">
        <f t="shared" si="197"/>
        <v>8568</v>
      </c>
      <c r="J559" s="463">
        <v>4</v>
      </c>
      <c r="K559" s="498"/>
      <c r="L559" s="462">
        <f t="shared" si="198"/>
        <v>1760</v>
      </c>
      <c r="M559" s="462">
        <v>1510</v>
      </c>
      <c r="N559" s="462">
        <v>250</v>
      </c>
      <c r="O559" s="462">
        <f t="shared" si="199"/>
        <v>3973.4</v>
      </c>
      <c r="P559" s="488">
        <f t="shared" si="200"/>
        <v>1217.3333333333333</v>
      </c>
      <c r="Q559" s="489">
        <f t="shared" si="201"/>
        <v>1200.6575342465753</v>
      </c>
      <c r="R559" s="489">
        <f t="shared" si="202"/>
        <v>65.753424657534239</v>
      </c>
      <c r="S559" s="490">
        <f t="shared" si="203"/>
        <v>15608</v>
      </c>
      <c r="T559" s="490">
        <f t="shared" si="204"/>
        <v>18091.744292237443</v>
      </c>
      <c r="U559" s="491">
        <f t="shared" si="205"/>
        <v>179.84</v>
      </c>
      <c r="V559" s="498"/>
      <c r="W559" s="498"/>
      <c r="X559" s="498"/>
      <c r="Y559" s="498"/>
      <c r="Z559" s="462">
        <f t="shared" si="206"/>
        <v>179.84</v>
      </c>
      <c r="AA559" s="462">
        <f t="shared" si="207"/>
        <v>3793.56</v>
      </c>
      <c r="AB559" s="489">
        <v>1000</v>
      </c>
    </row>
    <row r="560" spans="1:28" s="507" customFormat="1">
      <c r="A560" s="456">
        <v>14</v>
      </c>
      <c r="B560" s="536" t="s">
        <v>1087</v>
      </c>
      <c r="C560">
        <v>9901532772</v>
      </c>
      <c r="D560" s="456" t="s">
        <v>1088</v>
      </c>
      <c r="E560" s="460" t="s">
        <v>1175</v>
      </c>
      <c r="F560" s="461">
        <v>31</v>
      </c>
      <c r="G560" s="498">
        <v>71.400000000000006</v>
      </c>
      <c r="H560" s="462">
        <f t="shared" si="196"/>
        <v>2213.4</v>
      </c>
      <c r="I560" s="462">
        <f t="shared" si="197"/>
        <v>8568</v>
      </c>
      <c r="J560" s="463">
        <v>4</v>
      </c>
      <c r="K560" s="498"/>
      <c r="L560" s="462">
        <f t="shared" si="198"/>
        <v>1760</v>
      </c>
      <c r="M560" s="462">
        <v>1510</v>
      </c>
      <c r="N560" s="462">
        <v>250</v>
      </c>
      <c r="O560" s="462">
        <f t="shared" si="199"/>
        <v>3973.4</v>
      </c>
      <c r="P560" s="488">
        <f t="shared" si="200"/>
        <v>1217.3333333333333</v>
      </c>
      <c r="Q560" s="489">
        <f t="shared" si="201"/>
        <v>1200.6575342465753</v>
      </c>
      <c r="R560" s="489">
        <f t="shared" si="202"/>
        <v>65.753424657534239</v>
      </c>
      <c r="S560" s="490">
        <f t="shared" si="203"/>
        <v>15608</v>
      </c>
      <c r="T560" s="490">
        <f t="shared" si="204"/>
        <v>18091.744292237443</v>
      </c>
      <c r="U560" s="491">
        <f t="shared" si="205"/>
        <v>179.84</v>
      </c>
      <c r="V560" s="498"/>
      <c r="W560" s="498"/>
      <c r="X560" s="498"/>
      <c r="Y560" s="498"/>
      <c r="Z560" s="462">
        <f t="shared" si="206"/>
        <v>179.84</v>
      </c>
      <c r="AA560" s="462">
        <f t="shared" si="207"/>
        <v>3793.56</v>
      </c>
      <c r="AB560" s="489">
        <v>1000</v>
      </c>
    </row>
    <row r="561" spans="1:28" s="507" customFormat="1" ht="11.25">
      <c r="A561" s="456">
        <v>15</v>
      </c>
      <c r="B561" s="457" t="s">
        <v>1089</v>
      </c>
      <c r="C561" s="568">
        <v>9901533868</v>
      </c>
      <c r="D561" s="456" t="s">
        <v>1090</v>
      </c>
      <c r="E561" s="460" t="s">
        <v>1175</v>
      </c>
      <c r="F561" s="461">
        <v>31</v>
      </c>
      <c r="G561" s="498">
        <v>71.400000000000006</v>
      </c>
      <c r="H561" s="462">
        <f t="shared" si="196"/>
        <v>2213.4</v>
      </c>
      <c r="I561" s="462">
        <f t="shared" si="197"/>
        <v>8568</v>
      </c>
      <c r="J561" s="463">
        <v>4</v>
      </c>
      <c r="K561" s="498"/>
      <c r="L561" s="462">
        <f t="shared" si="198"/>
        <v>1760</v>
      </c>
      <c r="M561" s="462">
        <v>1510</v>
      </c>
      <c r="N561" s="462">
        <v>250</v>
      </c>
      <c r="O561" s="462">
        <f t="shared" si="199"/>
        <v>3973.4</v>
      </c>
      <c r="P561" s="488">
        <f t="shared" si="200"/>
        <v>1217.3333333333333</v>
      </c>
      <c r="Q561" s="489">
        <f t="shared" si="201"/>
        <v>1200.6575342465753</v>
      </c>
      <c r="R561" s="489">
        <f t="shared" si="202"/>
        <v>65.753424657534239</v>
      </c>
      <c r="S561" s="490">
        <f t="shared" si="203"/>
        <v>15608</v>
      </c>
      <c r="T561" s="490">
        <f t="shared" si="204"/>
        <v>18091.744292237443</v>
      </c>
      <c r="U561" s="491">
        <f t="shared" si="205"/>
        <v>179.84</v>
      </c>
      <c r="V561" s="498"/>
      <c r="W561" s="498"/>
      <c r="X561" s="498"/>
      <c r="Y561" s="498"/>
      <c r="Z561" s="462">
        <f t="shared" si="206"/>
        <v>179.84</v>
      </c>
      <c r="AA561" s="462">
        <f t="shared" si="207"/>
        <v>3793.56</v>
      </c>
      <c r="AB561" s="489">
        <v>1000</v>
      </c>
    </row>
    <row r="562" spans="1:28" s="507" customFormat="1" ht="11.25">
      <c r="A562" s="456">
        <v>16</v>
      </c>
      <c r="B562" s="457" t="s">
        <v>1091</v>
      </c>
      <c r="C562" s="570">
        <v>9901533866</v>
      </c>
      <c r="D562" s="456" t="s">
        <v>1092</v>
      </c>
      <c r="E562" s="460" t="s">
        <v>1175</v>
      </c>
      <c r="F562" s="461">
        <v>31</v>
      </c>
      <c r="G562" s="498">
        <v>71.400000000000006</v>
      </c>
      <c r="H562" s="462">
        <f t="shared" si="196"/>
        <v>2213.4</v>
      </c>
      <c r="I562" s="462">
        <f t="shared" si="197"/>
        <v>8568</v>
      </c>
      <c r="J562" s="463">
        <v>4</v>
      </c>
      <c r="K562" s="498"/>
      <c r="L562" s="462">
        <f t="shared" si="198"/>
        <v>1760</v>
      </c>
      <c r="M562" s="462">
        <v>1510</v>
      </c>
      <c r="N562" s="462">
        <v>250</v>
      </c>
      <c r="O562" s="462">
        <f t="shared" si="199"/>
        <v>3973.4</v>
      </c>
      <c r="P562" s="488">
        <f t="shared" si="200"/>
        <v>1217.3333333333333</v>
      </c>
      <c r="Q562" s="489">
        <f t="shared" si="201"/>
        <v>1200.6575342465753</v>
      </c>
      <c r="R562" s="489">
        <f t="shared" si="202"/>
        <v>65.753424657534239</v>
      </c>
      <c r="S562" s="490">
        <f t="shared" si="203"/>
        <v>15608</v>
      </c>
      <c r="T562" s="490">
        <f t="shared" si="204"/>
        <v>18091.744292237443</v>
      </c>
      <c r="U562" s="491">
        <f t="shared" si="205"/>
        <v>179.84</v>
      </c>
      <c r="V562" s="498"/>
      <c r="W562" s="498"/>
      <c r="X562" s="498"/>
      <c r="Y562" s="498"/>
      <c r="Z562" s="462">
        <f t="shared" si="206"/>
        <v>179.84</v>
      </c>
      <c r="AA562" s="462">
        <f t="shared" si="207"/>
        <v>3793.56</v>
      </c>
      <c r="AB562" s="489">
        <v>1000</v>
      </c>
    </row>
    <row r="563" spans="1:28" s="507" customFormat="1">
      <c r="A563" s="456">
        <v>17</v>
      </c>
      <c r="B563" s="457" t="s">
        <v>1093</v>
      </c>
      <c r="C563" s="10">
        <v>9901546025</v>
      </c>
      <c r="D563" s="456" t="s">
        <v>1094</v>
      </c>
      <c r="E563" s="460" t="s">
        <v>38</v>
      </c>
      <c r="F563" s="461">
        <v>31</v>
      </c>
      <c r="G563" s="498">
        <v>71.400000000000006</v>
      </c>
      <c r="H563" s="462">
        <f t="shared" si="196"/>
        <v>2213.4</v>
      </c>
      <c r="I563" s="462">
        <f t="shared" si="197"/>
        <v>8568</v>
      </c>
      <c r="J563" s="463">
        <v>4</v>
      </c>
      <c r="K563" s="464">
        <v>0</v>
      </c>
      <c r="L563" s="462">
        <f t="shared" si="198"/>
        <v>1760</v>
      </c>
      <c r="M563" s="462">
        <v>1510</v>
      </c>
      <c r="N563" s="462">
        <v>250</v>
      </c>
      <c r="O563" s="462">
        <f t="shared" si="199"/>
        <v>3973.4</v>
      </c>
      <c r="P563" s="488">
        <f t="shared" si="200"/>
        <v>1217.3333333333333</v>
      </c>
      <c r="Q563" s="489">
        <f t="shared" si="201"/>
        <v>1200.6575342465753</v>
      </c>
      <c r="R563" s="489">
        <f t="shared" si="202"/>
        <v>65.753424657534239</v>
      </c>
      <c r="S563" s="490">
        <f t="shared" si="203"/>
        <v>15608</v>
      </c>
      <c r="T563" s="490">
        <f t="shared" si="204"/>
        <v>18091.744292237443</v>
      </c>
      <c r="U563" s="491">
        <f t="shared" si="205"/>
        <v>179.84</v>
      </c>
      <c r="V563" s="498"/>
      <c r="W563" s="498"/>
      <c r="X563" s="498"/>
      <c r="Y563" s="498"/>
      <c r="Z563" s="462">
        <f t="shared" si="206"/>
        <v>179.84</v>
      </c>
      <c r="AA563" s="462">
        <f t="shared" si="207"/>
        <v>3793.56</v>
      </c>
      <c r="AB563" s="489">
        <v>1000</v>
      </c>
    </row>
    <row r="564" spans="1:28" s="507" customFormat="1">
      <c r="A564" s="456">
        <v>18</v>
      </c>
      <c r="B564" s="565" t="s">
        <v>1095</v>
      </c>
      <c r="C564" s="571">
        <v>9901546031</v>
      </c>
      <c r="D564" s="507" t="s">
        <v>1096</v>
      </c>
      <c r="E564" s="507" t="s">
        <v>1175</v>
      </c>
      <c r="F564" s="461">
        <v>31</v>
      </c>
      <c r="G564" s="498">
        <v>71.400000000000006</v>
      </c>
      <c r="H564" s="462">
        <f t="shared" si="196"/>
        <v>2213.4</v>
      </c>
      <c r="I564" s="462">
        <f t="shared" si="197"/>
        <v>8568</v>
      </c>
      <c r="J564" s="463">
        <v>4</v>
      </c>
      <c r="K564" s="464">
        <v>0</v>
      </c>
      <c r="L564" s="462">
        <f t="shared" si="198"/>
        <v>1760</v>
      </c>
      <c r="M564" s="462">
        <v>1510</v>
      </c>
      <c r="N564" s="462">
        <v>250</v>
      </c>
      <c r="O564" s="462">
        <f t="shared" si="199"/>
        <v>3973.4</v>
      </c>
      <c r="P564" s="488">
        <f t="shared" si="200"/>
        <v>1217.3333333333333</v>
      </c>
      <c r="Q564" s="489">
        <f t="shared" si="201"/>
        <v>1200.6575342465753</v>
      </c>
      <c r="R564" s="489">
        <f t="shared" si="202"/>
        <v>65.753424657534239</v>
      </c>
      <c r="S564" s="490">
        <f t="shared" si="203"/>
        <v>15608</v>
      </c>
      <c r="T564" s="490">
        <f t="shared" si="204"/>
        <v>18091.744292237443</v>
      </c>
      <c r="U564" s="491">
        <f t="shared" si="205"/>
        <v>179.84</v>
      </c>
      <c r="V564" s="498"/>
      <c r="W564" s="498"/>
      <c r="X564" s="498"/>
      <c r="Y564" s="498"/>
      <c r="Z564" s="462">
        <f t="shared" si="206"/>
        <v>179.84</v>
      </c>
      <c r="AA564" s="462">
        <f t="shared" si="207"/>
        <v>3793.56</v>
      </c>
      <c r="AB564" s="489">
        <v>1000</v>
      </c>
    </row>
    <row r="565" spans="1:28" s="486" customFormat="1" ht="12">
      <c r="A565" s="456">
        <v>1</v>
      </c>
      <c r="B565" s="457" t="s">
        <v>753</v>
      </c>
      <c r="C565" s="497">
        <v>9901442583</v>
      </c>
      <c r="D565" s="459" t="s">
        <v>754</v>
      </c>
      <c r="E565" s="460" t="s">
        <v>1175</v>
      </c>
      <c r="F565" s="461">
        <v>31</v>
      </c>
      <c r="G565" s="462">
        <v>71.400000000000006</v>
      </c>
      <c r="H565" s="462">
        <f t="shared" ref="H565:H570" si="208">+F565*G565</f>
        <v>2213.4</v>
      </c>
      <c r="I565" s="462">
        <f t="shared" ref="I565:I570" si="209">G565*120</f>
        <v>8568</v>
      </c>
      <c r="J565" s="463">
        <v>4</v>
      </c>
      <c r="K565" s="464">
        <v>50</v>
      </c>
      <c r="L565" s="462">
        <f t="shared" ref="L565:L570" si="210">M565+N565</f>
        <v>1760</v>
      </c>
      <c r="M565" s="462">
        <v>1510</v>
      </c>
      <c r="N565" s="462">
        <v>250</v>
      </c>
      <c r="O565" s="462">
        <f t="shared" ref="O565:O570" si="211">+H565+M565+N565+K565</f>
        <v>4023.4</v>
      </c>
      <c r="P565" s="488">
        <f t="shared" ref="P565:P570" si="212">(((G565*120)+(K565+M565)*4)/12)</f>
        <v>1234</v>
      </c>
      <c r="Q565" s="489">
        <f t="shared" ref="Q565:Q570" si="213">(((G565*30)+M565+K565)/365*120)</f>
        <v>1217.0958904109589</v>
      </c>
      <c r="R565" s="489">
        <f t="shared" ref="R565:R570" si="214">+(200/365)*120</f>
        <v>65.753424657534239</v>
      </c>
      <c r="S565" s="490">
        <f t="shared" ref="S565:S570" si="215">(((G565*120)+((K565+M565+N565)*4)))</f>
        <v>15808</v>
      </c>
      <c r="T565" s="490">
        <f t="shared" ref="T565:T570" si="216">+S565+R565+Q565+P565</f>
        <v>18324.849315068492</v>
      </c>
      <c r="U565" s="491">
        <f t="shared" ref="U565:U570" si="217">ROUND((((H565+K565+M565)*4.83)/100),2)</f>
        <v>182.26</v>
      </c>
      <c r="V565" s="462"/>
      <c r="W565" s="462">
        <v>10</v>
      </c>
      <c r="X565" s="462"/>
      <c r="Y565" s="462">
        <v>753.57</v>
      </c>
      <c r="Z565" s="462">
        <f t="shared" ref="Z565:Z570" si="218">V565+W565+X565+Y565+U565</f>
        <v>945.83</v>
      </c>
      <c r="AA565" s="462">
        <f t="shared" ref="AA565:AA570" si="219">+O565-Z565</f>
        <v>3077.57</v>
      </c>
      <c r="AB565" s="489">
        <v>1000</v>
      </c>
    </row>
    <row r="566" spans="1:28" s="486" customFormat="1" ht="12">
      <c r="A566" s="456">
        <v>2</v>
      </c>
      <c r="B566" s="466" t="s">
        <v>755</v>
      </c>
      <c r="C566" s="497">
        <v>9901442586</v>
      </c>
      <c r="D566" s="459" t="s">
        <v>756</v>
      </c>
      <c r="E566" s="460" t="s">
        <v>1175</v>
      </c>
      <c r="F566" s="461">
        <v>31</v>
      </c>
      <c r="G566" s="462">
        <v>71.400000000000006</v>
      </c>
      <c r="H566" s="462">
        <f t="shared" si="208"/>
        <v>2213.4</v>
      </c>
      <c r="I566" s="462">
        <f t="shared" si="209"/>
        <v>8568</v>
      </c>
      <c r="J566" s="463">
        <v>4</v>
      </c>
      <c r="K566" s="464">
        <v>50</v>
      </c>
      <c r="L566" s="462">
        <f t="shared" si="210"/>
        <v>1760</v>
      </c>
      <c r="M566" s="462">
        <v>1510</v>
      </c>
      <c r="N566" s="462">
        <v>250</v>
      </c>
      <c r="O566" s="462">
        <f t="shared" si="211"/>
        <v>4023.4</v>
      </c>
      <c r="P566" s="488">
        <f t="shared" si="212"/>
        <v>1234</v>
      </c>
      <c r="Q566" s="489">
        <f t="shared" si="213"/>
        <v>1217.0958904109589</v>
      </c>
      <c r="R566" s="489">
        <f t="shared" si="214"/>
        <v>65.753424657534239</v>
      </c>
      <c r="S566" s="490">
        <f t="shared" si="215"/>
        <v>15808</v>
      </c>
      <c r="T566" s="490">
        <f t="shared" si="216"/>
        <v>18324.849315068492</v>
      </c>
      <c r="U566" s="491">
        <f t="shared" si="217"/>
        <v>182.26</v>
      </c>
      <c r="V566" s="498">
        <f>(O566-N566)*11%</f>
        <v>415.07400000000001</v>
      </c>
      <c r="W566" s="462">
        <v>10</v>
      </c>
      <c r="X566" s="462"/>
      <c r="Y566" s="462">
        <v>1259.32</v>
      </c>
      <c r="Z566" s="462">
        <f t="shared" si="218"/>
        <v>1866.654</v>
      </c>
      <c r="AA566" s="462">
        <f t="shared" si="219"/>
        <v>2156.7460000000001</v>
      </c>
      <c r="AB566" s="489">
        <v>1000</v>
      </c>
    </row>
    <row r="567" spans="1:28" s="486" customFormat="1" ht="12">
      <c r="A567" s="456">
        <v>3</v>
      </c>
      <c r="B567" s="466" t="s">
        <v>757</v>
      </c>
      <c r="C567" s="497">
        <v>9901442305</v>
      </c>
      <c r="D567" s="459" t="s">
        <v>758</v>
      </c>
      <c r="E567" s="460" t="s">
        <v>1175</v>
      </c>
      <c r="F567" s="461">
        <v>31</v>
      </c>
      <c r="G567" s="462">
        <v>71.400000000000006</v>
      </c>
      <c r="H567" s="462">
        <f t="shared" si="208"/>
        <v>2213.4</v>
      </c>
      <c r="I567" s="462">
        <f t="shared" si="209"/>
        <v>8568</v>
      </c>
      <c r="J567" s="463">
        <v>4</v>
      </c>
      <c r="K567" s="464">
        <v>50</v>
      </c>
      <c r="L567" s="462">
        <f t="shared" si="210"/>
        <v>1760</v>
      </c>
      <c r="M567" s="462">
        <v>1510</v>
      </c>
      <c r="N567" s="462">
        <v>250</v>
      </c>
      <c r="O567" s="462">
        <f t="shared" si="211"/>
        <v>4023.4</v>
      </c>
      <c r="P567" s="488">
        <f t="shared" si="212"/>
        <v>1234</v>
      </c>
      <c r="Q567" s="489">
        <f t="shared" si="213"/>
        <v>1217.0958904109589</v>
      </c>
      <c r="R567" s="489">
        <f t="shared" si="214"/>
        <v>65.753424657534239</v>
      </c>
      <c r="S567" s="490">
        <f t="shared" si="215"/>
        <v>15808</v>
      </c>
      <c r="T567" s="490">
        <f t="shared" si="216"/>
        <v>18324.849315068492</v>
      </c>
      <c r="U567" s="491">
        <f t="shared" si="217"/>
        <v>182.26</v>
      </c>
      <c r="V567" s="462"/>
      <c r="W567" s="462">
        <v>10</v>
      </c>
      <c r="X567" s="462"/>
      <c r="Y567" s="462">
        <v>1581.22</v>
      </c>
      <c r="Z567" s="462">
        <f t="shared" si="218"/>
        <v>1773.48</v>
      </c>
      <c r="AA567" s="462">
        <f t="shared" si="219"/>
        <v>2249.92</v>
      </c>
      <c r="AB567" s="489">
        <v>1000</v>
      </c>
    </row>
    <row r="568" spans="1:28" s="486" customFormat="1" ht="12">
      <c r="A568" s="456">
        <v>4</v>
      </c>
      <c r="B568" s="457" t="s">
        <v>759</v>
      </c>
      <c r="C568" s="497">
        <v>9901442304</v>
      </c>
      <c r="D568" s="459" t="s">
        <v>760</v>
      </c>
      <c r="E568" s="460" t="s">
        <v>1175</v>
      </c>
      <c r="F568" s="461">
        <v>31</v>
      </c>
      <c r="G568" s="462">
        <v>71.400000000000006</v>
      </c>
      <c r="H568" s="462">
        <f t="shared" si="208"/>
        <v>2213.4</v>
      </c>
      <c r="I568" s="462">
        <f t="shared" si="209"/>
        <v>8568</v>
      </c>
      <c r="J568" s="463">
        <v>4</v>
      </c>
      <c r="K568" s="464">
        <v>50</v>
      </c>
      <c r="L568" s="462">
        <f t="shared" si="210"/>
        <v>1760</v>
      </c>
      <c r="M568" s="462">
        <v>1510</v>
      </c>
      <c r="N568" s="462">
        <v>250</v>
      </c>
      <c r="O568" s="462">
        <f t="shared" si="211"/>
        <v>4023.4</v>
      </c>
      <c r="P568" s="488">
        <f t="shared" si="212"/>
        <v>1234</v>
      </c>
      <c r="Q568" s="489">
        <f t="shared" si="213"/>
        <v>1217.0958904109589</v>
      </c>
      <c r="R568" s="489">
        <f t="shared" si="214"/>
        <v>65.753424657534239</v>
      </c>
      <c r="S568" s="490">
        <f t="shared" si="215"/>
        <v>15808</v>
      </c>
      <c r="T568" s="490">
        <f t="shared" si="216"/>
        <v>18324.849315068492</v>
      </c>
      <c r="U568" s="491">
        <f t="shared" si="217"/>
        <v>182.26</v>
      </c>
      <c r="V568" s="498">
        <f>(O568-N568)*11%</f>
        <v>415.07400000000001</v>
      </c>
      <c r="W568" s="462">
        <v>10</v>
      </c>
      <c r="X568" s="462"/>
      <c r="Y568" s="462"/>
      <c r="Z568" s="462">
        <f t="shared" si="218"/>
        <v>607.33400000000006</v>
      </c>
      <c r="AA568" s="462">
        <f t="shared" si="219"/>
        <v>3416.0659999999998</v>
      </c>
      <c r="AB568" s="489">
        <v>1000</v>
      </c>
    </row>
    <row r="569" spans="1:28" s="486" customFormat="1" ht="12">
      <c r="A569" s="456">
        <v>5</v>
      </c>
      <c r="B569" s="457" t="s">
        <v>761</v>
      </c>
      <c r="C569" s="497">
        <v>9901443157</v>
      </c>
      <c r="D569" s="459" t="s">
        <v>762</v>
      </c>
      <c r="E569" s="460" t="s">
        <v>32</v>
      </c>
      <c r="F569" s="461">
        <v>31</v>
      </c>
      <c r="G569" s="462">
        <v>71.400000000000006</v>
      </c>
      <c r="H569" s="462">
        <f t="shared" si="208"/>
        <v>2213.4</v>
      </c>
      <c r="I569" s="462">
        <f t="shared" si="209"/>
        <v>8568</v>
      </c>
      <c r="J569" s="463">
        <v>4</v>
      </c>
      <c r="K569" s="464">
        <v>0</v>
      </c>
      <c r="L569" s="462">
        <f t="shared" si="210"/>
        <v>1760</v>
      </c>
      <c r="M569" s="462">
        <v>1510</v>
      </c>
      <c r="N569" s="462">
        <v>250</v>
      </c>
      <c r="O569" s="462">
        <f t="shared" si="211"/>
        <v>3973.4</v>
      </c>
      <c r="P569" s="488">
        <f t="shared" si="212"/>
        <v>1217.3333333333333</v>
      </c>
      <c r="Q569" s="489">
        <f t="shared" si="213"/>
        <v>1200.6575342465753</v>
      </c>
      <c r="R569" s="489">
        <f t="shared" si="214"/>
        <v>65.753424657534239</v>
      </c>
      <c r="S569" s="490">
        <f t="shared" si="215"/>
        <v>15608</v>
      </c>
      <c r="T569" s="490">
        <f t="shared" si="216"/>
        <v>18091.744292237443</v>
      </c>
      <c r="U569" s="491">
        <f t="shared" si="217"/>
        <v>179.84</v>
      </c>
      <c r="V569" s="462"/>
      <c r="W569" s="462">
        <v>10</v>
      </c>
      <c r="X569" s="462"/>
      <c r="Y569" s="462"/>
      <c r="Z569" s="462">
        <f t="shared" si="218"/>
        <v>189.84</v>
      </c>
      <c r="AA569" s="462">
        <f t="shared" si="219"/>
        <v>3783.56</v>
      </c>
      <c r="AB569" s="489">
        <v>1000</v>
      </c>
    </row>
    <row r="570" spans="1:28" s="486" customFormat="1" ht="12">
      <c r="A570" s="456">
        <v>6</v>
      </c>
      <c r="B570" s="466" t="s">
        <v>763</v>
      </c>
      <c r="C570" s="497">
        <v>9901442952</v>
      </c>
      <c r="D570" s="459" t="s">
        <v>764</v>
      </c>
      <c r="E570" s="460" t="s">
        <v>1175</v>
      </c>
      <c r="F570" s="461">
        <v>31</v>
      </c>
      <c r="G570" s="462">
        <v>71.400000000000006</v>
      </c>
      <c r="H570" s="462">
        <f t="shared" si="208"/>
        <v>2213.4</v>
      </c>
      <c r="I570" s="462">
        <f t="shared" si="209"/>
        <v>8568</v>
      </c>
      <c r="J570" s="463">
        <v>4</v>
      </c>
      <c r="K570" s="464">
        <v>75</v>
      </c>
      <c r="L570" s="462">
        <f t="shared" si="210"/>
        <v>1760</v>
      </c>
      <c r="M570" s="462">
        <v>1510</v>
      </c>
      <c r="N570" s="462">
        <v>250</v>
      </c>
      <c r="O570" s="462">
        <f t="shared" si="211"/>
        <v>4048.4</v>
      </c>
      <c r="P570" s="488">
        <f t="shared" si="212"/>
        <v>1242.3333333333333</v>
      </c>
      <c r="Q570" s="489">
        <f t="shared" si="213"/>
        <v>1225.3150684931506</v>
      </c>
      <c r="R570" s="489">
        <f t="shared" si="214"/>
        <v>65.753424657534239</v>
      </c>
      <c r="S570" s="490">
        <f t="shared" si="215"/>
        <v>15908</v>
      </c>
      <c r="T570" s="490">
        <f t="shared" si="216"/>
        <v>18441.401826484016</v>
      </c>
      <c r="U570" s="491">
        <f t="shared" si="217"/>
        <v>183.46</v>
      </c>
      <c r="V570" s="498">
        <f>(O570-N570)*11%</f>
        <v>417.82400000000001</v>
      </c>
      <c r="W570" s="462">
        <v>10</v>
      </c>
      <c r="X570" s="462"/>
      <c r="Y570" s="462"/>
      <c r="Z570" s="462">
        <f t="shared" si="218"/>
        <v>611.28399999999999</v>
      </c>
      <c r="AA570" s="462">
        <f t="shared" si="219"/>
        <v>3437.116</v>
      </c>
      <c r="AB570" s="489">
        <v>1000</v>
      </c>
    </row>
    <row r="571" spans="1:28" s="507" customFormat="1" ht="12">
      <c r="A571" s="456">
        <v>1</v>
      </c>
      <c r="B571" s="466" t="s">
        <v>1097</v>
      </c>
      <c r="C571" s="497">
        <v>9901443924</v>
      </c>
      <c r="D571" s="459" t="s">
        <v>1098</v>
      </c>
      <c r="E571" s="460" t="s">
        <v>32</v>
      </c>
      <c r="F571" s="461">
        <v>31</v>
      </c>
      <c r="G571" s="498">
        <v>71.400000000000006</v>
      </c>
      <c r="H571" s="462">
        <f t="shared" ref="H571:H608" si="220">+F571*G571</f>
        <v>2213.4</v>
      </c>
      <c r="I571" s="462">
        <f t="shared" ref="I571:I608" si="221">G571*120</f>
        <v>8568</v>
      </c>
      <c r="J571" s="463">
        <v>4</v>
      </c>
      <c r="K571" s="534">
        <v>0</v>
      </c>
      <c r="L571" s="462">
        <f t="shared" ref="L571:L608" si="222">M571+N571</f>
        <v>1760</v>
      </c>
      <c r="M571" s="462">
        <v>1510</v>
      </c>
      <c r="N571" s="462">
        <v>250</v>
      </c>
      <c r="O571" s="462">
        <f t="shared" ref="O571:O608" si="223">+H571+M571+N571+K571</f>
        <v>3973.4</v>
      </c>
      <c r="P571" s="488">
        <f t="shared" ref="P571:P608" si="224">(((G571*120)+(K571+M571)*4)/12)</f>
        <v>1217.3333333333333</v>
      </c>
      <c r="Q571" s="489">
        <f t="shared" ref="Q571:Q608" si="225">(((G571*30)+M571+K571)/365*120)</f>
        <v>1200.6575342465753</v>
      </c>
      <c r="R571" s="489">
        <f t="shared" ref="R571:R608" si="226">+(200/365)*120</f>
        <v>65.753424657534239</v>
      </c>
      <c r="S571" s="490">
        <f t="shared" ref="S571:S608" si="227">(((G571*120)+((K571+M571+N571)*4)))</f>
        <v>15608</v>
      </c>
      <c r="T571" s="490">
        <f t="shared" ref="T571:T608" si="228">+S571+R571+Q571+P571</f>
        <v>18091.744292237443</v>
      </c>
      <c r="U571" s="491">
        <f t="shared" ref="U571:U608" si="229">ROUND((((H571+K571+M571)*4.83)/100),2)</f>
        <v>179.84</v>
      </c>
      <c r="V571" s="498"/>
      <c r="W571" s="498">
        <v>10</v>
      </c>
      <c r="X571" s="498"/>
      <c r="Y571" s="498"/>
      <c r="Z571" s="462">
        <f t="shared" ref="Z571:Z608" si="230">V571+W571+X571+Y571+U571</f>
        <v>189.84</v>
      </c>
      <c r="AA571" s="462">
        <f t="shared" ref="AA571:AA608" si="231">+O571-Z571</f>
        <v>3783.56</v>
      </c>
      <c r="AB571" s="489">
        <v>1000</v>
      </c>
    </row>
    <row r="572" spans="1:28" s="507" customFormat="1" ht="12">
      <c r="A572" s="456">
        <v>2</v>
      </c>
      <c r="B572" s="457" t="s">
        <v>1099</v>
      </c>
      <c r="C572" s="497">
        <v>9901442932</v>
      </c>
      <c r="D572" s="459" t="s">
        <v>1100</v>
      </c>
      <c r="E572" s="460" t="s">
        <v>44</v>
      </c>
      <c r="F572" s="461">
        <v>31</v>
      </c>
      <c r="G572" s="498">
        <v>72.540000000000006</v>
      </c>
      <c r="H572" s="462">
        <f t="shared" si="220"/>
        <v>2248.7400000000002</v>
      </c>
      <c r="I572" s="462">
        <f t="shared" si="221"/>
        <v>8704.8000000000011</v>
      </c>
      <c r="J572" s="463">
        <v>4</v>
      </c>
      <c r="K572" s="534">
        <v>0</v>
      </c>
      <c r="L572" s="462">
        <f t="shared" si="222"/>
        <v>1760</v>
      </c>
      <c r="M572" s="462">
        <v>1510</v>
      </c>
      <c r="N572" s="462">
        <v>250</v>
      </c>
      <c r="O572" s="462">
        <f t="shared" si="223"/>
        <v>4008.7400000000002</v>
      </c>
      <c r="P572" s="488">
        <f t="shared" si="224"/>
        <v>1228.7333333333333</v>
      </c>
      <c r="Q572" s="489">
        <f t="shared" si="225"/>
        <v>1211.9013698630138</v>
      </c>
      <c r="R572" s="489">
        <f t="shared" si="226"/>
        <v>65.753424657534239</v>
      </c>
      <c r="S572" s="490">
        <f t="shared" si="227"/>
        <v>15744.800000000001</v>
      </c>
      <c r="T572" s="490">
        <f t="shared" si="228"/>
        <v>18251.188127853882</v>
      </c>
      <c r="U572" s="491">
        <f t="shared" si="229"/>
        <v>181.55</v>
      </c>
      <c r="V572" s="498">
        <f>(O572-N572)*11%</f>
        <v>413.46140000000003</v>
      </c>
      <c r="W572" s="498">
        <v>10</v>
      </c>
      <c r="X572" s="498"/>
      <c r="Y572" s="498">
        <v>1402.27</v>
      </c>
      <c r="Z572" s="462">
        <f t="shared" si="230"/>
        <v>2007.2814000000001</v>
      </c>
      <c r="AA572" s="462">
        <f t="shared" si="231"/>
        <v>2001.4586000000002</v>
      </c>
      <c r="AB572" s="489">
        <v>1000</v>
      </c>
    </row>
    <row r="573" spans="1:28" s="507" customFormat="1">
      <c r="A573" s="456">
        <v>3</v>
      </c>
      <c r="B573" s="457" t="s">
        <v>1101</v>
      </c>
      <c r="C573" s="497">
        <v>9901442919</v>
      </c>
      <c r="D573" s="459" t="s">
        <v>1102</v>
      </c>
      <c r="E573" s="460" t="s">
        <v>1175</v>
      </c>
      <c r="F573" s="461">
        <v>31</v>
      </c>
      <c r="G573" s="498">
        <v>71.400000000000006</v>
      </c>
      <c r="H573" s="462">
        <f t="shared" si="220"/>
        <v>2213.4</v>
      </c>
      <c r="I573" s="462">
        <f t="shared" si="221"/>
        <v>8568</v>
      </c>
      <c r="J573" s="463">
        <v>4</v>
      </c>
      <c r="K573" s="534">
        <v>0</v>
      </c>
      <c r="L573" s="462">
        <f t="shared" si="222"/>
        <v>1760</v>
      </c>
      <c r="M573" s="462">
        <v>1510</v>
      </c>
      <c r="N573" s="462">
        <v>250</v>
      </c>
      <c r="O573" s="462">
        <f t="shared" si="223"/>
        <v>3973.4</v>
      </c>
      <c r="P573" s="488">
        <f t="shared" si="224"/>
        <v>1217.3333333333333</v>
      </c>
      <c r="Q573" s="489">
        <f t="shared" si="225"/>
        <v>1200.6575342465753</v>
      </c>
      <c r="R573" s="489">
        <f t="shared" si="226"/>
        <v>65.753424657534239</v>
      </c>
      <c r="S573" s="490">
        <f t="shared" si="227"/>
        <v>15608</v>
      </c>
      <c r="T573" s="490">
        <f t="shared" si="228"/>
        <v>18091.744292237443</v>
      </c>
      <c r="U573" s="491">
        <f t="shared" si="229"/>
        <v>179.84</v>
      </c>
      <c r="V573" s="498">
        <f>(O573-N573)*11%</f>
        <v>409.57400000000001</v>
      </c>
      <c r="W573" s="498">
        <v>10</v>
      </c>
      <c r="X573" s="512">
        <v>930.85</v>
      </c>
      <c r="Y573" s="498">
        <v>1793.53</v>
      </c>
      <c r="Z573" s="462">
        <f t="shared" si="230"/>
        <v>3323.7939999999999</v>
      </c>
      <c r="AA573" s="462">
        <f t="shared" si="231"/>
        <v>649.60600000000022</v>
      </c>
      <c r="AB573" s="489">
        <v>1000</v>
      </c>
    </row>
    <row r="574" spans="1:28" s="507" customFormat="1" ht="12">
      <c r="A574" s="456">
        <v>4</v>
      </c>
      <c r="B574" s="466" t="s">
        <v>1103</v>
      </c>
      <c r="C574" s="497">
        <v>9901442754</v>
      </c>
      <c r="D574" s="459" t="s">
        <v>1104</v>
      </c>
      <c r="E574" s="460" t="s">
        <v>1175</v>
      </c>
      <c r="F574" s="461">
        <v>31</v>
      </c>
      <c r="G574" s="498">
        <v>71.400000000000006</v>
      </c>
      <c r="H574" s="462">
        <f t="shared" si="220"/>
        <v>2213.4</v>
      </c>
      <c r="I574" s="462">
        <f t="shared" si="221"/>
        <v>8568</v>
      </c>
      <c r="J574" s="463">
        <v>4</v>
      </c>
      <c r="K574" s="534">
        <v>75</v>
      </c>
      <c r="L574" s="462">
        <f t="shared" si="222"/>
        <v>1760</v>
      </c>
      <c r="M574" s="462">
        <v>1510</v>
      </c>
      <c r="N574" s="462">
        <v>250</v>
      </c>
      <c r="O574" s="462">
        <f t="shared" si="223"/>
        <v>4048.4</v>
      </c>
      <c r="P574" s="488">
        <f t="shared" si="224"/>
        <v>1242.3333333333333</v>
      </c>
      <c r="Q574" s="489">
        <f t="shared" si="225"/>
        <v>1225.3150684931506</v>
      </c>
      <c r="R574" s="489">
        <f t="shared" si="226"/>
        <v>65.753424657534239</v>
      </c>
      <c r="S574" s="490">
        <f t="shared" si="227"/>
        <v>15908</v>
      </c>
      <c r="T574" s="490">
        <f t="shared" si="228"/>
        <v>18441.401826484016</v>
      </c>
      <c r="U574" s="491">
        <f t="shared" si="229"/>
        <v>183.46</v>
      </c>
      <c r="V574" s="498"/>
      <c r="W574" s="498">
        <v>10</v>
      </c>
      <c r="X574" s="498"/>
      <c r="Y574" s="498"/>
      <c r="Z574" s="462">
        <f t="shared" si="230"/>
        <v>193.46</v>
      </c>
      <c r="AA574" s="462">
        <f t="shared" si="231"/>
        <v>3854.94</v>
      </c>
      <c r="AB574" s="489">
        <v>1000</v>
      </c>
    </row>
    <row r="575" spans="1:28" s="507" customFormat="1" ht="12">
      <c r="A575" s="456">
        <v>5</v>
      </c>
      <c r="B575" s="457" t="s">
        <v>1105</v>
      </c>
      <c r="C575" s="497">
        <v>9901442758</v>
      </c>
      <c r="D575" s="459" t="s">
        <v>1106</v>
      </c>
      <c r="E575" s="460" t="s">
        <v>32</v>
      </c>
      <c r="F575" s="461">
        <v>31</v>
      </c>
      <c r="G575" s="498">
        <v>71.400000000000006</v>
      </c>
      <c r="H575" s="462">
        <f t="shared" si="220"/>
        <v>2213.4</v>
      </c>
      <c r="I575" s="462">
        <f t="shared" si="221"/>
        <v>8568</v>
      </c>
      <c r="J575" s="463">
        <v>4</v>
      </c>
      <c r="K575" s="534">
        <v>75</v>
      </c>
      <c r="L575" s="462">
        <f t="shared" si="222"/>
        <v>1760</v>
      </c>
      <c r="M575" s="462">
        <v>1510</v>
      </c>
      <c r="N575" s="462">
        <v>250</v>
      </c>
      <c r="O575" s="462">
        <f t="shared" si="223"/>
        <v>4048.4</v>
      </c>
      <c r="P575" s="488">
        <f t="shared" si="224"/>
        <v>1242.3333333333333</v>
      </c>
      <c r="Q575" s="489">
        <f t="shared" si="225"/>
        <v>1225.3150684931506</v>
      </c>
      <c r="R575" s="489">
        <f t="shared" si="226"/>
        <v>65.753424657534239</v>
      </c>
      <c r="S575" s="490">
        <f t="shared" si="227"/>
        <v>15908</v>
      </c>
      <c r="T575" s="490">
        <f t="shared" si="228"/>
        <v>18441.401826484016</v>
      </c>
      <c r="U575" s="491">
        <f t="shared" si="229"/>
        <v>183.46</v>
      </c>
      <c r="V575" s="498"/>
      <c r="W575" s="498">
        <v>10</v>
      </c>
      <c r="X575" s="498"/>
      <c r="Y575" s="498"/>
      <c r="Z575" s="462">
        <f t="shared" si="230"/>
        <v>193.46</v>
      </c>
      <c r="AA575" s="462">
        <f t="shared" si="231"/>
        <v>3854.94</v>
      </c>
      <c r="AB575" s="489">
        <v>1000</v>
      </c>
    </row>
    <row r="576" spans="1:28" s="507" customFormat="1" ht="12">
      <c r="A576" s="456">
        <v>6</v>
      </c>
      <c r="B576" s="457" t="s">
        <v>1107</v>
      </c>
      <c r="C576" s="497">
        <v>9901442747</v>
      </c>
      <c r="D576" s="459" t="s">
        <v>1108</v>
      </c>
      <c r="E576" s="460" t="s">
        <v>1175</v>
      </c>
      <c r="F576" s="461">
        <v>31</v>
      </c>
      <c r="G576" s="498">
        <v>71.400000000000006</v>
      </c>
      <c r="H576" s="462">
        <f t="shared" si="220"/>
        <v>2213.4</v>
      </c>
      <c r="I576" s="462">
        <f t="shared" si="221"/>
        <v>8568</v>
      </c>
      <c r="J576" s="463">
        <v>4</v>
      </c>
      <c r="K576" s="534">
        <v>75</v>
      </c>
      <c r="L576" s="462">
        <f t="shared" si="222"/>
        <v>1760</v>
      </c>
      <c r="M576" s="462">
        <v>1510</v>
      </c>
      <c r="N576" s="462">
        <v>250</v>
      </c>
      <c r="O576" s="462">
        <f t="shared" si="223"/>
        <v>4048.4</v>
      </c>
      <c r="P576" s="488">
        <f t="shared" si="224"/>
        <v>1242.3333333333333</v>
      </c>
      <c r="Q576" s="489">
        <f t="shared" si="225"/>
        <v>1225.3150684931506</v>
      </c>
      <c r="R576" s="489">
        <f t="shared" si="226"/>
        <v>65.753424657534239</v>
      </c>
      <c r="S576" s="490">
        <f t="shared" si="227"/>
        <v>15908</v>
      </c>
      <c r="T576" s="490">
        <f t="shared" si="228"/>
        <v>18441.401826484016</v>
      </c>
      <c r="U576" s="491">
        <f t="shared" si="229"/>
        <v>183.46</v>
      </c>
      <c r="V576" s="498"/>
      <c r="W576" s="498">
        <v>10</v>
      </c>
      <c r="X576" s="498"/>
      <c r="Y576" s="498"/>
      <c r="Z576" s="462">
        <f t="shared" si="230"/>
        <v>193.46</v>
      </c>
      <c r="AA576" s="462">
        <f t="shared" si="231"/>
        <v>3854.94</v>
      </c>
      <c r="AB576" s="489">
        <v>1000</v>
      </c>
    </row>
    <row r="577" spans="1:28" s="507" customFormat="1" ht="12">
      <c r="A577" s="456">
        <v>7</v>
      </c>
      <c r="B577" s="457" t="s">
        <v>1109</v>
      </c>
      <c r="C577" s="497">
        <v>9901442763</v>
      </c>
      <c r="D577" s="459" t="s">
        <v>1110</v>
      </c>
      <c r="E577" s="460" t="s">
        <v>72</v>
      </c>
      <c r="F577" s="461">
        <v>31</v>
      </c>
      <c r="G577" s="498">
        <v>71.400000000000006</v>
      </c>
      <c r="H577" s="462">
        <f t="shared" si="220"/>
        <v>2213.4</v>
      </c>
      <c r="I577" s="462">
        <f t="shared" si="221"/>
        <v>8568</v>
      </c>
      <c r="J577" s="463">
        <v>4</v>
      </c>
      <c r="K577" s="534">
        <v>75</v>
      </c>
      <c r="L577" s="462">
        <f t="shared" si="222"/>
        <v>1760</v>
      </c>
      <c r="M577" s="462">
        <v>1510</v>
      </c>
      <c r="N577" s="462">
        <v>250</v>
      </c>
      <c r="O577" s="462">
        <f t="shared" si="223"/>
        <v>4048.4</v>
      </c>
      <c r="P577" s="488">
        <f t="shared" si="224"/>
        <v>1242.3333333333333</v>
      </c>
      <c r="Q577" s="489">
        <f t="shared" si="225"/>
        <v>1225.3150684931506</v>
      </c>
      <c r="R577" s="489">
        <f t="shared" si="226"/>
        <v>65.753424657534239</v>
      </c>
      <c r="S577" s="490">
        <f t="shared" si="227"/>
        <v>15908</v>
      </c>
      <c r="T577" s="490">
        <f t="shared" si="228"/>
        <v>18441.401826484016</v>
      </c>
      <c r="U577" s="491">
        <f t="shared" si="229"/>
        <v>183.46</v>
      </c>
      <c r="V577" s="498"/>
      <c r="W577" s="498">
        <v>10</v>
      </c>
      <c r="X577" s="498"/>
      <c r="Y577" s="498">
        <v>1741.38</v>
      </c>
      <c r="Z577" s="462">
        <f t="shared" si="230"/>
        <v>1934.8400000000001</v>
      </c>
      <c r="AA577" s="462">
        <f t="shared" si="231"/>
        <v>2113.56</v>
      </c>
      <c r="AB577" s="489">
        <v>1000</v>
      </c>
    </row>
    <row r="578" spans="1:28" s="507" customFormat="1" ht="12">
      <c r="A578" s="456">
        <v>8</v>
      </c>
      <c r="B578" s="466" t="s">
        <v>1111</v>
      </c>
      <c r="C578" s="497">
        <v>9901442766</v>
      </c>
      <c r="D578" s="459" t="s">
        <v>1112</v>
      </c>
      <c r="E578" s="460" t="s">
        <v>1175</v>
      </c>
      <c r="F578" s="461">
        <v>31</v>
      </c>
      <c r="G578" s="498">
        <v>71.400000000000006</v>
      </c>
      <c r="H578" s="462">
        <f t="shared" si="220"/>
        <v>2213.4</v>
      </c>
      <c r="I578" s="462">
        <f t="shared" si="221"/>
        <v>8568</v>
      </c>
      <c r="J578" s="463">
        <v>4</v>
      </c>
      <c r="K578" s="534">
        <v>75</v>
      </c>
      <c r="L578" s="462">
        <f t="shared" si="222"/>
        <v>1760</v>
      </c>
      <c r="M578" s="462">
        <v>1510</v>
      </c>
      <c r="N578" s="462">
        <v>250</v>
      </c>
      <c r="O578" s="462">
        <f t="shared" si="223"/>
        <v>4048.4</v>
      </c>
      <c r="P578" s="488">
        <f t="shared" si="224"/>
        <v>1242.3333333333333</v>
      </c>
      <c r="Q578" s="489">
        <f t="shared" si="225"/>
        <v>1225.3150684931506</v>
      </c>
      <c r="R578" s="489">
        <f t="shared" si="226"/>
        <v>65.753424657534239</v>
      </c>
      <c r="S578" s="490">
        <f t="shared" si="227"/>
        <v>15908</v>
      </c>
      <c r="T578" s="490">
        <f t="shared" si="228"/>
        <v>18441.401826484016</v>
      </c>
      <c r="U578" s="491">
        <f t="shared" si="229"/>
        <v>183.46</v>
      </c>
      <c r="V578" s="498">
        <f>(O578-N578)*11%</f>
        <v>417.82400000000001</v>
      </c>
      <c r="W578" s="498">
        <v>10</v>
      </c>
      <c r="X578" s="498"/>
      <c r="Y578" s="498">
        <v>1787.51</v>
      </c>
      <c r="Z578" s="462">
        <f t="shared" si="230"/>
        <v>2398.7939999999999</v>
      </c>
      <c r="AA578" s="462">
        <f t="shared" si="231"/>
        <v>1649.6060000000002</v>
      </c>
      <c r="AB578" s="489">
        <v>1000</v>
      </c>
    </row>
    <row r="579" spans="1:28" s="507" customFormat="1" ht="12">
      <c r="A579" s="456">
        <v>9</v>
      </c>
      <c r="B579" s="457" t="s">
        <v>1113</v>
      </c>
      <c r="C579" s="497">
        <v>9901442765</v>
      </c>
      <c r="D579" s="459" t="s">
        <v>1114</v>
      </c>
      <c r="E579" s="460" t="s">
        <v>44</v>
      </c>
      <c r="F579" s="461">
        <v>31</v>
      </c>
      <c r="G579" s="498">
        <v>72.540000000000006</v>
      </c>
      <c r="H579" s="462">
        <f t="shared" si="220"/>
        <v>2248.7400000000002</v>
      </c>
      <c r="I579" s="462">
        <f t="shared" si="221"/>
        <v>8704.8000000000011</v>
      </c>
      <c r="J579" s="463">
        <v>4</v>
      </c>
      <c r="K579" s="534">
        <v>75</v>
      </c>
      <c r="L579" s="462">
        <f t="shared" si="222"/>
        <v>1760</v>
      </c>
      <c r="M579" s="462">
        <v>1510</v>
      </c>
      <c r="N579" s="462">
        <v>250</v>
      </c>
      <c r="O579" s="462">
        <f t="shared" si="223"/>
        <v>4083.7400000000002</v>
      </c>
      <c r="P579" s="488">
        <f t="shared" si="224"/>
        <v>1253.7333333333333</v>
      </c>
      <c r="Q579" s="489">
        <f t="shared" si="225"/>
        <v>1236.5589041095891</v>
      </c>
      <c r="R579" s="489">
        <f t="shared" si="226"/>
        <v>65.753424657534239</v>
      </c>
      <c r="S579" s="490">
        <f t="shared" si="227"/>
        <v>16044.800000000001</v>
      </c>
      <c r="T579" s="490">
        <f t="shared" si="228"/>
        <v>18600.845662100459</v>
      </c>
      <c r="U579" s="491">
        <f t="shared" si="229"/>
        <v>185.17</v>
      </c>
      <c r="V579" s="498"/>
      <c r="W579" s="498">
        <v>10</v>
      </c>
      <c r="X579" s="498"/>
      <c r="Y579" s="498">
        <v>1871.56</v>
      </c>
      <c r="Z579" s="462">
        <f t="shared" si="230"/>
        <v>2066.73</v>
      </c>
      <c r="AA579" s="462">
        <f t="shared" si="231"/>
        <v>2017.0100000000002</v>
      </c>
      <c r="AB579" s="489">
        <v>1000</v>
      </c>
    </row>
    <row r="580" spans="1:28" s="507" customFormat="1" ht="12">
      <c r="A580" s="456">
        <v>10</v>
      </c>
      <c r="B580" s="466" t="s">
        <v>1115</v>
      </c>
      <c r="C580" s="497">
        <v>9901442931</v>
      </c>
      <c r="D580" s="459" t="s">
        <v>1116</v>
      </c>
      <c r="E580" s="460" t="s">
        <v>1175</v>
      </c>
      <c r="F580" s="461">
        <v>31</v>
      </c>
      <c r="G580" s="498">
        <v>71.400000000000006</v>
      </c>
      <c r="H580" s="462">
        <f t="shared" si="220"/>
        <v>2213.4</v>
      </c>
      <c r="I580" s="462">
        <f t="shared" si="221"/>
        <v>8568</v>
      </c>
      <c r="J580" s="463">
        <v>4</v>
      </c>
      <c r="K580" s="533">
        <v>50</v>
      </c>
      <c r="L580" s="462">
        <f t="shared" si="222"/>
        <v>1760</v>
      </c>
      <c r="M580" s="462">
        <v>1510</v>
      </c>
      <c r="N580" s="462">
        <v>250</v>
      </c>
      <c r="O580" s="462">
        <f t="shared" si="223"/>
        <v>4023.4</v>
      </c>
      <c r="P580" s="488">
        <f t="shared" si="224"/>
        <v>1234</v>
      </c>
      <c r="Q580" s="489">
        <f t="shared" si="225"/>
        <v>1217.0958904109589</v>
      </c>
      <c r="R580" s="489">
        <f t="shared" si="226"/>
        <v>65.753424657534239</v>
      </c>
      <c r="S580" s="490">
        <f t="shared" si="227"/>
        <v>15808</v>
      </c>
      <c r="T580" s="490">
        <f t="shared" si="228"/>
        <v>18324.849315068492</v>
      </c>
      <c r="U580" s="491">
        <f t="shared" si="229"/>
        <v>182.26</v>
      </c>
      <c r="V580" s="498"/>
      <c r="W580" s="498">
        <v>10</v>
      </c>
      <c r="X580" s="498"/>
      <c r="Y580" s="498">
        <v>3658.56</v>
      </c>
      <c r="Z580" s="462">
        <f t="shared" si="230"/>
        <v>3850.8199999999997</v>
      </c>
      <c r="AA580" s="462">
        <f t="shared" si="231"/>
        <v>172.58000000000038</v>
      </c>
      <c r="AB580" s="489">
        <v>1000</v>
      </c>
    </row>
    <row r="581" spans="1:28" s="507" customFormat="1" ht="12">
      <c r="A581" s="456">
        <v>11</v>
      </c>
      <c r="B581" s="457" t="s">
        <v>1117</v>
      </c>
      <c r="C581" s="497">
        <v>9901442755</v>
      </c>
      <c r="D581" s="459" t="s">
        <v>1118</v>
      </c>
      <c r="E581" s="460" t="s">
        <v>32</v>
      </c>
      <c r="F581" s="461">
        <v>31</v>
      </c>
      <c r="G581" s="498">
        <v>71.400000000000006</v>
      </c>
      <c r="H581" s="462">
        <f t="shared" si="220"/>
        <v>2213.4</v>
      </c>
      <c r="I581" s="462">
        <f t="shared" si="221"/>
        <v>8568</v>
      </c>
      <c r="J581" s="463">
        <v>4</v>
      </c>
      <c r="K581" s="534">
        <v>75</v>
      </c>
      <c r="L581" s="462">
        <f t="shared" si="222"/>
        <v>1760</v>
      </c>
      <c r="M581" s="462">
        <v>1510</v>
      </c>
      <c r="N581" s="462">
        <v>250</v>
      </c>
      <c r="O581" s="462">
        <f t="shared" si="223"/>
        <v>4048.4</v>
      </c>
      <c r="P581" s="488">
        <f t="shared" si="224"/>
        <v>1242.3333333333333</v>
      </c>
      <c r="Q581" s="489">
        <f t="shared" si="225"/>
        <v>1225.3150684931506</v>
      </c>
      <c r="R581" s="489">
        <f t="shared" si="226"/>
        <v>65.753424657534239</v>
      </c>
      <c r="S581" s="490">
        <f t="shared" si="227"/>
        <v>15908</v>
      </c>
      <c r="T581" s="490">
        <f t="shared" si="228"/>
        <v>18441.401826484016</v>
      </c>
      <c r="U581" s="491">
        <f t="shared" si="229"/>
        <v>183.46</v>
      </c>
      <c r="V581" s="498"/>
      <c r="W581" s="498">
        <v>10</v>
      </c>
      <c r="X581" s="498"/>
      <c r="Y581" s="498"/>
      <c r="Z581" s="462">
        <f t="shared" si="230"/>
        <v>193.46</v>
      </c>
      <c r="AA581" s="462">
        <f t="shared" si="231"/>
        <v>3854.94</v>
      </c>
      <c r="AB581" s="489">
        <v>1000</v>
      </c>
    </row>
    <row r="582" spans="1:28" s="507" customFormat="1" ht="12">
      <c r="A582" s="456">
        <v>12</v>
      </c>
      <c r="B582" s="457" t="s">
        <v>1119</v>
      </c>
      <c r="C582" s="497">
        <v>9901443435</v>
      </c>
      <c r="D582" s="459" t="s">
        <v>1120</v>
      </c>
      <c r="E582" s="460" t="s">
        <v>35</v>
      </c>
      <c r="F582" s="461">
        <v>31</v>
      </c>
      <c r="G582" s="498">
        <v>71.400000000000006</v>
      </c>
      <c r="H582" s="462">
        <f t="shared" si="220"/>
        <v>2213.4</v>
      </c>
      <c r="I582" s="462">
        <f t="shared" si="221"/>
        <v>8568</v>
      </c>
      <c r="J582" s="463">
        <v>4</v>
      </c>
      <c r="K582" s="534"/>
      <c r="L582" s="462">
        <f t="shared" si="222"/>
        <v>1760</v>
      </c>
      <c r="M582" s="462">
        <v>1510</v>
      </c>
      <c r="N582" s="462">
        <v>250</v>
      </c>
      <c r="O582" s="462">
        <f t="shared" si="223"/>
        <v>3973.4</v>
      </c>
      <c r="P582" s="488">
        <f t="shared" si="224"/>
        <v>1217.3333333333333</v>
      </c>
      <c r="Q582" s="489">
        <f t="shared" si="225"/>
        <v>1200.6575342465753</v>
      </c>
      <c r="R582" s="489">
        <f t="shared" si="226"/>
        <v>65.753424657534239</v>
      </c>
      <c r="S582" s="490">
        <f t="shared" si="227"/>
        <v>15608</v>
      </c>
      <c r="T582" s="490">
        <f t="shared" si="228"/>
        <v>18091.744292237443</v>
      </c>
      <c r="U582" s="491">
        <f t="shared" si="229"/>
        <v>179.84</v>
      </c>
      <c r="V582" s="498"/>
      <c r="W582" s="498"/>
      <c r="X582" s="498"/>
      <c r="Y582" s="498"/>
      <c r="Z582" s="462">
        <f t="shared" si="230"/>
        <v>179.84</v>
      </c>
      <c r="AA582" s="462">
        <f t="shared" si="231"/>
        <v>3793.56</v>
      </c>
      <c r="AB582" s="489">
        <v>1000</v>
      </c>
    </row>
    <row r="583" spans="1:28" s="507" customFormat="1" ht="12">
      <c r="A583" s="456">
        <v>13</v>
      </c>
      <c r="B583" s="466" t="s">
        <v>1121</v>
      </c>
      <c r="C583" s="497">
        <v>9901443886</v>
      </c>
      <c r="D583" s="459" t="s">
        <v>1122</v>
      </c>
      <c r="E583" s="460" t="s">
        <v>32</v>
      </c>
      <c r="F583" s="461">
        <v>31</v>
      </c>
      <c r="G583" s="498">
        <v>71.400000000000006</v>
      </c>
      <c r="H583" s="462">
        <f t="shared" si="220"/>
        <v>2213.4</v>
      </c>
      <c r="I583" s="462">
        <f t="shared" si="221"/>
        <v>8568</v>
      </c>
      <c r="J583" s="463">
        <v>4</v>
      </c>
      <c r="K583" s="534"/>
      <c r="L583" s="462">
        <f t="shared" si="222"/>
        <v>1760</v>
      </c>
      <c r="M583" s="462">
        <v>1510</v>
      </c>
      <c r="N583" s="462">
        <v>250</v>
      </c>
      <c r="O583" s="462">
        <f t="shared" si="223"/>
        <v>3973.4</v>
      </c>
      <c r="P583" s="488">
        <f t="shared" si="224"/>
        <v>1217.3333333333333</v>
      </c>
      <c r="Q583" s="489">
        <f t="shared" si="225"/>
        <v>1200.6575342465753</v>
      </c>
      <c r="R583" s="489">
        <f t="shared" si="226"/>
        <v>65.753424657534239</v>
      </c>
      <c r="S583" s="490">
        <f t="shared" si="227"/>
        <v>15608</v>
      </c>
      <c r="T583" s="490">
        <f t="shared" si="228"/>
        <v>18091.744292237443</v>
      </c>
      <c r="U583" s="491">
        <f t="shared" si="229"/>
        <v>179.84</v>
      </c>
      <c r="V583" s="498"/>
      <c r="W583" s="498">
        <v>10</v>
      </c>
      <c r="X583" s="498"/>
      <c r="Y583" s="498"/>
      <c r="Z583" s="462">
        <f t="shared" si="230"/>
        <v>189.84</v>
      </c>
      <c r="AA583" s="462">
        <f t="shared" si="231"/>
        <v>3783.56</v>
      </c>
      <c r="AB583" s="489">
        <v>1000</v>
      </c>
    </row>
    <row r="584" spans="1:28" s="507" customFormat="1" ht="12">
      <c r="A584" s="456">
        <v>14</v>
      </c>
      <c r="B584" s="457" t="s">
        <v>1123</v>
      </c>
      <c r="C584" s="497">
        <v>9901443701</v>
      </c>
      <c r="D584" s="459" t="s">
        <v>1124</v>
      </c>
      <c r="E584" s="460" t="s">
        <v>44</v>
      </c>
      <c r="F584" s="461">
        <v>31</v>
      </c>
      <c r="G584" s="498">
        <v>72.540000000000006</v>
      </c>
      <c r="H584" s="462">
        <f t="shared" si="220"/>
        <v>2248.7400000000002</v>
      </c>
      <c r="I584" s="462">
        <f t="shared" si="221"/>
        <v>8704.8000000000011</v>
      </c>
      <c r="J584" s="463">
        <v>4</v>
      </c>
      <c r="K584" s="534">
        <v>75</v>
      </c>
      <c r="L584" s="462">
        <f t="shared" si="222"/>
        <v>1760</v>
      </c>
      <c r="M584" s="462">
        <v>1510</v>
      </c>
      <c r="N584" s="462">
        <v>250</v>
      </c>
      <c r="O584" s="462">
        <f t="shared" si="223"/>
        <v>4083.7400000000002</v>
      </c>
      <c r="P584" s="488">
        <f t="shared" si="224"/>
        <v>1253.7333333333333</v>
      </c>
      <c r="Q584" s="489">
        <f t="shared" si="225"/>
        <v>1236.5589041095891</v>
      </c>
      <c r="R584" s="489">
        <f t="shared" si="226"/>
        <v>65.753424657534239</v>
      </c>
      <c r="S584" s="490">
        <f t="shared" si="227"/>
        <v>16044.800000000001</v>
      </c>
      <c r="T584" s="490">
        <f t="shared" si="228"/>
        <v>18600.845662100459</v>
      </c>
      <c r="U584" s="491">
        <f t="shared" si="229"/>
        <v>185.17</v>
      </c>
      <c r="V584" s="498"/>
      <c r="W584" s="498">
        <v>10</v>
      </c>
      <c r="X584" s="498"/>
      <c r="Y584" s="498"/>
      <c r="Z584" s="462">
        <f t="shared" si="230"/>
        <v>195.17</v>
      </c>
      <c r="AA584" s="462">
        <f t="shared" si="231"/>
        <v>3888.57</v>
      </c>
      <c r="AB584" s="489">
        <v>1000</v>
      </c>
    </row>
    <row r="585" spans="1:28" s="507" customFormat="1" ht="12">
      <c r="A585" s="456">
        <v>15</v>
      </c>
      <c r="B585" s="457" t="s">
        <v>1125</v>
      </c>
      <c r="C585" s="497">
        <v>9901443425</v>
      </c>
      <c r="D585" s="459" t="s">
        <v>1126</v>
      </c>
      <c r="E585" s="460" t="s">
        <v>39</v>
      </c>
      <c r="F585" s="461">
        <v>31</v>
      </c>
      <c r="G585" s="498">
        <v>78.25</v>
      </c>
      <c r="H585" s="462">
        <f t="shared" si="220"/>
        <v>2425.75</v>
      </c>
      <c r="I585" s="462">
        <f t="shared" si="221"/>
        <v>9390</v>
      </c>
      <c r="J585" s="463">
        <v>4</v>
      </c>
      <c r="K585" s="534">
        <v>75</v>
      </c>
      <c r="L585" s="462">
        <f t="shared" si="222"/>
        <v>1760</v>
      </c>
      <c r="M585" s="462">
        <v>1510</v>
      </c>
      <c r="N585" s="462">
        <v>250</v>
      </c>
      <c r="O585" s="462">
        <f t="shared" si="223"/>
        <v>4260.75</v>
      </c>
      <c r="P585" s="488">
        <f t="shared" si="224"/>
        <v>1310.8333333333333</v>
      </c>
      <c r="Q585" s="489">
        <f t="shared" si="225"/>
        <v>1292.8767123287671</v>
      </c>
      <c r="R585" s="489">
        <f t="shared" si="226"/>
        <v>65.753424657534239</v>
      </c>
      <c r="S585" s="490">
        <f t="shared" si="227"/>
        <v>16730</v>
      </c>
      <c r="T585" s="490">
        <f t="shared" si="228"/>
        <v>19399.463470319632</v>
      </c>
      <c r="U585" s="491">
        <f t="shared" si="229"/>
        <v>193.72</v>
      </c>
      <c r="V585" s="498"/>
      <c r="W585" s="498">
        <v>10</v>
      </c>
      <c r="X585" s="498"/>
      <c r="Y585" s="498"/>
      <c r="Z585" s="462">
        <f t="shared" si="230"/>
        <v>203.72</v>
      </c>
      <c r="AA585" s="462">
        <f t="shared" si="231"/>
        <v>4057.03</v>
      </c>
      <c r="AB585" s="489">
        <v>1000</v>
      </c>
    </row>
    <row r="586" spans="1:28" s="507" customFormat="1" ht="12">
      <c r="A586" s="456">
        <v>16</v>
      </c>
      <c r="B586" s="466" t="s">
        <v>1127</v>
      </c>
      <c r="C586" s="497">
        <v>9901443199</v>
      </c>
      <c r="D586" s="459" t="s">
        <v>1128</v>
      </c>
      <c r="E586" s="460" t="s">
        <v>32</v>
      </c>
      <c r="F586" s="461">
        <v>31</v>
      </c>
      <c r="G586" s="498">
        <v>71.400000000000006</v>
      </c>
      <c r="H586" s="462">
        <f t="shared" si="220"/>
        <v>2213.4</v>
      </c>
      <c r="I586" s="462">
        <f t="shared" si="221"/>
        <v>8568</v>
      </c>
      <c r="J586" s="463">
        <v>4</v>
      </c>
      <c r="K586" s="534"/>
      <c r="L586" s="462">
        <f t="shared" si="222"/>
        <v>1760</v>
      </c>
      <c r="M586" s="462">
        <v>1510</v>
      </c>
      <c r="N586" s="462">
        <v>250</v>
      </c>
      <c r="O586" s="462">
        <f t="shared" si="223"/>
        <v>3973.4</v>
      </c>
      <c r="P586" s="488">
        <f t="shared" si="224"/>
        <v>1217.3333333333333</v>
      </c>
      <c r="Q586" s="489">
        <f t="shared" si="225"/>
        <v>1200.6575342465753</v>
      </c>
      <c r="R586" s="489">
        <f t="shared" si="226"/>
        <v>65.753424657534239</v>
      </c>
      <c r="S586" s="490">
        <f t="shared" si="227"/>
        <v>15608</v>
      </c>
      <c r="T586" s="490">
        <f t="shared" si="228"/>
        <v>18091.744292237443</v>
      </c>
      <c r="U586" s="491">
        <f t="shared" si="229"/>
        <v>179.84</v>
      </c>
      <c r="V586" s="498">
        <f>(O586-N586)*11%</f>
        <v>409.57400000000001</v>
      </c>
      <c r="W586" s="498">
        <v>10</v>
      </c>
      <c r="X586" s="498"/>
      <c r="Y586" s="498">
        <v>573.59</v>
      </c>
      <c r="Z586" s="462">
        <f t="shared" si="230"/>
        <v>1173.0039999999999</v>
      </c>
      <c r="AA586" s="462">
        <f t="shared" si="231"/>
        <v>2800.3960000000002</v>
      </c>
      <c r="AB586" s="489">
        <v>1000</v>
      </c>
    </row>
    <row r="587" spans="1:28" s="507" customFormat="1" ht="12">
      <c r="A587" s="456">
        <v>17</v>
      </c>
      <c r="B587" s="466" t="s">
        <v>1129</v>
      </c>
      <c r="C587" s="497">
        <v>9901442767</v>
      </c>
      <c r="D587" s="459" t="s">
        <v>1130</v>
      </c>
      <c r="E587" s="460" t="s">
        <v>72</v>
      </c>
      <c r="F587" s="461">
        <v>31</v>
      </c>
      <c r="G587" s="498">
        <v>71.400000000000006</v>
      </c>
      <c r="H587" s="462">
        <f t="shared" si="220"/>
        <v>2213.4</v>
      </c>
      <c r="I587" s="462">
        <f t="shared" si="221"/>
        <v>8568</v>
      </c>
      <c r="J587" s="463">
        <v>4</v>
      </c>
      <c r="K587" s="534">
        <v>75</v>
      </c>
      <c r="L587" s="462">
        <f t="shared" si="222"/>
        <v>1760</v>
      </c>
      <c r="M587" s="462">
        <v>1510</v>
      </c>
      <c r="N587" s="462">
        <v>250</v>
      </c>
      <c r="O587" s="462">
        <f t="shared" si="223"/>
        <v>4048.4</v>
      </c>
      <c r="P587" s="488">
        <f t="shared" si="224"/>
        <v>1242.3333333333333</v>
      </c>
      <c r="Q587" s="489">
        <f t="shared" si="225"/>
        <v>1225.3150684931506</v>
      </c>
      <c r="R587" s="489">
        <f t="shared" si="226"/>
        <v>65.753424657534239</v>
      </c>
      <c r="S587" s="490">
        <f t="shared" si="227"/>
        <v>15908</v>
      </c>
      <c r="T587" s="490">
        <f t="shared" si="228"/>
        <v>18441.401826484016</v>
      </c>
      <c r="U587" s="491">
        <f t="shared" si="229"/>
        <v>183.46</v>
      </c>
      <c r="V587" s="498"/>
      <c r="W587" s="498">
        <v>10</v>
      </c>
      <c r="X587" s="498"/>
      <c r="Y587" s="498"/>
      <c r="Z587" s="462">
        <f t="shared" si="230"/>
        <v>193.46</v>
      </c>
      <c r="AA587" s="462">
        <f t="shared" si="231"/>
        <v>3854.94</v>
      </c>
      <c r="AB587" s="489">
        <v>1000</v>
      </c>
    </row>
    <row r="588" spans="1:28" s="507" customFormat="1" ht="12">
      <c r="A588" s="456">
        <v>18</v>
      </c>
      <c r="B588" s="457" t="s">
        <v>1131</v>
      </c>
      <c r="C588" s="497">
        <v>9901442928</v>
      </c>
      <c r="D588" s="459" t="s">
        <v>1132</v>
      </c>
      <c r="E588" s="460" t="s">
        <v>1175</v>
      </c>
      <c r="F588" s="461">
        <v>31</v>
      </c>
      <c r="G588" s="498">
        <v>71.400000000000006</v>
      </c>
      <c r="H588" s="462">
        <f t="shared" si="220"/>
        <v>2213.4</v>
      </c>
      <c r="I588" s="462">
        <f t="shared" si="221"/>
        <v>8568</v>
      </c>
      <c r="J588" s="463">
        <v>4</v>
      </c>
      <c r="K588" s="533">
        <v>50</v>
      </c>
      <c r="L588" s="462">
        <f t="shared" si="222"/>
        <v>1760</v>
      </c>
      <c r="M588" s="462">
        <v>1510</v>
      </c>
      <c r="N588" s="462">
        <v>250</v>
      </c>
      <c r="O588" s="462">
        <f t="shared" si="223"/>
        <v>4023.4</v>
      </c>
      <c r="P588" s="488">
        <f t="shared" si="224"/>
        <v>1234</v>
      </c>
      <c r="Q588" s="489">
        <f t="shared" si="225"/>
        <v>1217.0958904109589</v>
      </c>
      <c r="R588" s="489">
        <f t="shared" si="226"/>
        <v>65.753424657534239</v>
      </c>
      <c r="S588" s="490">
        <f t="shared" si="227"/>
        <v>15808</v>
      </c>
      <c r="T588" s="490">
        <f t="shared" si="228"/>
        <v>18324.849315068492</v>
      </c>
      <c r="U588" s="491">
        <f t="shared" si="229"/>
        <v>182.26</v>
      </c>
      <c r="V588" s="498"/>
      <c r="W588" s="498">
        <v>10</v>
      </c>
      <c r="X588" s="498"/>
      <c r="Y588" s="498"/>
      <c r="Z588" s="462">
        <f t="shared" si="230"/>
        <v>192.26</v>
      </c>
      <c r="AA588" s="462">
        <f t="shared" si="231"/>
        <v>3831.1400000000003</v>
      </c>
      <c r="AB588" s="489">
        <v>1000</v>
      </c>
    </row>
    <row r="589" spans="1:28" s="507" customFormat="1" ht="12">
      <c r="A589" s="456">
        <v>19</v>
      </c>
      <c r="B589" s="466" t="s">
        <v>1133</v>
      </c>
      <c r="C589" s="497">
        <v>9901442749</v>
      </c>
      <c r="D589" s="459" t="s">
        <v>1134</v>
      </c>
      <c r="E589" s="460" t="s">
        <v>72</v>
      </c>
      <c r="F589" s="461">
        <v>31</v>
      </c>
      <c r="G589" s="498">
        <v>71.400000000000006</v>
      </c>
      <c r="H589" s="462">
        <f t="shared" si="220"/>
        <v>2213.4</v>
      </c>
      <c r="I589" s="462">
        <f t="shared" si="221"/>
        <v>8568</v>
      </c>
      <c r="J589" s="463">
        <v>4</v>
      </c>
      <c r="K589" s="534">
        <v>75</v>
      </c>
      <c r="L589" s="462">
        <f t="shared" si="222"/>
        <v>1760</v>
      </c>
      <c r="M589" s="462">
        <v>1510</v>
      </c>
      <c r="N589" s="462">
        <v>250</v>
      </c>
      <c r="O589" s="462">
        <f t="shared" si="223"/>
        <v>4048.4</v>
      </c>
      <c r="P589" s="488">
        <f t="shared" si="224"/>
        <v>1242.3333333333333</v>
      </c>
      <c r="Q589" s="489">
        <f t="shared" si="225"/>
        <v>1225.3150684931506</v>
      </c>
      <c r="R589" s="489">
        <f t="shared" si="226"/>
        <v>65.753424657534239</v>
      </c>
      <c r="S589" s="490">
        <f t="shared" si="227"/>
        <v>15908</v>
      </c>
      <c r="T589" s="490">
        <f t="shared" si="228"/>
        <v>18441.401826484016</v>
      </c>
      <c r="U589" s="491">
        <f t="shared" si="229"/>
        <v>183.46</v>
      </c>
      <c r="V589" s="498"/>
      <c r="W589" s="498">
        <v>10</v>
      </c>
      <c r="X589" s="498"/>
      <c r="Y589" s="498">
        <v>2029.14</v>
      </c>
      <c r="Z589" s="462">
        <f t="shared" si="230"/>
        <v>2222.6</v>
      </c>
      <c r="AA589" s="462">
        <f t="shared" si="231"/>
        <v>1825.8000000000002</v>
      </c>
      <c r="AB589" s="489">
        <v>1000</v>
      </c>
    </row>
    <row r="590" spans="1:28" s="507" customFormat="1" ht="12">
      <c r="A590" s="456">
        <v>20</v>
      </c>
      <c r="B590" s="457" t="s">
        <v>1135</v>
      </c>
      <c r="C590" s="497">
        <v>990097703</v>
      </c>
      <c r="D590" s="459" t="s">
        <v>1136</v>
      </c>
      <c r="E590" s="460" t="s">
        <v>32</v>
      </c>
      <c r="F590" s="461">
        <v>31</v>
      </c>
      <c r="G590" s="498">
        <v>71.400000000000006</v>
      </c>
      <c r="H590" s="462">
        <f t="shared" si="220"/>
        <v>2213.4</v>
      </c>
      <c r="I590" s="462">
        <f t="shared" si="221"/>
        <v>8568</v>
      </c>
      <c r="J590" s="463">
        <v>4</v>
      </c>
      <c r="K590" s="534"/>
      <c r="L590" s="462">
        <f t="shared" si="222"/>
        <v>1760</v>
      </c>
      <c r="M590" s="462">
        <v>1510</v>
      </c>
      <c r="N590" s="462">
        <v>250</v>
      </c>
      <c r="O590" s="462">
        <f t="shared" si="223"/>
        <v>3973.4</v>
      </c>
      <c r="P590" s="488">
        <f t="shared" si="224"/>
        <v>1217.3333333333333</v>
      </c>
      <c r="Q590" s="489">
        <f t="shared" si="225"/>
        <v>1200.6575342465753</v>
      </c>
      <c r="R590" s="489">
        <f t="shared" si="226"/>
        <v>65.753424657534239</v>
      </c>
      <c r="S590" s="490">
        <f t="shared" si="227"/>
        <v>15608</v>
      </c>
      <c r="T590" s="490">
        <f t="shared" si="228"/>
        <v>18091.744292237443</v>
      </c>
      <c r="U590" s="491">
        <f t="shared" si="229"/>
        <v>179.84</v>
      </c>
      <c r="V590" s="498">
        <f>(O590-N590)*11%</f>
        <v>409.57400000000001</v>
      </c>
      <c r="W590" s="498"/>
      <c r="X590" s="498"/>
      <c r="Y590" s="498">
        <v>1111.56</v>
      </c>
      <c r="Z590" s="462">
        <f t="shared" si="230"/>
        <v>1700.9739999999999</v>
      </c>
      <c r="AA590" s="462">
        <f t="shared" si="231"/>
        <v>2272.4260000000004</v>
      </c>
      <c r="AB590" s="489">
        <v>1000</v>
      </c>
    </row>
    <row r="591" spans="1:28" s="507" customFormat="1" ht="12">
      <c r="A591" s="456">
        <v>21</v>
      </c>
      <c r="B591" s="457" t="s">
        <v>1137</v>
      </c>
      <c r="C591" s="497">
        <v>9901442753</v>
      </c>
      <c r="D591" s="459" t="s">
        <v>1138</v>
      </c>
      <c r="E591" s="460" t="s">
        <v>72</v>
      </c>
      <c r="F591" s="461">
        <v>31</v>
      </c>
      <c r="G591" s="498">
        <v>71.400000000000006</v>
      </c>
      <c r="H591" s="462">
        <f t="shared" si="220"/>
        <v>2213.4</v>
      </c>
      <c r="I591" s="462">
        <f t="shared" si="221"/>
        <v>8568</v>
      </c>
      <c r="J591" s="463">
        <v>4</v>
      </c>
      <c r="K591" s="534">
        <v>75</v>
      </c>
      <c r="L591" s="462">
        <f t="shared" si="222"/>
        <v>1760</v>
      </c>
      <c r="M591" s="462">
        <v>1510</v>
      </c>
      <c r="N591" s="462">
        <v>250</v>
      </c>
      <c r="O591" s="462">
        <f t="shared" si="223"/>
        <v>4048.4</v>
      </c>
      <c r="P591" s="488">
        <f t="shared" si="224"/>
        <v>1242.3333333333333</v>
      </c>
      <c r="Q591" s="489">
        <f t="shared" si="225"/>
        <v>1225.3150684931506</v>
      </c>
      <c r="R591" s="489">
        <f t="shared" si="226"/>
        <v>65.753424657534239</v>
      </c>
      <c r="S591" s="490">
        <f t="shared" si="227"/>
        <v>15908</v>
      </c>
      <c r="T591" s="490">
        <f t="shared" si="228"/>
        <v>18441.401826484016</v>
      </c>
      <c r="U591" s="491">
        <f t="shared" si="229"/>
        <v>183.46</v>
      </c>
      <c r="V591" s="498"/>
      <c r="W591" s="498">
        <v>10</v>
      </c>
      <c r="X591" s="498"/>
      <c r="Y591" s="498">
        <v>1458.79</v>
      </c>
      <c r="Z591" s="462">
        <f t="shared" si="230"/>
        <v>1652.25</v>
      </c>
      <c r="AA591" s="462">
        <f t="shared" si="231"/>
        <v>2396.15</v>
      </c>
      <c r="AB591" s="489">
        <v>1000</v>
      </c>
    </row>
    <row r="592" spans="1:28" s="507" customFormat="1" ht="12">
      <c r="A592" s="456">
        <v>22</v>
      </c>
      <c r="B592" s="466" t="s">
        <v>1139</v>
      </c>
      <c r="C592" s="497">
        <v>9901442762</v>
      </c>
      <c r="D592" s="459" t="s">
        <v>1140</v>
      </c>
      <c r="E592" s="460" t="s">
        <v>1175</v>
      </c>
      <c r="F592" s="461">
        <v>31</v>
      </c>
      <c r="G592" s="498">
        <v>71.400000000000006</v>
      </c>
      <c r="H592" s="462">
        <f t="shared" si="220"/>
        <v>2213.4</v>
      </c>
      <c r="I592" s="462">
        <f t="shared" si="221"/>
        <v>8568</v>
      </c>
      <c r="J592" s="463">
        <v>4</v>
      </c>
      <c r="K592" s="534">
        <v>75</v>
      </c>
      <c r="L592" s="462">
        <f t="shared" si="222"/>
        <v>1760</v>
      </c>
      <c r="M592" s="462">
        <v>1510</v>
      </c>
      <c r="N592" s="462">
        <v>250</v>
      </c>
      <c r="O592" s="462">
        <f t="shared" si="223"/>
        <v>4048.4</v>
      </c>
      <c r="P592" s="488">
        <f t="shared" si="224"/>
        <v>1242.3333333333333</v>
      </c>
      <c r="Q592" s="489">
        <f t="shared" si="225"/>
        <v>1225.3150684931506</v>
      </c>
      <c r="R592" s="489">
        <f t="shared" si="226"/>
        <v>65.753424657534239</v>
      </c>
      <c r="S592" s="490">
        <f t="shared" si="227"/>
        <v>15908</v>
      </c>
      <c r="T592" s="490">
        <f t="shared" si="228"/>
        <v>18441.401826484016</v>
      </c>
      <c r="U592" s="491">
        <f t="shared" si="229"/>
        <v>183.46</v>
      </c>
      <c r="V592" s="498"/>
      <c r="W592" s="498">
        <v>10</v>
      </c>
      <c r="X592" s="498"/>
      <c r="Y592" s="498"/>
      <c r="Z592" s="462">
        <f t="shared" si="230"/>
        <v>193.46</v>
      </c>
      <c r="AA592" s="462">
        <f t="shared" si="231"/>
        <v>3854.94</v>
      </c>
      <c r="AB592" s="489">
        <v>1000</v>
      </c>
    </row>
    <row r="593" spans="1:29" s="507" customFormat="1" ht="12">
      <c r="A593" s="456">
        <v>23</v>
      </c>
      <c r="B593" s="457" t="s">
        <v>1141</v>
      </c>
      <c r="C593" s="497">
        <v>9901442759</v>
      </c>
      <c r="D593" s="459" t="s">
        <v>1142</v>
      </c>
      <c r="E593" s="460" t="s">
        <v>72</v>
      </c>
      <c r="F593" s="461">
        <v>31</v>
      </c>
      <c r="G593" s="498">
        <v>71.400000000000006</v>
      </c>
      <c r="H593" s="462">
        <f t="shared" si="220"/>
        <v>2213.4</v>
      </c>
      <c r="I593" s="462">
        <f t="shared" si="221"/>
        <v>8568</v>
      </c>
      <c r="J593" s="463">
        <v>4</v>
      </c>
      <c r="K593" s="534">
        <v>75</v>
      </c>
      <c r="L593" s="462">
        <f t="shared" si="222"/>
        <v>1760</v>
      </c>
      <c r="M593" s="462">
        <v>1510</v>
      </c>
      <c r="N593" s="462">
        <v>250</v>
      </c>
      <c r="O593" s="462">
        <f t="shared" si="223"/>
        <v>4048.4</v>
      </c>
      <c r="P593" s="488">
        <f t="shared" si="224"/>
        <v>1242.3333333333333</v>
      </c>
      <c r="Q593" s="489">
        <f t="shared" si="225"/>
        <v>1225.3150684931506</v>
      </c>
      <c r="R593" s="489">
        <f t="shared" si="226"/>
        <v>65.753424657534239</v>
      </c>
      <c r="S593" s="490">
        <f t="shared" si="227"/>
        <v>15908</v>
      </c>
      <c r="T593" s="490">
        <f t="shared" si="228"/>
        <v>18441.401826484016</v>
      </c>
      <c r="U593" s="491">
        <f t="shared" si="229"/>
        <v>183.46</v>
      </c>
      <c r="V593" s="498"/>
      <c r="W593" s="498">
        <v>10</v>
      </c>
      <c r="X593" s="498"/>
      <c r="Y593" s="498">
        <v>1458.79</v>
      </c>
      <c r="Z593" s="462">
        <f t="shared" si="230"/>
        <v>1652.25</v>
      </c>
      <c r="AA593" s="462">
        <f t="shared" si="231"/>
        <v>2396.15</v>
      </c>
      <c r="AB593" s="489">
        <v>1000</v>
      </c>
    </row>
    <row r="594" spans="1:29" s="507" customFormat="1" ht="12">
      <c r="A594" s="456">
        <v>24</v>
      </c>
      <c r="B594" s="466" t="s">
        <v>1143</v>
      </c>
      <c r="C594" s="497">
        <v>9901442378</v>
      </c>
      <c r="D594" s="459" t="s">
        <v>1144</v>
      </c>
      <c r="E594" s="460" t="s">
        <v>1175</v>
      </c>
      <c r="F594" s="461">
        <v>31</v>
      </c>
      <c r="G594" s="498">
        <v>71.400000000000006</v>
      </c>
      <c r="H594" s="462">
        <f t="shared" si="220"/>
        <v>2213.4</v>
      </c>
      <c r="I594" s="462">
        <f t="shared" si="221"/>
        <v>8568</v>
      </c>
      <c r="J594" s="463">
        <v>4</v>
      </c>
      <c r="K594" s="534">
        <v>50</v>
      </c>
      <c r="L594" s="462">
        <f t="shared" si="222"/>
        <v>1760</v>
      </c>
      <c r="M594" s="462">
        <v>1510</v>
      </c>
      <c r="N594" s="462">
        <v>250</v>
      </c>
      <c r="O594" s="462">
        <f t="shared" si="223"/>
        <v>4023.4</v>
      </c>
      <c r="P594" s="488">
        <f t="shared" si="224"/>
        <v>1234</v>
      </c>
      <c r="Q594" s="489">
        <f t="shared" si="225"/>
        <v>1217.0958904109589</v>
      </c>
      <c r="R594" s="489">
        <f t="shared" si="226"/>
        <v>65.753424657534239</v>
      </c>
      <c r="S594" s="490">
        <f t="shared" si="227"/>
        <v>15808</v>
      </c>
      <c r="T594" s="490">
        <f t="shared" si="228"/>
        <v>18324.849315068492</v>
      </c>
      <c r="U594" s="491">
        <f t="shared" si="229"/>
        <v>182.26</v>
      </c>
      <c r="V594" s="498"/>
      <c r="W594" s="498">
        <v>10</v>
      </c>
      <c r="X594" s="498"/>
      <c r="Y594" s="498"/>
      <c r="Z594" s="462">
        <f t="shared" si="230"/>
        <v>192.26</v>
      </c>
      <c r="AA594" s="462">
        <f t="shared" si="231"/>
        <v>3831.1400000000003</v>
      </c>
      <c r="AB594" s="489">
        <v>1000</v>
      </c>
      <c r="AC594" s="567"/>
    </row>
    <row r="595" spans="1:29" s="507" customFormat="1" ht="12">
      <c r="A595" s="456">
        <v>25</v>
      </c>
      <c r="B595" s="457" t="s">
        <v>1145</v>
      </c>
      <c r="C595" s="497">
        <v>9901442757</v>
      </c>
      <c r="D595" s="459" t="s">
        <v>1146</v>
      </c>
      <c r="E595" s="460" t="s">
        <v>1175</v>
      </c>
      <c r="F595" s="461">
        <v>31</v>
      </c>
      <c r="G595" s="498">
        <v>71.400000000000006</v>
      </c>
      <c r="H595" s="462">
        <f t="shared" si="220"/>
        <v>2213.4</v>
      </c>
      <c r="I595" s="462">
        <f t="shared" si="221"/>
        <v>8568</v>
      </c>
      <c r="J595" s="463">
        <v>4</v>
      </c>
      <c r="K595" s="534">
        <v>75</v>
      </c>
      <c r="L595" s="462">
        <f t="shared" si="222"/>
        <v>1760</v>
      </c>
      <c r="M595" s="462">
        <v>1510</v>
      </c>
      <c r="N595" s="462">
        <v>250</v>
      </c>
      <c r="O595" s="462">
        <f t="shared" si="223"/>
        <v>4048.4</v>
      </c>
      <c r="P595" s="488">
        <f t="shared" si="224"/>
        <v>1242.3333333333333</v>
      </c>
      <c r="Q595" s="489">
        <f t="shared" si="225"/>
        <v>1225.3150684931506</v>
      </c>
      <c r="R595" s="489">
        <f t="shared" si="226"/>
        <v>65.753424657534239</v>
      </c>
      <c r="S595" s="490">
        <f t="shared" si="227"/>
        <v>15908</v>
      </c>
      <c r="T595" s="490">
        <f t="shared" si="228"/>
        <v>18441.401826484016</v>
      </c>
      <c r="U595" s="491">
        <f t="shared" si="229"/>
        <v>183.46</v>
      </c>
      <c r="V595" s="498"/>
      <c r="W595" s="498">
        <v>10</v>
      </c>
      <c r="X595" s="498"/>
      <c r="Y595" s="498">
        <v>2075.0500000000002</v>
      </c>
      <c r="Z595" s="462">
        <f t="shared" si="230"/>
        <v>2268.5100000000002</v>
      </c>
      <c r="AA595" s="462">
        <f t="shared" si="231"/>
        <v>1779.8899999999999</v>
      </c>
      <c r="AB595" s="489">
        <v>1000</v>
      </c>
    </row>
    <row r="596" spans="1:29" s="507" customFormat="1" ht="12">
      <c r="A596" s="456">
        <v>26</v>
      </c>
      <c r="B596" s="457" t="s">
        <v>1147</v>
      </c>
      <c r="C596" s="497">
        <v>9901442750</v>
      </c>
      <c r="D596" s="459" t="s">
        <v>1148</v>
      </c>
      <c r="E596" s="460" t="s">
        <v>1175</v>
      </c>
      <c r="F596" s="461">
        <v>31</v>
      </c>
      <c r="G596" s="498">
        <v>71.400000000000006</v>
      </c>
      <c r="H596" s="462">
        <f t="shared" si="220"/>
        <v>2213.4</v>
      </c>
      <c r="I596" s="462">
        <f t="shared" si="221"/>
        <v>8568</v>
      </c>
      <c r="J596" s="463">
        <v>4</v>
      </c>
      <c r="K596" s="534">
        <v>75</v>
      </c>
      <c r="L596" s="462">
        <f t="shared" si="222"/>
        <v>1760</v>
      </c>
      <c r="M596" s="462">
        <v>1510</v>
      </c>
      <c r="N596" s="462">
        <v>250</v>
      </c>
      <c r="O596" s="462">
        <f t="shared" si="223"/>
        <v>4048.4</v>
      </c>
      <c r="P596" s="488">
        <f t="shared" si="224"/>
        <v>1242.3333333333333</v>
      </c>
      <c r="Q596" s="489">
        <f t="shared" si="225"/>
        <v>1225.3150684931506</v>
      </c>
      <c r="R596" s="489">
        <f t="shared" si="226"/>
        <v>65.753424657534239</v>
      </c>
      <c r="S596" s="490">
        <f t="shared" si="227"/>
        <v>15908</v>
      </c>
      <c r="T596" s="490">
        <f t="shared" si="228"/>
        <v>18441.401826484016</v>
      </c>
      <c r="U596" s="491">
        <f t="shared" si="229"/>
        <v>183.46</v>
      </c>
      <c r="V596" s="498"/>
      <c r="W596" s="498">
        <v>10</v>
      </c>
      <c r="X596" s="498"/>
      <c r="Y596" s="498"/>
      <c r="Z596" s="462">
        <f t="shared" si="230"/>
        <v>193.46</v>
      </c>
      <c r="AA596" s="462">
        <f t="shared" si="231"/>
        <v>3854.94</v>
      </c>
      <c r="AB596" s="489">
        <v>1000</v>
      </c>
    </row>
    <row r="597" spans="1:29" s="507" customFormat="1" ht="12">
      <c r="A597" s="456">
        <v>27</v>
      </c>
      <c r="B597" s="466" t="s">
        <v>1149</v>
      </c>
      <c r="C597" s="497">
        <v>9901442751</v>
      </c>
      <c r="D597" s="459" t="s">
        <v>1150</v>
      </c>
      <c r="E597" s="460" t="s">
        <v>67</v>
      </c>
      <c r="F597" s="461">
        <v>31</v>
      </c>
      <c r="G597" s="498">
        <v>73.59</v>
      </c>
      <c r="H597" s="462">
        <f t="shared" si="220"/>
        <v>2281.29</v>
      </c>
      <c r="I597" s="462">
        <f t="shared" si="221"/>
        <v>8830.8000000000011</v>
      </c>
      <c r="J597" s="463">
        <v>4</v>
      </c>
      <c r="K597" s="534">
        <v>75</v>
      </c>
      <c r="L597" s="462">
        <f t="shared" si="222"/>
        <v>1760</v>
      </c>
      <c r="M597" s="462">
        <v>1510</v>
      </c>
      <c r="N597" s="462">
        <v>250</v>
      </c>
      <c r="O597" s="462">
        <f t="shared" si="223"/>
        <v>4116.29</v>
      </c>
      <c r="P597" s="488">
        <f t="shared" si="224"/>
        <v>1264.2333333333333</v>
      </c>
      <c r="Q597" s="489">
        <f t="shared" si="225"/>
        <v>1246.9150684931508</v>
      </c>
      <c r="R597" s="489">
        <f t="shared" si="226"/>
        <v>65.753424657534239</v>
      </c>
      <c r="S597" s="490">
        <f t="shared" si="227"/>
        <v>16170.800000000001</v>
      </c>
      <c r="T597" s="490">
        <f t="shared" si="228"/>
        <v>18747.701826484019</v>
      </c>
      <c r="U597" s="491">
        <f t="shared" si="229"/>
        <v>186.74</v>
      </c>
      <c r="V597" s="498"/>
      <c r="W597" s="498">
        <v>10</v>
      </c>
      <c r="X597" s="498"/>
      <c r="Y597" s="498">
        <v>1789.19</v>
      </c>
      <c r="Z597" s="462">
        <f t="shared" si="230"/>
        <v>1985.93</v>
      </c>
      <c r="AA597" s="462">
        <f t="shared" si="231"/>
        <v>2130.3599999999997</v>
      </c>
      <c r="AB597" s="489">
        <v>1000</v>
      </c>
    </row>
    <row r="598" spans="1:29" s="507" customFormat="1" ht="12">
      <c r="A598" s="456">
        <v>28</v>
      </c>
      <c r="B598" s="457" t="s">
        <v>1151</v>
      </c>
      <c r="C598" s="497">
        <v>9901442764</v>
      </c>
      <c r="D598" s="459" t="s">
        <v>1152</v>
      </c>
      <c r="E598" s="460" t="s">
        <v>32</v>
      </c>
      <c r="F598" s="461">
        <v>31</v>
      </c>
      <c r="G598" s="498">
        <v>71.400000000000006</v>
      </c>
      <c r="H598" s="462">
        <f t="shared" si="220"/>
        <v>2213.4</v>
      </c>
      <c r="I598" s="462">
        <f t="shared" si="221"/>
        <v>8568</v>
      </c>
      <c r="J598" s="463">
        <v>4</v>
      </c>
      <c r="K598" s="534">
        <v>75</v>
      </c>
      <c r="L598" s="462">
        <f t="shared" si="222"/>
        <v>1760</v>
      </c>
      <c r="M598" s="462">
        <v>1510</v>
      </c>
      <c r="N598" s="462">
        <v>250</v>
      </c>
      <c r="O598" s="462">
        <f t="shared" si="223"/>
        <v>4048.4</v>
      </c>
      <c r="P598" s="488">
        <f t="shared" si="224"/>
        <v>1242.3333333333333</v>
      </c>
      <c r="Q598" s="489">
        <f t="shared" si="225"/>
        <v>1225.3150684931506</v>
      </c>
      <c r="R598" s="489">
        <f t="shared" si="226"/>
        <v>65.753424657534239</v>
      </c>
      <c r="S598" s="490">
        <f t="shared" si="227"/>
        <v>15908</v>
      </c>
      <c r="T598" s="490">
        <f t="shared" si="228"/>
        <v>18441.401826484016</v>
      </c>
      <c r="U598" s="491">
        <f t="shared" si="229"/>
        <v>183.46</v>
      </c>
      <c r="V598" s="498"/>
      <c r="W598" s="498">
        <v>10</v>
      </c>
      <c r="X598" s="498"/>
      <c r="Y598" s="498">
        <v>1156.8</v>
      </c>
      <c r="Z598" s="462">
        <f t="shared" si="230"/>
        <v>1350.26</v>
      </c>
      <c r="AA598" s="462">
        <f t="shared" si="231"/>
        <v>2698.1400000000003</v>
      </c>
      <c r="AB598" s="489">
        <v>1000</v>
      </c>
    </row>
    <row r="599" spans="1:29" s="507" customFormat="1" ht="12">
      <c r="A599" s="456">
        <v>29</v>
      </c>
      <c r="B599" s="457" t="s">
        <v>1153</v>
      </c>
      <c r="C599" s="497">
        <v>9901442748</v>
      </c>
      <c r="D599" s="459" t="s">
        <v>1154</v>
      </c>
      <c r="E599" s="460" t="s">
        <v>72</v>
      </c>
      <c r="F599" s="461">
        <v>31</v>
      </c>
      <c r="G599" s="498">
        <v>71.400000000000006</v>
      </c>
      <c r="H599" s="462">
        <f t="shared" si="220"/>
        <v>2213.4</v>
      </c>
      <c r="I599" s="462">
        <f t="shared" si="221"/>
        <v>8568</v>
      </c>
      <c r="J599" s="463">
        <v>4</v>
      </c>
      <c r="K599" s="534">
        <v>75</v>
      </c>
      <c r="L599" s="462">
        <f t="shared" si="222"/>
        <v>1760</v>
      </c>
      <c r="M599" s="462">
        <v>1510</v>
      </c>
      <c r="N599" s="462">
        <v>250</v>
      </c>
      <c r="O599" s="462">
        <f t="shared" si="223"/>
        <v>4048.4</v>
      </c>
      <c r="P599" s="488">
        <f t="shared" si="224"/>
        <v>1242.3333333333333</v>
      </c>
      <c r="Q599" s="489">
        <f t="shared" si="225"/>
        <v>1225.3150684931506</v>
      </c>
      <c r="R599" s="489">
        <f t="shared" si="226"/>
        <v>65.753424657534239</v>
      </c>
      <c r="S599" s="490">
        <f t="shared" si="227"/>
        <v>15908</v>
      </c>
      <c r="T599" s="490">
        <f t="shared" si="228"/>
        <v>18441.401826484016</v>
      </c>
      <c r="U599" s="491">
        <f t="shared" si="229"/>
        <v>183.46</v>
      </c>
      <c r="V599" s="498"/>
      <c r="W599" s="498">
        <v>10</v>
      </c>
      <c r="X599" s="498"/>
      <c r="Y599" s="498"/>
      <c r="Z599" s="462">
        <f t="shared" si="230"/>
        <v>193.46</v>
      </c>
      <c r="AA599" s="462">
        <f t="shared" si="231"/>
        <v>3854.94</v>
      </c>
      <c r="AB599" s="489">
        <v>1000</v>
      </c>
    </row>
    <row r="600" spans="1:29" s="507" customFormat="1" ht="12">
      <c r="A600" s="456">
        <v>30</v>
      </c>
      <c r="B600" s="466" t="s">
        <v>1155</v>
      </c>
      <c r="C600" s="497">
        <v>9901443702</v>
      </c>
      <c r="D600" s="459" t="s">
        <v>1156</v>
      </c>
      <c r="E600" s="460" t="s">
        <v>72</v>
      </c>
      <c r="F600" s="461">
        <v>31</v>
      </c>
      <c r="G600" s="498">
        <v>71.400000000000006</v>
      </c>
      <c r="H600" s="462">
        <f t="shared" si="220"/>
        <v>2213.4</v>
      </c>
      <c r="I600" s="462">
        <f t="shared" si="221"/>
        <v>8568</v>
      </c>
      <c r="J600" s="463">
        <v>4</v>
      </c>
      <c r="K600" s="534">
        <v>75</v>
      </c>
      <c r="L600" s="462">
        <f t="shared" si="222"/>
        <v>1760</v>
      </c>
      <c r="M600" s="462">
        <v>1510</v>
      </c>
      <c r="N600" s="462">
        <v>250</v>
      </c>
      <c r="O600" s="462">
        <f t="shared" si="223"/>
        <v>4048.4</v>
      </c>
      <c r="P600" s="488">
        <f t="shared" si="224"/>
        <v>1242.3333333333333</v>
      </c>
      <c r="Q600" s="489">
        <f t="shared" si="225"/>
        <v>1225.3150684931506</v>
      </c>
      <c r="R600" s="489">
        <f t="shared" si="226"/>
        <v>65.753424657534239</v>
      </c>
      <c r="S600" s="490">
        <f t="shared" si="227"/>
        <v>15908</v>
      </c>
      <c r="T600" s="490">
        <f t="shared" si="228"/>
        <v>18441.401826484016</v>
      </c>
      <c r="U600" s="491">
        <f t="shared" si="229"/>
        <v>183.46</v>
      </c>
      <c r="V600" s="498"/>
      <c r="W600" s="498">
        <v>10</v>
      </c>
      <c r="X600" s="498"/>
      <c r="Y600" s="498">
        <v>1199.52</v>
      </c>
      <c r="Z600" s="462">
        <f t="shared" si="230"/>
        <v>1392.98</v>
      </c>
      <c r="AA600" s="462">
        <f t="shared" si="231"/>
        <v>2655.42</v>
      </c>
      <c r="AB600" s="489">
        <v>1000</v>
      </c>
    </row>
    <row r="601" spans="1:29" s="507" customFormat="1" ht="12">
      <c r="A601" s="456">
        <v>31</v>
      </c>
      <c r="B601" s="466" t="s">
        <v>1157</v>
      </c>
      <c r="C601" s="497">
        <v>9901442930</v>
      </c>
      <c r="D601" s="459" t="s">
        <v>1158</v>
      </c>
      <c r="E601" s="460" t="s">
        <v>1175</v>
      </c>
      <c r="F601" s="461">
        <v>31</v>
      </c>
      <c r="G601" s="498">
        <v>71.400000000000006</v>
      </c>
      <c r="H601" s="462">
        <f t="shared" si="220"/>
        <v>2213.4</v>
      </c>
      <c r="I601" s="462">
        <f t="shared" si="221"/>
        <v>8568</v>
      </c>
      <c r="J601" s="463">
        <v>4</v>
      </c>
      <c r="K601" s="533">
        <v>50</v>
      </c>
      <c r="L601" s="462">
        <f t="shared" si="222"/>
        <v>1760</v>
      </c>
      <c r="M601" s="462">
        <v>1510</v>
      </c>
      <c r="N601" s="462">
        <v>250</v>
      </c>
      <c r="O601" s="462">
        <f t="shared" si="223"/>
        <v>4023.4</v>
      </c>
      <c r="P601" s="488">
        <f t="shared" si="224"/>
        <v>1234</v>
      </c>
      <c r="Q601" s="489">
        <f t="shared" si="225"/>
        <v>1217.0958904109589</v>
      </c>
      <c r="R601" s="489">
        <f t="shared" si="226"/>
        <v>65.753424657534239</v>
      </c>
      <c r="S601" s="490">
        <f t="shared" si="227"/>
        <v>15808</v>
      </c>
      <c r="T601" s="490">
        <f t="shared" si="228"/>
        <v>18324.849315068492</v>
      </c>
      <c r="U601" s="491">
        <f t="shared" si="229"/>
        <v>182.26</v>
      </c>
      <c r="V601" s="498"/>
      <c r="W601" s="498">
        <v>10</v>
      </c>
      <c r="X601" s="498"/>
      <c r="Y601" s="498">
        <v>1877.52</v>
      </c>
      <c r="Z601" s="462">
        <f t="shared" si="230"/>
        <v>2069.7799999999997</v>
      </c>
      <c r="AA601" s="462">
        <f t="shared" si="231"/>
        <v>1953.6200000000003</v>
      </c>
      <c r="AB601" s="489">
        <v>1000</v>
      </c>
    </row>
    <row r="602" spans="1:29" s="507" customFormat="1" ht="12">
      <c r="A602" s="456">
        <v>32</v>
      </c>
      <c r="B602" s="457" t="s">
        <v>1159</v>
      </c>
      <c r="C602" s="497">
        <v>9901442571</v>
      </c>
      <c r="D602" s="459" t="s">
        <v>1160</v>
      </c>
      <c r="E602" s="460" t="s">
        <v>35</v>
      </c>
      <c r="F602" s="461">
        <v>31</v>
      </c>
      <c r="G602" s="498">
        <v>71.400000000000006</v>
      </c>
      <c r="H602" s="462">
        <f t="shared" si="220"/>
        <v>2213.4</v>
      </c>
      <c r="I602" s="462">
        <f t="shared" si="221"/>
        <v>8568</v>
      </c>
      <c r="J602" s="463">
        <v>4</v>
      </c>
      <c r="K602" s="534"/>
      <c r="L602" s="462">
        <f t="shared" si="222"/>
        <v>1760</v>
      </c>
      <c r="M602" s="462">
        <v>1510</v>
      </c>
      <c r="N602" s="462">
        <v>250</v>
      </c>
      <c r="O602" s="462">
        <f t="shared" si="223"/>
        <v>3973.4</v>
      </c>
      <c r="P602" s="488">
        <f t="shared" si="224"/>
        <v>1217.3333333333333</v>
      </c>
      <c r="Q602" s="489">
        <f t="shared" si="225"/>
        <v>1200.6575342465753</v>
      </c>
      <c r="R602" s="489">
        <f t="shared" si="226"/>
        <v>65.753424657534239</v>
      </c>
      <c r="S602" s="490">
        <f t="shared" si="227"/>
        <v>15608</v>
      </c>
      <c r="T602" s="490">
        <f t="shared" si="228"/>
        <v>18091.744292237443</v>
      </c>
      <c r="U602" s="491">
        <f t="shared" si="229"/>
        <v>179.84</v>
      </c>
      <c r="V602" s="498">
        <f>(O602-N602)*11%</f>
        <v>409.57400000000001</v>
      </c>
      <c r="W602" s="498">
        <v>10</v>
      </c>
      <c r="X602" s="498"/>
      <c r="Y602" s="498"/>
      <c r="Z602" s="462">
        <f t="shared" si="230"/>
        <v>599.41399999999999</v>
      </c>
      <c r="AA602" s="462">
        <f t="shared" si="231"/>
        <v>3373.9859999999999</v>
      </c>
      <c r="AB602" s="489">
        <v>1000</v>
      </c>
    </row>
    <row r="603" spans="1:29" s="507" customFormat="1" ht="12">
      <c r="A603" s="456">
        <v>33</v>
      </c>
      <c r="B603" s="457" t="s">
        <v>1161</v>
      </c>
      <c r="C603" s="497">
        <v>9901442752</v>
      </c>
      <c r="D603" s="459" t="s">
        <v>1162</v>
      </c>
      <c r="E603" s="460" t="s">
        <v>1175</v>
      </c>
      <c r="F603" s="461">
        <v>31</v>
      </c>
      <c r="G603" s="498">
        <v>71.400000000000006</v>
      </c>
      <c r="H603" s="462">
        <f t="shared" si="220"/>
        <v>2213.4</v>
      </c>
      <c r="I603" s="462">
        <f t="shared" si="221"/>
        <v>8568</v>
      </c>
      <c r="J603" s="463">
        <v>4</v>
      </c>
      <c r="K603" s="534">
        <v>75</v>
      </c>
      <c r="L603" s="462">
        <f t="shared" si="222"/>
        <v>1760</v>
      </c>
      <c r="M603" s="462">
        <v>1510</v>
      </c>
      <c r="N603" s="462">
        <v>250</v>
      </c>
      <c r="O603" s="462">
        <f t="shared" si="223"/>
        <v>4048.4</v>
      </c>
      <c r="P603" s="488">
        <f t="shared" si="224"/>
        <v>1242.3333333333333</v>
      </c>
      <c r="Q603" s="489">
        <f t="shared" si="225"/>
        <v>1225.3150684931506</v>
      </c>
      <c r="R603" s="489">
        <f t="shared" si="226"/>
        <v>65.753424657534239</v>
      </c>
      <c r="S603" s="490">
        <f t="shared" si="227"/>
        <v>15908</v>
      </c>
      <c r="T603" s="490">
        <f t="shared" si="228"/>
        <v>18441.401826484016</v>
      </c>
      <c r="U603" s="491">
        <f t="shared" si="229"/>
        <v>183.46</v>
      </c>
      <c r="V603" s="498"/>
      <c r="W603" s="498">
        <v>10</v>
      </c>
      <c r="X603" s="498"/>
      <c r="Y603" s="498">
        <v>1329.33</v>
      </c>
      <c r="Z603" s="462">
        <f t="shared" si="230"/>
        <v>1522.79</v>
      </c>
      <c r="AA603" s="462">
        <f t="shared" si="231"/>
        <v>2525.61</v>
      </c>
      <c r="AB603" s="489">
        <v>1000</v>
      </c>
    </row>
    <row r="604" spans="1:29" s="507" customFormat="1" ht="12">
      <c r="A604" s="456">
        <v>34</v>
      </c>
      <c r="B604" s="466" t="s">
        <v>1163</v>
      </c>
      <c r="C604" s="497">
        <v>9901442760</v>
      </c>
      <c r="D604" s="459" t="s">
        <v>1164</v>
      </c>
      <c r="E604" s="460" t="s">
        <v>1175</v>
      </c>
      <c r="F604" s="461">
        <v>31</v>
      </c>
      <c r="G604" s="498">
        <v>71.400000000000006</v>
      </c>
      <c r="H604" s="462">
        <f t="shared" si="220"/>
        <v>2213.4</v>
      </c>
      <c r="I604" s="462">
        <f t="shared" si="221"/>
        <v>8568</v>
      </c>
      <c r="J604" s="463">
        <v>4</v>
      </c>
      <c r="K604" s="534">
        <v>75</v>
      </c>
      <c r="L604" s="462">
        <f t="shared" si="222"/>
        <v>1760</v>
      </c>
      <c r="M604" s="462">
        <v>1510</v>
      </c>
      <c r="N604" s="462">
        <v>250</v>
      </c>
      <c r="O604" s="462">
        <f t="shared" si="223"/>
        <v>4048.4</v>
      </c>
      <c r="P604" s="488">
        <f t="shared" si="224"/>
        <v>1242.3333333333333</v>
      </c>
      <c r="Q604" s="489">
        <f t="shared" si="225"/>
        <v>1225.3150684931506</v>
      </c>
      <c r="R604" s="489">
        <f t="shared" si="226"/>
        <v>65.753424657534239</v>
      </c>
      <c r="S604" s="490">
        <f t="shared" si="227"/>
        <v>15908</v>
      </c>
      <c r="T604" s="490">
        <f t="shared" si="228"/>
        <v>18441.401826484016</v>
      </c>
      <c r="U604" s="491">
        <f t="shared" si="229"/>
        <v>183.46</v>
      </c>
      <c r="V604" s="498"/>
      <c r="W604" s="498">
        <v>10</v>
      </c>
      <c r="X604" s="498"/>
      <c r="Y604" s="498">
        <v>3729.94</v>
      </c>
      <c r="Z604" s="462">
        <f t="shared" si="230"/>
        <v>3923.4</v>
      </c>
      <c r="AA604" s="462">
        <f t="shared" si="231"/>
        <v>125</v>
      </c>
      <c r="AB604" s="489">
        <v>1000</v>
      </c>
    </row>
    <row r="605" spans="1:29" s="507" customFormat="1" ht="12">
      <c r="A605" s="456">
        <v>35</v>
      </c>
      <c r="B605" s="457" t="s">
        <v>1165</v>
      </c>
      <c r="C605" s="497">
        <v>9901442761</v>
      </c>
      <c r="D605" s="459" t="s">
        <v>1166</v>
      </c>
      <c r="E605" s="460" t="s">
        <v>1175</v>
      </c>
      <c r="F605" s="461">
        <v>31</v>
      </c>
      <c r="G605" s="498">
        <v>71.400000000000006</v>
      </c>
      <c r="H605" s="462">
        <f t="shared" si="220"/>
        <v>2213.4</v>
      </c>
      <c r="I605" s="462">
        <f t="shared" si="221"/>
        <v>8568</v>
      </c>
      <c r="J605" s="463">
        <v>4</v>
      </c>
      <c r="K605" s="534">
        <v>75</v>
      </c>
      <c r="L605" s="462">
        <f t="shared" si="222"/>
        <v>1760</v>
      </c>
      <c r="M605" s="462">
        <v>1510</v>
      </c>
      <c r="N605" s="462">
        <v>250</v>
      </c>
      <c r="O605" s="462">
        <f t="shared" si="223"/>
        <v>4048.4</v>
      </c>
      <c r="P605" s="488">
        <f t="shared" si="224"/>
        <v>1242.3333333333333</v>
      </c>
      <c r="Q605" s="489">
        <f t="shared" si="225"/>
        <v>1225.3150684931506</v>
      </c>
      <c r="R605" s="489">
        <f t="shared" si="226"/>
        <v>65.753424657534239</v>
      </c>
      <c r="S605" s="490">
        <f t="shared" si="227"/>
        <v>15908</v>
      </c>
      <c r="T605" s="490">
        <f t="shared" si="228"/>
        <v>18441.401826484016</v>
      </c>
      <c r="U605" s="491">
        <f t="shared" si="229"/>
        <v>183.46</v>
      </c>
      <c r="V605" s="498"/>
      <c r="W605" s="498">
        <v>10</v>
      </c>
      <c r="X605" s="498"/>
      <c r="Y605" s="498">
        <v>1810.37</v>
      </c>
      <c r="Z605" s="462">
        <f t="shared" si="230"/>
        <v>2003.83</v>
      </c>
      <c r="AA605" s="462">
        <f t="shared" si="231"/>
        <v>2044.5700000000002</v>
      </c>
      <c r="AB605" s="489">
        <v>1000</v>
      </c>
    </row>
    <row r="606" spans="1:29" s="507" customFormat="1" ht="12">
      <c r="A606" s="456">
        <v>36</v>
      </c>
      <c r="B606" s="457" t="s">
        <v>1167</v>
      </c>
      <c r="C606" s="528">
        <v>9901442756</v>
      </c>
      <c r="D606" s="459" t="s">
        <v>1168</v>
      </c>
      <c r="E606" s="460" t="s">
        <v>1175</v>
      </c>
      <c r="F606" s="461">
        <v>31</v>
      </c>
      <c r="G606" s="498">
        <v>71.400000000000006</v>
      </c>
      <c r="H606" s="462">
        <f t="shared" si="220"/>
        <v>2213.4</v>
      </c>
      <c r="I606" s="462">
        <f t="shared" si="221"/>
        <v>8568</v>
      </c>
      <c r="J606" s="463">
        <v>4</v>
      </c>
      <c r="K606" s="534">
        <v>75</v>
      </c>
      <c r="L606" s="462">
        <f t="shared" si="222"/>
        <v>1760</v>
      </c>
      <c r="M606" s="462">
        <v>1510</v>
      </c>
      <c r="N606" s="462">
        <v>250</v>
      </c>
      <c r="O606" s="462">
        <f t="shared" si="223"/>
        <v>4048.4</v>
      </c>
      <c r="P606" s="488">
        <f t="shared" si="224"/>
        <v>1242.3333333333333</v>
      </c>
      <c r="Q606" s="489">
        <f t="shared" si="225"/>
        <v>1225.3150684931506</v>
      </c>
      <c r="R606" s="489">
        <f t="shared" si="226"/>
        <v>65.753424657534239</v>
      </c>
      <c r="S606" s="490">
        <f t="shared" si="227"/>
        <v>15908</v>
      </c>
      <c r="T606" s="490">
        <f t="shared" si="228"/>
        <v>18441.401826484016</v>
      </c>
      <c r="U606" s="491">
        <f t="shared" si="229"/>
        <v>183.46</v>
      </c>
      <c r="V606" s="498"/>
      <c r="W606" s="498">
        <v>10</v>
      </c>
      <c r="X606" s="498"/>
      <c r="Y606" s="498"/>
      <c r="Z606" s="462">
        <f t="shared" si="230"/>
        <v>193.46</v>
      </c>
      <c r="AA606" s="462">
        <f t="shared" si="231"/>
        <v>3854.94</v>
      </c>
      <c r="AB606" s="489">
        <v>1000</v>
      </c>
    </row>
    <row r="607" spans="1:29" s="507" customFormat="1" ht="12">
      <c r="A607" s="456">
        <v>37</v>
      </c>
      <c r="B607" s="466" t="s">
        <v>1169</v>
      </c>
      <c r="C607" s="497">
        <v>9901443200</v>
      </c>
      <c r="D607" s="459" t="s">
        <v>1170</v>
      </c>
      <c r="E607" s="460" t="s">
        <v>32</v>
      </c>
      <c r="F607" s="461">
        <v>31</v>
      </c>
      <c r="G607" s="498">
        <v>71.400000000000006</v>
      </c>
      <c r="H607" s="462">
        <f t="shared" si="220"/>
        <v>2213.4</v>
      </c>
      <c r="I607" s="462">
        <f t="shared" si="221"/>
        <v>8568</v>
      </c>
      <c r="J607" s="463">
        <v>4</v>
      </c>
      <c r="K607" s="534"/>
      <c r="L607" s="462">
        <f t="shared" si="222"/>
        <v>1760</v>
      </c>
      <c r="M607" s="462">
        <v>1510</v>
      </c>
      <c r="N607" s="462">
        <v>250</v>
      </c>
      <c r="O607" s="462">
        <f t="shared" si="223"/>
        <v>3973.4</v>
      </c>
      <c r="P607" s="488">
        <f t="shared" si="224"/>
        <v>1217.3333333333333</v>
      </c>
      <c r="Q607" s="489">
        <f t="shared" si="225"/>
        <v>1200.6575342465753</v>
      </c>
      <c r="R607" s="489">
        <f t="shared" si="226"/>
        <v>65.753424657534239</v>
      </c>
      <c r="S607" s="490">
        <f t="shared" si="227"/>
        <v>15608</v>
      </c>
      <c r="T607" s="490">
        <f t="shared" si="228"/>
        <v>18091.744292237443</v>
      </c>
      <c r="U607" s="491">
        <f t="shared" si="229"/>
        <v>179.84</v>
      </c>
      <c r="V607" s="498"/>
      <c r="W607" s="498">
        <v>10</v>
      </c>
      <c r="X607" s="498"/>
      <c r="Y607" s="498"/>
      <c r="Z607" s="462">
        <f t="shared" si="230"/>
        <v>189.84</v>
      </c>
      <c r="AA607" s="462">
        <f t="shared" si="231"/>
        <v>3783.56</v>
      </c>
      <c r="AB607" s="489">
        <v>1000</v>
      </c>
    </row>
    <row r="608" spans="1:29" s="507" customFormat="1" ht="12">
      <c r="A608" s="456">
        <v>38</v>
      </c>
      <c r="B608" s="457" t="s">
        <v>1171</v>
      </c>
      <c r="C608" s="497">
        <v>9901443014</v>
      </c>
      <c r="D608" s="459" t="s">
        <v>1172</v>
      </c>
      <c r="E608" s="460" t="s">
        <v>35</v>
      </c>
      <c r="F608" s="461">
        <v>31</v>
      </c>
      <c r="G608" s="498">
        <v>71.400000000000006</v>
      </c>
      <c r="H608" s="462">
        <f t="shared" si="220"/>
        <v>2213.4</v>
      </c>
      <c r="I608" s="462">
        <f t="shared" si="221"/>
        <v>8568</v>
      </c>
      <c r="J608" s="463">
        <v>4</v>
      </c>
      <c r="K608" s="533">
        <v>50</v>
      </c>
      <c r="L608" s="462">
        <f t="shared" si="222"/>
        <v>1760</v>
      </c>
      <c r="M608" s="462">
        <v>1510</v>
      </c>
      <c r="N608" s="462">
        <v>250</v>
      </c>
      <c r="O608" s="462">
        <f t="shared" si="223"/>
        <v>4023.4</v>
      </c>
      <c r="P608" s="488">
        <f t="shared" si="224"/>
        <v>1234</v>
      </c>
      <c r="Q608" s="489">
        <f t="shared" si="225"/>
        <v>1217.0958904109589</v>
      </c>
      <c r="R608" s="489">
        <f t="shared" si="226"/>
        <v>65.753424657534239</v>
      </c>
      <c r="S608" s="490">
        <f t="shared" si="227"/>
        <v>15808</v>
      </c>
      <c r="T608" s="490">
        <f t="shared" si="228"/>
        <v>18324.849315068492</v>
      </c>
      <c r="U608" s="491">
        <f t="shared" si="229"/>
        <v>182.26</v>
      </c>
      <c r="V608" s="498">
        <f>(O608-N608)*11%</f>
        <v>415.07400000000001</v>
      </c>
      <c r="W608" s="498">
        <v>10</v>
      </c>
      <c r="X608" s="498"/>
      <c r="Y608" s="498"/>
      <c r="Z608" s="462">
        <f t="shared" si="230"/>
        <v>607.33400000000006</v>
      </c>
      <c r="AA608" s="462">
        <f t="shared" si="231"/>
        <v>3416.0659999999998</v>
      </c>
      <c r="AB608" s="489">
        <v>1000</v>
      </c>
    </row>
    <row r="609" spans="1:32" s="507" customFormat="1" ht="15" customHeight="1">
      <c r="A609" s="456"/>
      <c r="B609" s="456"/>
      <c r="C609" s="476"/>
      <c r="D609" s="456"/>
      <c r="E609" s="456"/>
      <c r="F609" s="502"/>
      <c r="G609" s="548">
        <f>SUM(G571:G608)</f>
        <v>2725.6600000000017</v>
      </c>
      <c r="H609" s="548">
        <f>SUM(H490:H608)</f>
        <v>264157.8199999996</v>
      </c>
      <c r="I609" s="548">
        <f t="shared" ref="I609:L609" si="232">SUM(I571:I608)</f>
        <v>327079.2</v>
      </c>
      <c r="J609" s="548">
        <f t="shared" si="232"/>
        <v>152</v>
      </c>
      <c r="K609" s="548">
        <f>SUM(K571:K608)</f>
        <v>2050</v>
      </c>
      <c r="L609" s="548">
        <f t="shared" si="232"/>
        <v>66880</v>
      </c>
      <c r="M609" s="548">
        <f>SUM(M571:M608)</f>
        <v>57380</v>
      </c>
      <c r="N609" s="548">
        <f>SUM(N571:N608)</f>
        <v>9500</v>
      </c>
      <c r="O609" s="549">
        <f>SUM(O571:O608)</f>
        <v>153425.4599999999</v>
      </c>
      <c r="P609" s="548">
        <f t="shared" ref="P609:AB609" si="233">SUM(P571:P608)</f>
        <v>47066.600000000006</v>
      </c>
      <c r="Q609" s="548">
        <f t="shared" si="233"/>
        <v>46421.852054794523</v>
      </c>
      <c r="R609" s="548">
        <f t="shared" si="233"/>
        <v>2498.6301369862999</v>
      </c>
      <c r="S609" s="548">
        <f t="shared" si="233"/>
        <v>602799.19999999995</v>
      </c>
      <c r="T609" s="548">
        <f t="shared" si="233"/>
        <v>698786.28219178063</v>
      </c>
      <c r="U609" s="548">
        <f t="shared" si="233"/>
        <v>6951.5700000000015</v>
      </c>
      <c r="V609" s="548">
        <f t="shared" si="233"/>
        <v>2884.6554000000001</v>
      </c>
      <c r="W609" s="548">
        <f t="shared" si="233"/>
        <v>360</v>
      </c>
      <c r="X609" s="548">
        <f t="shared" si="233"/>
        <v>930.85</v>
      </c>
      <c r="Y609" s="548">
        <f t="shared" si="233"/>
        <v>33854.399999999994</v>
      </c>
      <c r="Z609" s="548">
        <f t="shared" si="233"/>
        <v>44981.475399999988</v>
      </c>
      <c r="AA609" s="548">
        <f t="shared" si="233"/>
        <v>108443.98460000003</v>
      </c>
      <c r="AB609" s="548">
        <f t="shared" si="233"/>
        <v>38000</v>
      </c>
      <c r="AC609" s="547"/>
      <c r="AF609" s="507">
        <v>4</v>
      </c>
    </row>
  </sheetData>
  <mergeCells count="1">
    <mergeCell ref="A488:N488"/>
  </mergeCells>
  <conditionalFormatting sqref="D558">
    <cfRule type="duplicateValues" dxfId="183" priority="75" stopIfTrue="1"/>
  </conditionalFormatting>
  <conditionalFormatting sqref="D558">
    <cfRule type="duplicateValues" dxfId="182" priority="74"/>
  </conditionalFormatting>
  <conditionalFormatting sqref="D497">
    <cfRule type="duplicateValues" dxfId="181" priority="73" stopIfTrue="1"/>
  </conditionalFormatting>
  <conditionalFormatting sqref="D497">
    <cfRule type="duplicateValues" dxfId="180" priority="72"/>
  </conditionalFormatting>
  <conditionalFormatting sqref="D606:D607">
    <cfRule type="duplicateValues" dxfId="179" priority="71" stopIfTrue="1"/>
  </conditionalFormatting>
  <conditionalFormatting sqref="D606:D607">
    <cfRule type="duplicateValues" dxfId="178" priority="70"/>
  </conditionalFormatting>
  <conditionalFormatting sqref="D528">
    <cfRule type="duplicateValues" dxfId="177" priority="76" stopIfTrue="1"/>
  </conditionalFormatting>
  <conditionalFormatting sqref="D255">
    <cfRule type="duplicateValues" dxfId="176" priority="77" stopIfTrue="1"/>
  </conditionalFormatting>
  <conditionalFormatting sqref="D255">
    <cfRule type="duplicateValues" dxfId="175" priority="78"/>
  </conditionalFormatting>
  <conditionalFormatting sqref="D199">
    <cfRule type="duplicateValues" dxfId="174" priority="80" stopIfTrue="1"/>
  </conditionalFormatting>
  <conditionalFormatting sqref="D205">
    <cfRule type="duplicateValues" dxfId="173" priority="81" stopIfTrue="1"/>
  </conditionalFormatting>
  <conditionalFormatting sqref="D200:D204">
    <cfRule type="duplicateValues" dxfId="172" priority="82" stopIfTrue="1"/>
  </conditionalFormatting>
  <conditionalFormatting sqref="D200:D204">
    <cfRule type="duplicateValues" dxfId="171" priority="83"/>
  </conditionalFormatting>
  <conditionalFormatting sqref="D1">
    <cfRule type="duplicateValues" dxfId="170" priority="86"/>
  </conditionalFormatting>
  <conditionalFormatting sqref="D1">
    <cfRule type="duplicateValues" dxfId="169" priority="87" stopIfTrue="1"/>
  </conditionalFormatting>
  <conditionalFormatting sqref="D1">
    <cfRule type="duplicateValues" dxfId="168" priority="88"/>
  </conditionalFormatting>
  <conditionalFormatting sqref="D489">
    <cfRule type="duplicateValues" dxfId="167" priority="116"/>
  </conditionalFormatting>
  <conditionalFormatting sqref="D489">
    <cfRule type="duplicateValues" dxfId="166" priority="117" stopIfTrue="1"/>
  </conditionalFormatting>
  <conditionalFormatting sqref="D489">
    <cfRule type="duplicateValues" dxfId="165" priority="118"/>
  </conditionalFormatting>
  <conditionalFormatting sqref="A488">
    <cfRule type="duplicateValues" dxfId="164" priority="133"/>
  </conditionalFormatting>
  <conditionalFormatting sqref="D266">
    <cfRule type="duplicateValues" dxfId="163" priority="67"/>
  </conditionalFormatting>
  <conditionalFormatting sqref="D266">
    <cfRule type="duplicateValues" dxfId="162" priority="68" stopIfTrue="1"/>
  </conditionalFormatting>
  <conditionalFormatting sqref="D266">
    <cfRule type="duplicateValues" dxfId="161" priority="69"/>
  </conditionalFormatting>
  <conditionalFormatting sqref="D545">
    <cfRule type="duplicateValues" dxfId="160" priority="64"/>
  </conditionalFormatting>
  <conditionalFormatting sqref="D545">
    <cfRule type="duplicateValues" dxfId="159" priority="65" stopIfTrue="1"/>
  </conditionalFormatting>
  <conditionalFormatting sqref="D545">
    <cfRule type="duplicateValues" dxfId="158" priority="66"/>
  </conditionalFormatting>
  <conditionalFormatting sqref="D546">
    <cfRule type="duplicateValues" dxfId="157" priority="61"/>
  </conditionalFormatting>
  <conditionalFormatting sqref="D546">
    <cfRule type="duplicateValues" dxfId="156" priority="62" stopIfTrue="1"/>
  </conditionalFormatting>
  <conditionalFormatting sqref="D546">
    <cfRule type="duplicateValues" dxfId="155" priority="63"/>
  </conditionalFormatting>
  <conditionalFormatting sqref="B488">
    <cfRule type="duplicateValues" dxfId="154" priority="59"/>
  </conditionalFormatting>
  <conditionalFormatting sqref="D571:D605 D515:D527 D529:D544 D490:D496 D499:D513 D206:D232 D2:D19 D608 D547:D557 D559 D85:D156 D235:D254 D256:D265 D158:D198 D21:D50 D52:D72">
    <cfRule type="duplicateValues" dxfId="153" priority="135" stopIfTrue="1"/>
  </conditionalFormatting>
  <conditionalFormatting sqref="D157">
    <cfRule type="duplicateValues" dxfId="152" priority="46" stopIfTrue="1"/>
  </conditionalFormatting>
  <conditionalFormatting sqref="D157">
    <cfRule type="duplicateValues" dxfId="151" priority="47"/>
  </conditionalFormatting>
  <conditionalFormatting sqref="D157">
    <cfRule type="duplicateValues" dxfId="150" priority="48"/>
  </conditionalFormatting>
  <conditionalFormatting sqref="D20">
    <cfRule type="duplicateValues" dxfId="149" priority="43" stopIfTrue="1"/>
  </conditionalFormatting>
  <conditionalFormatting sqref="D20">
    <cfRule type="duplicateValues" dxfId="148" priority="44"/>
  </conditionalFormatting>
  <conditionalFormatting sqref="D20">
    <cfRule type="duplicateValues" dxfId="147" priority="45"/>
  </conditionalFormatting>
  <conditionalFormatting sqref="D51">
    <cfRule type="duplicateValues" dxfId="146" priority="40" stopIfTrue="1"/>
  </conditionalFormatting>
  <conditionalFormatting sqref="D51">
    <cfRule type="duplicateValues" dxfId="145" priority="41"/>
  </conditionalFormatting>
  <conditionalFormatting sqref="D51">
    <cfRule type="duplicateValues" dxfId="144" priority="42"/>
  </conditionalFormatting>
  <conditionalFormatting sqref="D83:D84">
    <cfRule type="duplicateValues" dxfId="143" priority="32" stopIfTrue="1"/>
  </conditionalFormatting>
  <conditionalFormatting sqref="D83:D84">
    <cfRule type="duplicateValues" dxfId="142" priority="33"/>
  </conditionalFormatting>
  <conditionalFormatting sqref="D83:D84">
    <cfRule type="duplicateValues" dxfId="141" priority="34"/>
  </conditionalFormatting>
  <conditionalFormatting sqref="C332">
    <cfRule type="duplicateValues" dxfId="140" priority="31"/>
  </conditionalFormatting>
  <conditionalFormatting sqref="C332">
    <cfRule type="duplicateValues" dxfId="139" priority="29"/>
    <cfRule type="duplicateValues" dxfId="138" priority="30"/>
  </conditionalFormatting>
  <conditionalFormatting sqref="D571:D605 D515:D544 D490:D496 D499:D513 D205:D232 D608 D547:D557 D559 D2:D19 D85:D156 D235:D254 D256:D265 D158:D199 D21:D50 D52:D77">
    <cfRule type="duplicateValues" dxfId="137" priority="136"/>
  </conditionalFormatting>
  <conditionalFormatting sqref="D571:D605 D515:D544 D490:D496 D499:D513 D205:D232 D608 D547:D557 D559 D2:D19 D85:D156 D235:D254 D256:D265 D158:D199 D21:D50 D52:D77">
    <cfRule type="duplicateValues" dxfId="136" priority="137"/>
  </conditionalFormatting>
  <conditionalFormatting sqref="D73:D77">
    <cfRule type="duplicateValues" dxfId="135" priority="138" stopIfTrue="1"/>
  </conditionalFormatting>
  <conditionalFormatting sqref="D569">
    <cfRule type="duplicateValues" dxfId="134" priority="19" stopIfTrue="1"/>
  </conditionalFormatting>
  <conditionalFormatting sqref="D568">
    <cfRule type="duplicateValues" dxfId="133" priority="20" stopIfTrue="1"/>
  </conditionalFormatting>
  <conditionalFormatting sqref="D568">
    <cfRule type="duplicateValues" dxfId="132" priority="21"/>
  </conditionalFormatting>
  <conditionalFormatting sqref="D565:D567 D570">
    <cfRule type="duplicateValues" dxfId="131" priority="26" stopIfTrue="1"/>
  </conditionalFormatting>
  <conditionalFormatting sqref="D565:D567 D569:D570">
    <cfRule type="duplicateValues" dxfId="130" priority="27"/>
  </conditionalFormatting>
  <conditionalFormatting sqref="D565:D567 D569:D570">
    <cfRule type="duplicateValues" dxfId="129" priority="28"/>
  </conditionalFormatting>
  <conditionalFormatting sqref="D479:D481">
    <cfRule type="duplicateValues" dxfId="128" priority="5" stopIfTrue="1"/>
  </conditionalFormatting>
  <conditionalFormatting sqref="D479:D481">
    <cfRule type="duplicateValues" dxfId="127" priority="6"/>
  </conditionalFormatting>
  <conditionalFormatting sqref="D483">
    <cfRule type="duplicateValues" dxfId="126" priority="7" stopIfTrue="1"/>
  </conditionalFormatting>
  <conditionalFormatting sqref="D483">
    <cfRule type="duplicateValues" dxfId="125" priority="8"/>
  </conditionalFormatting>
  <conditionalFormatting sqref="D484 D336:D454 D456:D478">
    <cfRule type="duplicateValues" dxfId="124" priority="13" stopIfTrue="1"/>
  </conditionalFormatting>
  <conditionalFormatting sqref="D455">
    <cfRule type="duplicateValues" dxfId="123" priority="1" stopIfTrue="1"/>
  </conditionalFormatting>
  <conditionalFormatting sqref="D455">
    <cfRule type="duplicateValues" dxfId="122" priority="2"/>
  </conditionalFormatting>
  <conditionalFormatting sqref="D455">
    <cfRule type="duplicateValues" dxfId="121" priority="3"/>
  </conditionalFormatting>
  <conditionalFormatting sqref="D484 D336:D454 D456:D478">
    <cfRule type="duplicateValues" dxfId="120" priority="14"/>
  </conditionalFormatting>
  <conditionalFormatting sqref="D484 D335:D454 D456:D478">
    <cfRule type="duplicateValues" dxfId="119" priority="15"/>
  </conditionalFormatting>
  <conditionalFormatting sqref="D482">
    <cfRule type="duplicateValues" dxfId="118" priority="16" stopIfTrue="1"/>
  </conditionalFormatting>
  <conditionalFormatting sqref="D482">
    <cfRule type="duplicateValues" dxfId="117" priority="17"/>
  </conditionalFormatting>
  <pageMargins left="0.7" right="0.7" top="0.75" bottom="0.75" header="0.3" footer="0.3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44"/>
  <sheetViews>
    <sheetView topLeftCell="W1" workbookViewId="0">
      <selection activeCell="AI11" sqref="AI11:AI30"/>
    </sheetView>
  </sheetViews>
  <sheetFormatPr baseColWidth="10" defaultRowHeight="15"/>
  <cols>
    <col min="32" max="32" width="30.7109375" customWidth="1"/>
    <col min="33" max="33" width="27.140625" bestFit="1" customWidth="1"/>
    <col min="34" max="34" width="19" customWidth="1"/>
    <col min="35" max="35" width="17.85546875" customWidth="1"/>
  </cols>
  <sheetData>
    <row r="1" spans="1:37" s="486" customFormat="1" ht="20.25">
      <c r="A1" s="732" t="s">
        <v>1178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505"/>
      <c r="P1" s="505"/>
      <c r="Q1" s="505"/>
      <c r="R1" s="505"/>
      <c r="S1" s="506"/>
      <c r="T1" s="506"/>
      <c r="U1" s="505"/>
      <c r="V1" s="505"/>
      <c r="W1" s="505"/>
      <c r="X1" s="505"/>
      <c r="Y1" s="505"/>
      <c r="Z1" s="505"/>
      <c r="AA1" s="505"/>
    </row>
    <row r="2" spans="1:37" s="486" customFormat="1" ht="12.75" thickBot="1">
      <c r="C2" s="494"/>
      <c r="F2" s="509"/>
      <c r="S2" s="508"/>
      <c r="T2" s="508"/>
    </row>
    <row r="3" spans="1:37" s="486" customFormat="1" ht="18">
      <c r="A3" s="733" t="s">
        <v>1179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495"/>
      <c r="P3" s="495"/>
      <c r="Q3" s="495"/>
      <c r="R3" s="495"/>
      <c r="S3" s="496"/>
      <c r="T3" s="496"/>
      <c r="U3" s="495"/>
      <c r="V3" s="495"/>
      <c r="W3" s="495"/>
      <c r="X3" s="495"/>
      <c r="Y3" s="495"/>
      <c r="Z3" s="495"/>
      <c r="AA3" s="495"/>
    </row>
    <row r="4" spans="1:37" s="486" customFormat="1" ht="26.25" customHeight="1">
      <c r="A4" s="448" t="s">
        <v>149</v>
      </c>
      <c r="B4" s="449" t="s">
        <v>150</v>
      </c>
      <c r="C4" s="450" t="s">
        <v>151</v>
      </c>
      <c r="D4" s="451" t="s">
        <v>152</v>
      </c>
      <c r="E4" s="451" t="s">
        <v>153</v>
      </c>
      <c r="F4" s="482" t="s">
        <v>269</v>
      </c>
      <c r="G4" s="483" t="s">
        <v>155</v>
      </c>
      <c r="H4" s="454" t="s">
        <v>156</v>
      </c>
      <c r="I4" s="454" t="s">
        <v>157</v>
      </c>
      <c r="J4" s="454" t="s">
        <v>158</v>
      </c>
      <c r="K4" s="453" t="s">
        <v>159</v>
      </c>
      <c r="L4" s="453" t="s">
        <v>1177</v>
      </c>
      <c r="M4" s="455" t="s">
        <v>160</v>
      </c>
      <c r="N4" s="455" t="s">
        <v>161</v>
      </c>
      <c r="O4" s="455" t="s">
        <v>162</v>
      </c>
      <c r="P4" s="455" t="s">
        <v>232</v>
      </c>
      <c r="Q4" s="455" t="s">
        <v>233</v>
      </c>
      <c r="R4" s="455" t="s">
        <v>234</v>
      </c>
      <c r="S4" s="484" t="s">
        <v>235</v>
      </c>
      <c r="T4" s="484" t="s">
        <v>236</v>
      </c>
      <c r="U4" s="485" t="s">
        <v>237</v>
      </c>
      <c r="V4" s="485" t="s">
        <v>238</v>
      </c>
      <c r="W4" s="485" t="s">
        <v>239</v>
      </c>
      <c r="X4" s="485" t="s">
        <v>267</v>
      </c>
      <c r="Y4" s="485" t="s">
        <v>1176</v>
      </c>
      <c r="Z4" s="485" t="s">
        <v>240</v>
      </c>
      <c r="AA4" s="485" t="s">
        <v>241</v>
      </c>
      <c r="AB4" s="455" t="s">
        <v>242</v>
      </c>
    </row>
    <row r="5" spans="1:37" s="486" customFormat="1">
      <c r="A5" s="456">
        <v>1</v>
      </c>
      <c r="B5" s="466" t="s">
        <v>1180</v>
      </c>
      <c r="C5" s="497">
        <v>9901442241</v>
      </c>
      <c r="D5" s="459" t="s">
        <v>1181</v>
      </c>
      <c r="E5" s="460" t="s">
        <v>38</v>
      </c>
      <c r="F5" s="461">
        <v>31</v>
      </c>
      <c r="G5" s="498">
        <v>71.400000000000006</v>
      </c>
      <c r="H5" s="462">
        <f t="shared" ref="H5:H8" si="0">+F5*G5</f>
        <v>2213.4</v>
      </c>
      <c r="I5" s="462">
        <f t="shared" ref="I5:I9" si="1">G5*120</f>
        <v>8568</v>
      </c>
      <c r="J5" s="463">
        <v>4</v>
      </c>
      <c r="K5" s="465">
        <v>35</v>
      </c>
      <c r="L5" s="462">
        <f t="shared" ref="L5:L8" si="2">M5+N5</f>
        <v>1760</v>
      </c>
      <c r="M5" s="462">
        <v>1510</v>
      </c>
      <c r="N5" s="462">
        <v>250</v>
      </c>
      <c r="O5" s="462">
        <f t="shared" ref="O5:O8" si="3">+H5+M5+N5+K5</f>
        <v>4008.4</v>
      </c>
      <c r="P5" s="488">
        <f t="shared" ref="P5:P9" si="4">(((G5*120)+(K5+M5)*4)/12)</f>
        <v>1229</v>
      </c>
      <c r="Q5" s="489">
        <f t="shared" ref="Q5:Q9" si="5">(((G5*30)+M5+K5)/365*120)</f>
        <v>1212.1643835616437</v>
      </c>
      <c r="R5" s="489">
        <f t="shared" ref="R5:R9" si="6">+(200/365)*120</f>
        <v>65.753424657534239</v>
      </c>
      <c r="S5" s="490">
        <f t="shared" ref="S5:S9" si="7">(((G5*120)+((K5+M5+N5)*4)))</f>
        <v>15748</v>
      </c>
      <c r="T5" s="490">
        <f t="shared" ref="T5:T9" si="8">+S5+R5+Q5+P5</f>
        <v>18254.917808219179</v>
      </c>
      <c r="U5" s="491">
        <f t="shared" ref="U5:U8" si="9">ROUND((((H5+K5+M5)*4.83)/100),2)</f>
        <v>181.53</v>
      </c>
      <c r="V5" s="498">
        <f>(O5-N5)*11%</f>
        <v>413.42400000000004</v>
      </c>
      <c r="W5" s="498">
        <v>10</v>
      </c>
      <c r="X5" s="498"/>
      <c r="Y5" s="498"/>
      <c r="Z5" s="462">
        <f t="shared" ref="Z5:Z8" si="10">V5+W5+X5+Y5+U5</f>
        <v>604.95400000000006</v>
      </c>
      <c r="AA5" s="462">
        <f t="shared" ref="AA5:AA8" si="11">+O5-Z5</f>
        <v>3403.4459999999999</v>
      </c>
      <c r="AB5" s="489">
        <v>1000</v>
      </c>
      <c r="AF5"/>
      <c r="AG5"/>
      <c r="AH5"/>
    </row>
    <row r="6" spans="1:37" s="507" customFormat="1">
      <c r="A6" s="456">
        <v>2</v>
      </c>
      <c r="B6" s="466" t="s">
        <v>1182</v>
      </c>
      <c r="C6" s="572">
        <v>9901527952</v>
      </c>
      <c r="D6" s="459" t="s">
        <v>1183</v>
      </c>
      <c r="E6" s="460" t="s">
        <v>44</v>
      </c>
      <c r="F6" s="461">
        <v>31</v>
      </c>
      <c r="G6" s="498">
        <v>72.540000000000006</v>
      </c>
      <c r="H6" s="462">
        <f>+F6*G6</f>
        <v>2248.7400000000002</v>
      </c>
      <c r="I6" s="462">
        <f t="shared" si="1"/>
        <v>8704.8000000000011</v>
      </c>
      <c r="J6" s="463">
        <v>4</v>
      </c>
      <c r="K6" s="464">
        <v>0</v>
      </c>
      <c r="L6" s="462">
        <f>M6+N6</f>
        <v>1760</v>
      </c>
      <c r="M6" s="462">
        <v>1510</v>
      </c>
      <c r="N6" s="462">
        <v>250</v>
      </c>
      <c r="O6" s="462">
        <f>+H6+M6+N6+K6</f>
        <v>4008.7400000000002</v>
      </c>
      <c r="P6" s="488">
        <f t="shared" si="4"/>
        <v>1228.7333333333333</v>
      </c>
      <c r="Q6" s="489">
        <f t="shared" si="5"/>
        <v>1211.9013698630138</v>
      </c>
      <c r="R6" s="489">
        <f t="shared" si="6"/>
        <v>65.753424657534239</v>
      </c>
      <c r="S6" s="490">
        <f t="shared" si="7"/>
        <v>15744.800000000001</v>
      </c>
      <c r="T6" s="490">
        <f t="shared" si="8"/>
        <v>18251.188127853882</v>
      </c>
      <c r="U6" s="491">
        <f>ROUND((((H6+K6+M6)*4.83)/100),2)</f>
        <v>181.55</v>
      </c>
      <c r="V6" s="498"/>
      <c r="W6" s="498"/>
      <c r="X6" s="498"/>
      <c r="Y6" s="498"/>
      <c r="Z6" s="462">
        <f>V6+W6+X6+Y6+U6</f>
        <v>181.55</v>
      </c>
      <c r="AA6" s="462">
        <f>+O6-Z6</f>
        <v>3827.19</v>
      </c>
      <c r="AB6" s="489">
        <v>1000</v>
      </c>
      <c r="AF6"/>
      <c r="AG6"/>
      <c r="AH6"/>
      <c r="AI6"/>
    </row>
    <row r="7" spans="1:37" s="507" customFormat="1">
      <c r="A7" s="456">
        <v>3</v>
      </c>
      <c r="B7" s="466" t="s">
        <v>1184</v>
      </c>
      <c r="C7" s="572">
        <v>9901527955</v>
      </c>
      <c r="D7" s="459" t="s">
        <v>1185</v>
      </c>
      <c r="E7" s="460" t="s">
        <v>44</v>
      </c>
      <c r="F7" s="461">
        <v>31</v>
      </c>
      <c r="G7" s="498">
        <v>72.540000000000006</v>
      </c>
      <c r="H7" s="462">
        <f>+F7*G7</f>
        <v>2248.7400000000002</v>
      </c>
      <c r="I7" s="462">
        <f t="shared" si="1"/>
        <v>8704.8000000000011</v>
      </c>
      <c r="J7" s="463">
        <v>4</v>
      </c>
      <c r="K7" s="464">
        <v>0</v>
      </c>
      <c r="L7" s="462">
        <f>M7+N7</f>
        <v>1760</v>
      </c>
      <c r="M7" s="462">
        <v>1510</v>
      </c>
      <c r="N7" s="462">
        <v>250</v>
      </c>
      <c r="O7" s="462">
        <f>+H7+M7+N7+K7</f>
        <v>4008.7400000000002</v>
      </c>
      <c r="P7" s="488">
        <f t="shared" si="4"/>
        <v>1228.7333333333333</v>
      </c>
      <c r="Q7" s="489">
        <f t="shared" si="5"/>
        <v>1211.9013698630138</v>
      </c>
      <c r="R7" s="489">
        <f t="shared" si="6"/>
        <v>65.753424657534239</v>
      </c>
      <c r="S7" s="490">
        <f t="shared" si="7"/>
        <v>15744.800000000001</v>
      </c>
      <c r="T7" s="490">
        <f t="shared" si="8"/>
        <v>18251.188127853882</v>
      </c>
      <c r="U7" s="491">
        <f>ROUND((((H7+K7+M7)*4.83)/100),2)</f>
        <v>181.55</v>
      </c>
      <c r="V7" s="498"/>
      <c r="W7" s="498"/>
      <c r="X7" s="498"/>
      <c r="Y7" s="498"/>
      <c r="Z7" s="462">
        <f>V7+W7+X7+Y7+U7</f>
        <v>181.55</v>
      </c>
      <c r="AA7" s="462">
        <f>+O7-Z7</f>
        <v>3827.19</v>
      </c>
      <c r="AB7" s="489">
        <v>1000</v>
      </c>
      <c r="AF7" s="480"/>
      <c r="AG7" s="481"/>
      <c r="AH7" s="481"/>
      <c r="AI7" s="481"/>
    </row>
    <row r="8" spans="1:37" s="507" customFormat="1">
      <c r="A8" s="456">
        <v>4</v>
      </c>
      <c r="B8" s="457"/>
      <c r="C8" s="497">
        <v>9901576031</v>
      </c>
      <c r="D8" s="459" t="s">
        <v>1186</v>
      </c>
      <c r="E8" s="460" t="s">
        <v>35</v>
      </c>
      <c r="F8" s="461">
        <v>31</v>
      </c>
      <c r="G8" s="498">
        <v>71.400000000000006</v>
      </c>
      <c r="H8" s="462">
        <f t="shared" si="0"/>
        <v>2213.4</v>
      </c>
      <c r="I8" s="462">
        <f t="shared" si="1"/>
        <v>8568</v>
      </c>
      <c r="J8" s="463">
        <v>4</v>
      </c>
      <c r="K8" s="464">
        <v>0</v>
      </c>
      <c r="L8" s="462">
        <f t="shared" si="2"/>
        <v>1760</v>
      </c>
      <c r="M8" s="462">
        <v>1510</v>
      </c>
      <c r="N8" s="462">
        <v>250</v>
      </c>
      <c r="O8" s="462">
        <f t="shared" si="3"/>
        <v>3973.4</v>
      </c>
      <c r="P8" s="488">
        <f t="shared" si="4"/>
        <v>1217.3333333333333</v>
      </c>
      <c r="Q8" s="489">
        <f t="shared" si="5"/>
        <v>1200.6575342465753</v>
      </c>
      <c r="R8" s="489">
        <f t="shared" si="6"/>
        <v>65.753424657534239</v>
      </c>
      <c r="S8" s="490">
        <f t="shared" si="7"/>
        <v>15608</v>
      </c>
      <c r="T8" s="490">
        <f t="shared" si="8"/>
        <v>18091.744292237443</v>
      </c>
      <c r="U8" s="491">
        <f t="shared" si="9"/>
        <v>179.84</v>
      </c>
      <c r="V8" s="498"/>
      <c r="W8" s="498"/>
      <c r="X8" s="498"/>
      <c r="Y8" s="498">
        <v>1390.51</v>
      </c>
      <c r="Z8" s="462">
        <f t="shared" si="10"/>
        <v>1570.35</v>
      </c>
      <c r="AA8" s="462">
        <f t="shared" si="11"/>
        <v>2403.0500000000002</v>
      </c>
      <c r="AB8" s="489">
        <v>1000</v>
      </c>
      <c r="AF8" s="480"/>
      <c r="AG8" s="481"/>
      <c r="AH8" s="481"/>
      <c r="AI8" s="481"/>
    </row>
    <row r="9" spans="1:37" s="486" customFormat="1">
      <c r="A9" s="456">
        <v>5</v>
      </c>
      <c r="B9" s="466"/>
      <c r="C9" s="497">
        <v>9901113732</v>
      </c>
      <c r="D9" s="459" t="s">
        <v>1187</v>
      </c>
      <c r="E9" s="460" t="s">
        <v>35</v>
      </c>
      <c r="F9" s="461">
        <v>31</v>
      </c>
      <c r="G9" s="498">
        <v>71.400000000000006</v>
      </c>
      <c r="H9" s="462">
        <f t="shared" ref="H9:H18" si="12">+F9*G9</f>
        <v>2213.4</v>
      </c>
      <c r="I9" s="462">
        <f t="shared" si="1"/>
        <v>8568</v>
      </c>
      <c r="J9" s="463">
        <v>4</v>
      </c>
      <c r="K9" s="464">
        <v>0</v>
      </c>
      <c r="L9" s="462">
        <f>M9+N9</f>
        <v>1760</v>
      </c>
      <c r="M9" s="462">
        <v>1510</v>
      </c>
      <c r="N9" s="462">
        <v>250</v>
      </c>
      <c r="O9" s="462">
        <f>+H9+M9+N9+K9</f>
        <v>3973.4</v>
      </c>
      <c r="P9" s="488">
        <f t="shared" si="4"/>
        <v>1217.3333333333333</v>
      </c>
      <c r="Q9" s="489">
        <f t="shared" si="5"/>
        <v>1200.6575342465753</v>
      </c>
      <c r="R9" s="489">
        <f t="shared" si="6"/>
        <v>65.753424657534239</v>
      </c>
      <c r="S9" s="490">
        <f t="shared" si="7"/>
        <v>15608</v>
      </c>
      <c r="T9" s="490">
        <f t="shared" si="8"/>
        <v>18091.744292237443</v>
      </c>
      <c r="U9" s="491">
        <f t="shared" ref="U9:U18" si="13">ROUND((((H9+K9+M9)*4.83)/100),2)</f>
        <v>179.84</v>
      </c>
      <c r="V9" s="498"/>
      <c r="W9" s="498"/>
      <c r="X9" s="498"/>
      <c r="Y9" s="498"/>
      <c r="Z9" s="462">
        <f t="shared" ref="Z9:Z18" si="14">V9+W9+X9+Y9+U9</f>
        <v>179.84</v>
      </c>
      <c r="AA9" s="462">
        <f t="shared" ref="AA9:AA18" si="15">+O9-Z9</f>
        <v>3793.56</v>
      </c>
      <c r="AB9" s="489">
        <v>1000</v>
      </c>
      <c r="AF9" s="480"/>
      <c r="AG9" s="481"/>
      <c r="AH9" s="481"/>
      <c r="AI9" s="481"/>
    </row>
    <row r="10" spans="1:37" s="486" customFormat="1">
      <c r="A10" s="456">
        <v>1</v>
      </c>
      <c r="B10" s="457" t="s">
        <v>1188</v>
      </c>
      <c r="C10" s="497">
        <v>9901442260</v>
      </c>
      <c r="D10" s="459" t="s">
        <v>1189</v>
      </c>
      <c r="E10" s="460" t="s">
        <v>38</v>
      </c>
      <c r="F10" s="461">
        <v>31</v>
      </c>
      <c r="G10" s="498">
        <v>71.400000000000006</v>
      </c>
      <c r="H10" s="462">
        <f t="shared" si="12"/>
        <v>2213.4</v>
      </c>
      <c r="I10" s="462">
        <f t="shared" ref="I10:I13" si="16">G10*120</f>
        <v>8568</v>
      </c>
      <c r="J10" s="463">
        <v>4</v>
      </c>
      <c r="K10" s="464">
        <v>50</v>
      </c>
      <c r="L10" s="462">
        <f t="shared" ref="L10:L13" si="17">M10+N10</f>
        <v>1760</v>
      </c>
      <c r="M10" s="462">
        <v>1510</v>
      </c>
      <c r="N10" s="462">
        <v>250</v>
      </c>
      <c r="O10" s="462">
        <f t="shared" ref="O10:O13" si="18">+H10+M10+N10+K10</f>
        <v>4023.4</v>
      </c>
      <c r="P10" s="488">
        <f t="shared" ref="P10:P13" si="19">(((G10*120)+(K10+M10)*4)/12)</f>
        <v>1234</v>
      </c>
      <c r="Q10" s="489">
        <f t="shared" ref="Q10:Q13" si="20">(((G10*30)+M10+K10)/365*120)</f>
        <v>1217.0958904109589</v>
      </c>
      <c r="R10" s="489">
        <f t="shared" ref="R10:R13" si="21">+(200/365)*120</f>
        <v>65.753424657534239</v>
      </c>
      <c r="S10" s="490">
        <f t="shared" ref="S10:S13" si="22">(((G10*120)+((K10+M10+N10)*4)))</f>
        <v>15808</v>
      </c>
      <c r="T10" s="490">
        <f t="shared" ref="T10:T13" si="23">+S10+R10+Q10+P10</f>
        <v>18324.849315068492</v>
      </c>
      <c r="U10" s="491">
        <f t="shared" si="13"/>
        <v>182.26</v>
      </c>
      <c r="V10" s="498">
        <v>415.07</v>
      </c>
      <c r="W10" s="498">
        <v>10</v>
      </c>
      <c r="X10" s="498"/>
      <c r="Y10" s="498"/>
      <c r="Z10" s="462">
        <f t="shared" si="14"/>
        <v>607.32999999999993</v>
      </c>
      <c r="AA10" s="462">
        <f t="shared" si="15"/>
        <v>3416.07</v>
      </c>
      <c r="AB10" s="489">
        <v>1000</v>
      </c>
      <c r="AF10" s="479" t="s">
        <v>226</v>
      </c>
      <c r="AG10" t="s">
        <v>228</v>
      </c>
      <c r="AH10" t="s">
        <v>229</v>
      </c>
      <c r="AI10" t="s">
        <v>231</v>
      </c>
    </row>
    <row r="11" spans="1:37" s="507" customFormat="1">
      <c r="A11" s="456">
        <v>2</v>
      </c>
      <c r="B11" s="457" t="s">
        <v>1190</v>
      </c>
      <c r="C11" s="497">
        <v>9901443277</v>
      </c>
      <c r="D11" s="459" t="s">
        <v>1191</v>
      </c>
      <c r="E11" s="460" t="s">
        <v>35</v>
      </c>
      <c r="F11" s="461">
        <v>31</v>
      </c>
      <c r="G11" s="498">
        <v>71.400000000000006</v>
      </c>
      <c r="H11" s="462">
        <f t="shared" si="12"/>
        <v>2213.4</v>
      </c>
      <c r="I11" s="462">
        <f t="shared" si="16"/>
        <v>8568</v>
      </c>
      <c r="J11" s="463">
        <v>4</v>
      </c>
      <c r="K11" s="464">
        <v>0</v>
      </c>
      <c r="L11" s="462">
        <f t="shared" si="17"/>
        <v>1760</v>
      </c>
      <c r="M11" s="462">
        <v>1510</v>
      </c>
      <c r="N11" s="462">
        <v>250</v>
      </c>
      <c r="O11" s="462">
        <f t="shared" si="18"/>
        <v>3973.4</v>
      </c>
      <c r="P11" s="488">
        <f t="shared" si="19"/>
        <v>1217.3333333333333</v>
      </c>
      <c r="Q11" s="489">
        <f t="shared" si="20"/>
        <v>1200.6575342465753</v>
      </c>
      <c r="R11" s="489">
        <f t="shared" si="21"/>
        <v>65.753424657534239</v>
      </c>
      <c r="S11" s="490">
        <f t="shared" si="22"/>
        <v>15608</v>
      </c>
      <c r="T11" s="490">
        <f t="shared" si="23"/>
        <v>18091.744292237443</v>
      </c>
      <c r="U11" s="491">
        <f t="shared" si="13"/>
        <v>179.84</v>
      </c>
      <c r="V11" s="498"/>
      <c r="W11" s="498">
        <v>10</v>
      </c>
      <c r="X11" s="498"/>
      <c r="Y11" s="498"/>
      <c r="Z11" s="462">
        <f t="shared" si="14"/>
        <v>189.84</v>
      </c>
      <c r="AA11" s="462">
        <f t="shared" si="15"/>
        <v>3783.56</v>
      </c>
      <c r="AB11" s="489">
        <v>1000</v>
      </c>
      <c r="AF11" s="480" t="s">
        <v>44</v>
      </c>
      <c r="AG11" s="481">
        <v>7</v>
      </c>
      <c r="AH11" s="481">
        <v>72.540000000000006</v>
      </c>
      <c r="AI11" s="481">
        <v>180</v>
      </c>
    </row>
    <row r="12" spans="1:37" s="507" customFormat="1">
      <c r="A12" s="456">
        <v>3</v>
      </c>
      <c r="B12" s="466"/>
      <c r="C12" s="497">
        <v>9901575961</v>
      </c>
      <c r="D12" s="459" t="s">
        <v>1192</v>
      </c>
      <c r="E12" s="460" t="s">
        <v>35</v>
      </c>
      <c r="F12" s="461">
        <v>31</v>
      </c>
      <c r="G12" s="498">
        <v>71.400000000000006</v>
      </c>
      <c r="H12" s="462">
        <f t="shared" si="12"/>
        <v>2213.4</v>
      </c>
      <c r="I12" s="462">
        <f t="shared" si="16"/>
        <v>8568</v>
      </c>
      <c r="J12" s="463">
        <v>4</v>
      </c>
      <c r="K12" s="464">
        <v>0</v>
      </c>
      <c r="L12" s="462">
        <f t="shared" si="17"/>
        <v>1760</v>
      </c>
      <c r="M12" s="462">
        <v>1510</v>
      </c>
      <c r="N12" s="462">
        <v>250</v>
      </c>
      <c r="O12" s="462">
        <f t="shared" si="18"/>
        <v>3973.4</v>
      </c>
      <c r="P12" s="488">
        <f t="shared" si="19"/>
        <v>1217.3333333333333</v>
      </c>
      <c r="Q12" s="489">
        <f t="shared" si="20"/>
        <v>1200.6575342465753</v>
      </c>
      <c r="R12" s="489">
        <f t="shared" si="21"/>
        <v>65.753424657534239</v>
      </c>
      <c r="S12" s="490">
        <f t="shared" si="22"/>
        <v>15608</v>
      </c>
      <c r="T12" s="490">
        <f t="shared" si="23"/>
        <v>18091.744292237443</v>
      </c>
      <c r="U12" s="491">
        <f t="shared" si="13"/>
        <v>179.84</v>
      </c>
      <c r="V12" s="498"/>
      <c r="W12" s="498"/>
      <c r="X12" s="498"/>
      <c r="Y12" s="498"/>
      <c r="Z12" s="462">
        <f t="shared" si="14"/>
        <v>179.84</v>
      </c>
      <c r="AA12" s="462">
        <f t="shared" si="15"/>
        <v>3793.56</v>
      </c>
      <c r="AB12" s="489">
        <v>1000</v>
      </c>
      <c r="AF12" s="480" t="s">
        <v>59</v>
      </c>
      <c r="AG12" s="481">
        <v>21</v>
      </c>
      <c r="AH12" s="481">
        <v>77.59</v>
      </c>
      <c r="AI12" s="481"/>
    </row>
    <row r="13" spans="1:37" s="507" customFormat="1">
      <c r="A13" s="456">
        <v>4</v>
      </c>
      <c r="B13" s="466"/>
      <c r="C13" s="497">
        <v>9901575967</v>
      </c>
      <c r="D13" s="459" t="s">
        <v>1193</v>
      </c>
      <c r="E13" s="460" t="s">
        <v>35</v>
      </c>
      <c r="F13" s="461">
        <v>31</v>
      </c>
      <c r="G13" s="498">
        <v>71.400000000000006</v>
      </c>
      <c r="H13" s="462">
        <f t="shared" si="12"/>
        <v>2213.4</v>
      </c>
      <c r="I13" s="462">
        <f t="shared" si="16"/>
        <v>8568</v>
      </c>
      <c r="J13" s="463">
        <v>4</v>
      </c>
      <c r="K13" s="464">
        <v>0</v>
      </c>
      <c r="L13" s="462">
        <f t="shared" si="17"/>
        <v>1760</v>
      </c>
      <c r="M13" s="462">
        <v>1510</v>
      </c>
      <c r="N13" s="462">
        <v>250</v>
      </c>
      <c r="O13" s="462">
        <f t="shared" si="18"/>
        <v>3973.4</v>
      </c>
      <c r="P13" s="488">
        <f t="shared" si="19"/>
        <v>1217.3333333333333</v>
      </c>
      <c r="Q13" s="489">
        <f t="shared" si="20"/>
        <v>1200.6575342465753</v>
      </c>
      <c r="R13" s="489">
        <f t="shared" si="21"/>
        <v>65.753424657534239</v>
      </c>
      <c r="S13" s="490">
        <f t="shared" si="22"/>
        <v>15608</v>
      </c>
      <c r="T13" s="490">
        <f t="shared" si="23"/>
        <v>18091.744292237443</v>
      </c>
      <c r="U13" s="491">
        <f t="shared" si="13"/>
        <v>179.84</v>
      </c>
      <c r="V13" s="498"/>
      <c r="W13" s="498"/>
      <c r="X13" s="498"/>
      <c r="Y13" s="498"/>
      <c r="Z13" s="462">
        <f t="shared" si="14"/>
        <v>179.84</v>
      </c>
      <c r="AA13" s="462">
        <f t="shared" si="15"/>
        <v>3793.56</v>
      </c>
      <c r="AB13" s="489">
        <v>1000</v>
      </c>
      <c r="AF13" s="480" t="s">
        <v>48</v>
      </c>
      <c r="AG13" s="481">
        <v>1</v>
      </c>
      <c r="AH13" s="481">
        <v>71.400000000000006</v>
      </c>
      <c r="AI13" s="481"/>
      <c r="AK13" s="480" t="s">
        <v>54</v>
      </c>
    </row>
    <row r="14" spans="1:37" s="486" customFormat="1">
      <c r="A14" s="456">
        <v>1</v>
      </c>
      <c r="B14" s="466" t="s">
        <v>1194</v>
      </c>
      <c r="C14" s="573">
        <v>9901443409</v>
      </c>
      <c r="D14" s="459" t="s">
        <v>1195</v>
      </c>
      <c r="E14" s="460" t="s">
        <v>44</v>
      </c>
      <c r="F14" s="461">
        <v>31</v>
      </c>
      <c r="G14" s="498">
        <v>72.540000000000006</v>
      </c>
      <c r="H14" s="462">
        <f t="shared" si="12"/>
        <v>2248.7400000000002</v>
      </c>
      <c r="I14" s="462">
        <f t="shared" ref="I14:I18" si="24">G14*120</f>
        <v>8704.8000000000011</v>
      </c>
      <c r="J14" s="463">
        <v>4</v>
      </c>
      <c r="K14" s="534">
        <v>75</v>
      </c>
      <c r="L14" s="462">
        <f>M14+N14</f>
        <v>1760</v>
      </c>
      <c r="M14" s="462">
        <v>1510</v>
      </c>
      <c r="N14" s="462">
        <v>250</v>
      </c>
      <c r="O14" s="462">
        <f>+H14+M14+N14+K14</f>
        <v>4083.7400000000002</v>
      </c>
      <c r="P14" s="488">
        <f t="shared" ref="P14:P18" si="25">(((G14*120)+(K14+M14)*4)/12)</f>
        <v>1253.7333333333333</v>
      </c>
      <c r="Q14" s="489">
        <f t="shared" ref="Q14:Q18" si="26">(((G14*30)+M14+K14)/365*120)</f>
        <v>1236.5589041095891</v>
      </c>
      <c r="R14" s="489">
        <f t="shared" ref="R14:R18" si="27">+(200/365)*120</f>
        <v>65.753424657534239</v>
      </c>
      <c r="S14" s="490">
        <f t="shared" ref="S14:S18" si="28">(((G14*120)+((K14+M14+N14)*4)))</f>
        <v>16044.800000000001</v>
      </c>
      <c r="T14" s="490">
        <f t="shared" ref="T14:T18" si="29">+S14+R14+Q14+P14</f>
        <v>18600.845662100459</v>
      </c>
      <c r="U14" s="491">
        <f t="shared" si="13"/>
        <v>185.17</v>
      </c>
      <c r="V14" s="498">
        <f>(O14-N14)*11%</f>
        <v>421.71140000000003</v>
      </c>
      <c r="W14" s="498">
        <v>10</v>
      </c>
      <c r="X14" s="498"/>
      <c r="Y14" s="498">
        <v>1728.58</v>
      </c>
      <c r="Z14" s="462">
        <f t="shared" si="14"/>
        <v>2345.4614000000001</v>
      </c>
      <c r="AA14" s="462">
        <f t="shared" si="15"/>
        <v>1738.2786000000001</v>
      </c>
      <c r="AB14" s="489">
        <v>1000</v>
      </c>
      <c r="AF14" s="480" t="s">
        <v>35</v>
      </c>
      <c r="AG14" s="481">
        <v>39</v>
      </c>
      <c r="AH14" s="481">
        <v>71.400000000000006</v>
      </c>
      <c r="AI14" s="481">
        <v>355</v>
      </c>
      <c r="AK14" s="480" t="s">
        <v>1222</v>
      </c>
    </row>
    <row r="15" spans="1:37" s="486" customFormat="1">
      <c r="A15" s="456">
        <v>2</v>
      </c>
      <c r="B15" s="457" t="s">
        <v>1196</v>
      </c>
      <c r="C15" s="573">
        <v>9901442350</v>
      </c>
      <c r="D15" s="459" t="s">
        <v>1197</v>
      </c>
      <c r="E15" s="460" t="s">
        <v>42</v>
      </c>
      <c r="F15" s="461">
        <v>31</v>
      </c>
      <c r="G15" s="498">
        <v>75.64</v>
      </c>
      <c r="H15" s="462">
        <f t="shared" si="12"/>
        <v>2344.84</v>
      </c>
      <c r="I15" s="462">
        <f t="shared" si="24"/>
        <v>9076.7999999999993</v>
      </c>
      <c r="J15" s="463">
        <v>4</v>
      </c>
      <c r="K15" s="534">
        <v>50</v>
      </c>
      <c r="L15" s="462">
        <f>M15+N15</f>
        <v>1760</v>
      </c>
      <c r="M15" s="462">
        <v>1510</v>
      </c>
      <c r="N15" s="462">
        <v>250</v>
      </c>
      <c r="O15" s="462">
        <f>+H15+M15+N15+K15</f>
        <v>4154.84</v>
      </c>
      <c r="P15" s="488">
        <f t="shared" si="25"/>
        <v>1276.3999999999999</v>
      </c>
      <c r="Q15" s="489">
        <f t="shared" si="26"/>
        <v>1258.9150684931506</v>
      </c>
      <c r="R15" s="489">
        <f t="shared" si="27"/>
        <v>65.753424657534239</v>
      </c>
      <c r="S15" s="490">
        <f t="shared" si="28"/>
        <v>16316.8</v>
      </c>
      <c r="T15" s="490">
        <f t="shared" si="29"/>
        <v>18917.868493150687</v>
      </c>
      <c r="U15" s="491">
        <f t="shared" si="13"/>
        <v>188.6</v>
      </c>
      <c r="V15" s="498">
        <f>(O15-N15)*11%</f>
        <v>429.5324</v>
      </c>
      <c r="W15" s="498"/>
      <c r="X15" s="498"/>
      <c r="Y15" s="498">
        <v>858.36</v>
      </c>
      <c r="Z15" s="462">
        <f t="shared" si="14"/>
        <v>1476.4923999999999</v>
      </c>
      <c r="AA15" s="462">
        <f t="shared" si="15"/>
        <v>2678.3476000000001</v>
      </c>
      <c r="AB15" s="489">
        <v>1000</v>
      </c>
      <c r="AF15" s="480" t="s">
        <v>52</v>
      </c>
      <c r="AG15" s="481">
        <v>4</v>
      </c>
      <c r="AH15" s="481">
        <v>72.540000000000006</v>
      </c>
      <c r="AI15" s="481"/>
    </row>
    <row r="16" spans="1:37" s="486" customFormat="1">
      <c r="A16" s="456">
        <v>3</v>
      </c>
      <c r="B16" s="457" t="s">
        <v>1198</v>
      </c>
      <c r="C16" s="573">
        <v>9901443302</v>
      </c>
      <c r="D16" s="459" t="s">
        <v>1199</v>
      </c>
      <c r="E16" s="460" t="s">
        <v>54</v>
      </c>
      <c r="F16" s="461">
        <v>31</v>
      </c>
      <c r="G16" s="498">
        <v>71.400000000000006</v>
      </c>
      <c r="H16" s="462">
        <f t="shared" si="12"/>
        <v>2213.4</v>
      </c>
      <c r="I16" s="462">
        <f t="shared" si="24"/>
        <v>8568</v>
      </c>
      <c r="J16" s="463">
        <v>4</v>
      </c>
      <c r="K16" s="534">
        <v>75</v>
      </c>
      <c r="L16" s="462">
        <f>M16+N16</f>
        <v>1760</v>
      </c>
      <c r="M16" s="462">
        <v>1510</v>
      </c>
      <c r="N16" s="462">
        <v>250</v>
      </c>
      <c r="O16" s="462">
        <f>+H16+M16+N16+K16</f>
        <v>4048.4</v>
      </c>
      <c r="P16" s="488">
        <f t="shared" si="25"/>
        <v>1242.3333333333333</v>
      </c>
      <c r="Q16" s="489">
        <f t="shared" si="26"/>
        <v>1225.3150684931506</v>
      </c>
      <c r="R16" s="489">
        <f t="shared" si="27"/>
        <v>65.753424657534239</v>
      </c>
      <c r="S16" s="490">
        <f t="shared" si="28"/>
        <v>15908</v>
      </c>
      <c r="T16" s="490">
        <f t="shared" si="29"/>
        <v>18441.401826484016</v>
      </c>
      <c r="U16" s="491">
        <f t="shared" si="13"/>
        <v>183.46</v>
      </c>
      <c r="V16" s="498">
        <f>(O16-N16)*11%</f>
        <v>417.82400000000001</v>
      </c>
      <c r="W16" s="498">
        <v>10</v>
      </c>
      <c r="X16" s="498"/>
      <c r="Y16" s="498"/>
      <c r="Z16" s="462">
        <f t="shared" si="14"/>
        <v>611.28399999999999</v>
      </c>
      <c r="AA16" s="462">
        <f t="shared" si="15"/>
        <v>3437.116</v>
      </c>
      <c r="AB16" s="489">
        <v>1000</v>
      </c>
      <c r="AF16" s="480" t="s">
        <v>60</v>
      </c>
      <c r="AG16" s="481">
        <v>1</v>
      </c>
      <c r="AH16" s="481">
        <v>73.59</v>
      </c>
      <c r="AI16" s="481">
        <v>35</v>
      </c>
    </row>
    <row r="17" spans="1:35" s="486" customFormat="1">
      <c r="A17" s="456">
        <v>4</v>
      </c>
      <c r="B17" s="457" t="s">
        <v>1200</v>
      </c>
      <c r="C17" s="573">
        <v>9901442920</v>
      </c>
      <c r="D17" s="459" t="s">
        <v>1201</v>
      </c>
      <c r="E17" s="460" t="s">
        <v>35</v>
      </c>
      <c r="F17" s="461">
        <v>31</v>
      </c>
      <c r="G17" s="498">
        <v>71.400000000000006</v>
      </c>
      <c r="H17" s="462">
        <f t="shared" si="12"/>
        <v>2213.4</v>
      </c>
      <c r="I17" s="462">
        <f t="shared" si="24"/>
        <v>8568</v>
      </c>
      <c r="J17" s="463">
        <v>4</v>
      </c>
      <c r="K17" s="534"/>
      <c r="L17" s="462">
        <f>M17+N17</f>
        <v>1760</v>
      </c>
      <c r="M17" s="462">
        <v>1510</v>
      </c>
      <c r="N17" s="462">
        <v>250</v>
      </c>
      <c r="O17" s="462">
        <f>+H17+M17+N17+K17</f>
        <v>3973.4</v>
      </c>
      <c r="P17" s="488">
        <f t="shared" si="25"/>
        <v>1217.3333333333333</v>
      </c>
      <c r="Q17" s="489">
        <f t="shared" si="26"/>
        <v>1200.6575342465753</v>
      </c>
      <c r="R17" s="489">
        <f t="shared" si="27"/>
        <v>65.753424657534239</v>
      </c>
      <c r="S17" s="490">
        <f t="shared" si="28"/>
        <v>15608</v>
      </c>
      <c r="T17" s="490">
        <f t="shared" si="29"/>
        <v>18091.744292237443</v>
      </c>
      <c r="U17" s="491">
        <f t="shared" si="13"/>
        <v>179.84</v>
      </c>
      <c r="V17" s="498"/>
      <c r="W17" s="498"/>
      <c r="X17" s="498"/>
      <c r="Y17" s="498"/>
      <c r="Z17" s="462">
        <f t="shared" si="14"/>
        <v>179.84</v>
      </c>
      <c r="AA17" s="462">
        <f t="shared" si="15"/>
        <v>3793.56</v>
      </c>
      <c r="AB17" s="489">
        <v>1000</v>
      </c>
      <c r="AF17" s="480" t="s">
        <v>61</v>
      </c>
      <c r="AG17" s="481">
        <v>7</v>
      </c>
      <c r="AH17" s="481">
        <v>77.59</v>
      </c>
      <c r="AI17" s="481"/>
    </row>
    <row r="18" spans="1:35" s="486" customFormat="1">
      <c r="A18" s="456">
        <v>5</v>
      </c>
      <c r="B18" s="457" t="s">
        <v>1202</v>
      </c>
      <c r="C18" s="573">
        <v>9901443795</v>
      </c>
      <c r="D18" s="459" t="s">
        <v>1203</v>
      </c>
      <c r="E18" s="460" t="s">
        <v>64</v>
      </c>
      <c r="F18" s="461">
        <v>31</v>
      </c>
      <c r="G18" s="498">
        <v>71.400000000000006</v>
      </c>
      <c r="H18" s="462">
        <f t="shared" si="12"/>
        <v>2213.4</v>
      </c>
      <c r="I18" s="462">
        <f t="shared" si="24"/>
        <v>8568</v>
      </c>
      <c r="J18" s="463">
        <v>4</v>
      </c>
      <c r="K18" s="533">
        <v>50</v>
      </c>
      <c r="L18" s="462">
        <f>M18+N18</f>
        <v>1760</v>
      </c>
      <c r="M18" s="462">
        <v>1510</v>
      </c>
      <c r="N18" s="462">
        <v>250</v>
      </c>
      <c r="O18" s="462">
        <f>+H18+M18+N18+K18</f>
        <v>4023.4</v>
      </c>
      <c r="P18" s="488">
        <f t="shared" si="25"/>
        <v>1234</v>
      </c>
      <c r="Q18" s="489">
        <f t="shared" si="26"/>
        <v>1217.0958904109589</v>
      </c>
      <c r="R18" s="489">
        <f t="shared" si="27"/>
        <v>65.753424657534239</v>
      </c>
      <c r="S18" s="490">
        <f t="shared" si="28"/>
        <v>15808</v>
      </c>
      <c r="T18" s="490">
        <f t="shared" si="29"/>
        <v>18324.849315068492</v>
      </c>
      <c r="U18" s="491">
        <f t="shared" si="13"/>
        <v>182.26</v>
      </c>
      <c r="V18" s="498"/>
      <c r="W18" s="498"/>
      <c r="X18" s="498"/>
      <c r="Y18" s="498">
        <v>1402.25</v>
      </c>
      <c r="Z18" s="462">
        <f t="shared" si="14"/>
        <v>1584.51</v>
      </c>
      <c r="AA18" s="462">
        <f t="shared" si="15"/>
        <v>2438.8900000000003</v>
      </c>
      <c r="AB18" s="489">
        <v>1000</v>
      </c>
      <c r="AF18" s="480" t="s">
        <v>38</v>
      </c>
      <c r="AG18" s="481">
        <v>25</v>
      </c>
      <c r="AH18" s="481">
        <v>71.400000000000006</v>
      </c>
      <c r="AI18" s="481">
        <v>295</v>
      </c>
    </row>
    <row r="19" spans="1:35" s="486" customFormat="1">
      <c r="A19" s="456">
        <v>1</v>
      </c>
      <c r="B19" s="457" t="s">
        <v>1204</v>
      </c>
      <c r="C19" s="528">
        <v>9901443772</v>
      </c>
      <c r="D19" s="459" t="s">
        <v>1205</v>
      </c>
      <c r="E19" s="460" t="s">
        <v>55</v>
      </c>
      <c r="F19" s="461">
        <v>31</v>
      </c>
      <c r="G19" s="498">
        <v>72.540000000000006</v>
      </c>
      <c r="H19" s="462">
        <f t="shared" ref="H19:H25" si="30">+F19*G19</f>
        <v>2248.7400000000002</v>
      </c>
      <c r="I19" s="462">
        <f t="shared" ref="I19:I25" si="31">G19*120</f>
        <v>8704.8000000000011</v>
      </c>
      <c r="J19" s="463">
        <v>4</v>
      </c>
      <c r="K19" s="534">
        <v>50</v>
      </c>
      <c r="L19" s="462">
        <f t="shared" ref="L19:L25" si="32">M19+N19</f>
        <v>1760</v>
      </c>
      <c r="M19" s="462">
        <v>1510</v>
      </c>
      <c r="N19" s="462">
        <v>250</v>
      </c>
      <c r="O19" s="462">
        <f t="shared" ref="O19:O25" si="33">+H19+M19+N19+K19</f>
        <v>4058.7400000000002</v>
      </c>
      <c r="P19" s="488">
        <f t="shared" ref="P19:P25" si="34">(((G19*120)+(K19+M19)*4)/12)</f>
        <v>1245.4000000000001</v>
      </c>
      <c r="Q19" s="489">
        <f t="shared" ref="Q19:Q25" si="35">(((G19*30)+M19+K19)/365*120)</f>
        <v>1228.3397260273973</v>
      </c>
      <c r="R19" s="489">
        <f t="shared" ref="R19:R25" si="36">+(200/365)*120</f>
        <v>65.753424657534239</v>
      </c>
      <c r="S19" s="490">
        <f t="shared" ref="S19:S25" si="37">(((G19*120)+((K19+M19+N19)*4)))</f>
        <v>15944.800000000001</v>
      </c>
      <c r="T19" s="490">
        <f t="shared" ref="T19:T25" si="38">+S19+R19+Q19+P19</f>
        <v>18484.293150684935</v>
      </c>
      <c r="U19" s="491">
        <f t="shared" ref="U19:U25" si="39">ROUND((((H19+K19+M19)*4.83)/100),2)</f>
        <v>183.96</v>
      </c>
      <c r="V19" s="498"/>
      <c r="W19" s="498">
        <v>10</v>
      </c>
      <c r="X19" s="498"/>
      <c r="Y19" s="498"/>
      <c r="Z19" s="462">
        <f t="shared" ref="Z19:Z25" si="40">V19+W19+X19+Y19+U19</f>
        <v>193.96</v>
      </c>
      <c r="AA19" s="462">
        <f t="shared" ref="AA19:AA25" si="41">+O19-Z19</f>
        <v>3864.78</v>
      </c>
      <c r="AB19" s="489">
        <v>1000</v>
      </c>
      <c r="AF19" s="480" t="s">
        <v>62</v>
      </c>
      <c r="AG19" s="481">
        <v>3</v>
      </c>
      <c r="AH19" s="481">
        <v>75.64</v>
      </c>
      <c r="AI19" s="481"/>
    </row>
    <row r="20" spans="1:35" s="486" customFormat="1">
      <c r="A20" s="456">
        <v>2</v>
      </c>
      <c r="B20" s="457" t="s">
        <v>1206</v>
      </c>
      <c r="C20" s="497">
        <v>9901482979</v>
      </c>
      <c r="D20" s="459" t="s">
        <v>1207</v>
      </c>
      <c r="E20" s="460" t="s">
        <v>38</v>
      </c>
      <c r="F20" s="461">
        <v>31</v>
      </c>
      <c r="G20" s="498">
        <v>71.400000000000006</v>
      </c>
      <c r="H20" s="462">
        <f t="shared" si="30"/>
        <v>2213.4</v>
      </c>
      <c r="I20" s="462">
        <f t="shared" si="31"/>
        <v>8568</v>
      </c>
      <c r="J20" s="463">
        <v>4</v>
      </c>
      <c r="K20" s="534"/>
      <c r="L20" s="462">
        <f t="shared" si="32"/>
        <v>1760</v>
      </c>
      <c r="M20" s="462">
        <v>1510</v>
      </c>
      <c r="N20" s="462">
        <v>250</v>
      </c>
      <c r="O20" s="462">
        <f t="shared" si="33"/>
        <v>3973.4</v>
      </c>
      <c r="P20" s="488">
        <f t="shared" si="34"/>
        <v>1217.3333333333333</v>
      </c>
      <c r="Q20" s="489">
        <f t="shared" si="35"/>
        <v>1200.6575342465753</v>
      </c>
      <c r="R20" s="489">
        <f t="shared" si="36"/>
        <v>65.753424657534239</v>
      </c>
      <c r="S20" s="490">
        <f t="shared" si="37"/>
        <v>15608</v>
      </c>
      <c r="T20" s="490">
        <f t="shared" si="38"/>
        <v>18091.744292237443</v>
      </c>
      <c r="U20" s="491">
        <f t="shared" si="39"/>
        <v>179.84</v>
      </c>
      <c r="V20" s="498"/>
      <c r="W20" s="498">
        <v>10</v>
      </c>
      <c r="X20" s="498"/>
      <c r="Y20" s="498"/>
      <c r="Z20" s="462">
        <f t="shared" si="40"/>
        <v>189.84</v>
      </c>
      <c r="AA20" s="462">
        <f t="shared" si="41"/>
        <v>3783.56</v>
      </c>
      <c r="AB20" s="489">
        <v>1000</v>
      </c>
      <c r="AF20" s="480" t="s">
        <v>63</v>
      </c>
      <c r="AG20" s="481">
        <v>1</v>
      </c>
      <c r="AH20" s="481">
        <v>80.86</v>
      </c>
      <c r="AI20" s="481">
        <v>0</v>
      </c>
    </row>
    <row r="21" spans="1:35" s="486" customFormat="1">
      <c r="A21" s="456">
        <v>3</v>
      </c>
      <c r="B21" s="466" t="s">
        <v>1208</v>
      </c>
      <c r="C21" s="497">
        <v>9901442224</v>
      </c>
      <c r="D21" s="459" t="s">
        <v>1209</v>
      </c>
      <c r="E21" s="460" t="s">
        <v>54</v>
      </c>
      <c r="F21" s="461">
        <v>31</v>
      </c>
      <c r="G21" s="498">
        <v>71.400000000000006</v>
      </c>
      <c r="H21" s="462">
        <f t="shared" si="30"/>
        <v>2213.4</v>
      </c>
      <c r="I21" s="462">
        <f t="shared" si="31"/>
        <v>8568</v>
      </c>
      <c r="J21" s="463">
        <v>4</v>
      </c>
      <c r="K21" s="534">
        <v>50</v>
      </c>
      <c r="L21" s="462">
        <f t="shared" si="32"/>
        <v>1760</v>
      </c>
      <c r="M21" s="462">
        <v>1510</v>
      </c>
      <c r="N21" s="462">
        <v>250</v>
      </c>
      <c r="O21" s="462">
        <f t="shared" si="33"/>
        <v>4023.4</v>
      </c>
      <c r="P21" s="488">
        <f t="shared" si="34"/>
        <v>1234</v>
      </c>
      <c r="Q21" s="489">
        <f t="shared" si="35"/>
        <v>1217.0958904109589</v>
      </c>
      <c r="R21" s="489">
        <f t="shared" si="36"/>
        <v>65.753424657534239</v>
      </c>
      <c r="S21" s="490">
        <f t="shared" si="37"/>
        <v>15808</v>
      </c>
      <c r="T21" s="490">
        <f t="shared" si="38"/>
        <v>18324.849315068492</v>
      </c>
      <c r="U21" s="491">
        <f t="shared" si="39"/>
        <v>182.26</v>
      </c>
      <c r="V21" s="498">
        <f>(O21-N21)*11%</f>
        <v>415.07400000000001</v>
      </c>
      <c r="W21" s="498">
        <v>10</v>
      </c>
      <c r="X21" s="498"/>
      <c r="Y21" s="498"/>
      <c r="Z21" s="462">
        <f t="shared" si="40"/>
        <v>607.33400000000006</v>
      </c>
      <c r="AA21" s="462">
        <f t="shared" si="41"/>
        <v>3416.0659999999998</v>
      </c>
      <c r="AB21" s="489">
        <v>1000</v>
      </c>
      <c r="AF21" s="480" t="s">
        <v>136</v>
      </c>
      <c r="AG21" s="481">
        <v>1</v>
      </c>
      <c r="AH21" s="481">
        <v>75.64</v>
      </c>
      <c r="AI21" s="481"/>
    </row>
    <row r="22" spans="1:35" s="486" customFormat="1">
      <c r="A22" s="456">
        <v>4</v>
      </c>
      <c r="B22" s="457" t="s">
        <v>1210</v>
      </c>
      <c r="C22" s="497">
        <v>9901443543</v>
      </c>
      <c r="D22" s="459" t="s">
        <v>1211</v>
      </c>
      <c r="E22" s="460" t="s">
        <v>38</v>
      </c>
      <c r="F22" s="461">
        <v>31</v>
      </c>
      <c r="G22" s="498">
        <v>71.400000000000006</v>
      </c>
      <c r="H22" s="462">
        <f t="shared" si="30"/>
        <v>2213.4</v>
      </c>
      <c r="I22" s="462">
        <f t="shared" si="31"/>
        <v>8568</v>
      </c>
      <c r="J22" s="463">
        <v>4</v>
      </c>
      <c r="K22" s="468">
        <v>50</v>
      </c>
      <c r="L22" s="462">
        <f t="shared" si="32"/>
        <v>1760</v>
      </c>
      <c r="M22" s="462">
        <v>1510</v>
      </c>
      <c r="N22" s="462">
        <v>250</v>
      </c>
      <c r="O22" s="462">
        <f t="shared" si="33"/>
        <v>4023.4</v>
      </c>
      <c r="P22" s="488">
        <f t="shared" si="34"/>
        <v>1234</v>
      </c>
      <c r="Q22" s="489">
        <f t="shared" si="35"/>
        <v>1217.0958904109589</v>
      </c>
      <c r="R22" s="489">
        <f t="shared" si="36"/>
        <v>65.753424657534239</v>
      </c>
      <c r="S22" s="490">
        <f t="shared" si="37"/>
        <v>15808</v>
      </c>
      <c r="T22" s="490">
        <f t="shared" si="38"/>
        <v>18324.849315068492</v>
      </c>
      <c r="U22" s="491">
        <f t="shared" si="39"/>
        <v>182.26</v>
      </c>
      <c r="V22" s="498"/>
      <c r="W22" s="498">
        <v>10</v>
      </c>
      <c r="X22" s="498"/>
      <c r="Y22" s="498">
        <v>1207.45</v>
      </c>
      <c r="Z22" s="462">
        <f t="shared" si="40"/>
        <v>1399.71</v>
      </c>
      <c r="AA22" s="462">
        <f t="shared" si="41"/>
        <v>2623.69</v>
      </c>
      <c r="AB22" s="489">
        <v>1000</v>
      </c>
      <c r="AD22" s="486" t="s">
        <v>354</v>
      </c>
      <c r="AF22" s="480" t="s">
        <v>137</v>
      </c>
      <c r="AG22" s="481">
        <v>1</v>
      </c>
      <c r="AH22" s="481">
        <v>75.64</v>
      </c>
      <c r="AI22" s="481"/>
    </row>
    <row r="23" spans="1:35" s="486" customFormat="1">
      <c r="A23" s="456">
        <v>5</v>
      </c>
      <c r="B23" s="457" t="s">
        <v>1212</v>
      </c>
      <c r="C23" s="573">
        <v>9901443784</v>
      </c>
      <c r="D23" s="459" t="s">
        <v>1213</v>
      </c>
      <c r="E23" s="460" t="s">
        <v>35</v>
      </c>
      <c r="F23" s="461">
        <v>31</v>
      </c>
      <c r="G23" s="498">
        <v>71.400000000000006</v>
      </c>
      <c r="H23" s="462">
        <f t="shared" si="30"/>
        <v>2213.4</v>
      </c>
      <c r="I23" s="462">
        <f t="shared" si="31"/>
        <v>8568</v>
      </c>
      <c r="J23" s="463">
        <v>4</v>
      </c>
      <c r="K23" s="533">
        <v>35</v>
      </c>
      <c r="L23" s="462">
        <f t="shared" si="32"/>
        <v>1760</v>
      </c>
      <c r="M23" s="462">
        <v>1510</v>
      </c>
      <c r="N23" s="462">
        <v>250</v>
      </c>
      <c r="O23" s="462">
        <f t="shared" si="33"/>
        <v>4008.4</v>
      </c>
      <c r="P23" s="488">
        <f t="shared" si="34"/>
        <v>1229</v>
      </c>
      <c r="Q23" s="489">
        <f t="shared" si="35"/>
        <v>1212.1643835616437</v>
      </c>
      <c r="R23" s="489">
        <f t="shared" si="36"/>
        <v>65.753424657534239</v>
      </c>
      <c r="S23" s="490">
        <f t="shared" si="37"/>
        <v>15748</v>
      </c>
      <c r="T23" s="490">
        <f t="shared" si="38"/>
        <v>18254.917808219179</v>
      </c>
      <c r="U23" s="491">
        <f t="shared" si="39"/>
        <v>181.53</v>
      </c>
      <c r="V23" s="498">
        <f>(O23-N23)*11%</f>
        <v>413.42400000000004</v>
      </c>
      <c r="W23" s="498"/>
      <c r="X23" s="498"/>
      <c r="Y23" s="498"/>
      <c r="Z23" s="462">
        <f t="shared" si="40"/>
        <v>594.95400000000006</v>
      </c>
      <c r="AA23" s="462">
        <f t="shared" si="41"/>
        <v>3413.4459999999999</v>
      </c>
      <c r="AB23" s="489">
        <v>1000</v>
      </c>
      <c r="AF23" s="480" t="s">
        <v>64</v>
      </c>
      <c r="AG23" s="481">
        <v>3</v>
      </c>
      <c r="AH23" s="481">
        <v>71.400000000000006</v>
      </c>
      <c r="AI23" s="481">
        <v>120</v>
      </c>
    </row>
    <row r="24" spans="1:35" s="486" customFormat="1">
      <c r="A24" s="456">
        <v>6</v>
      </c>
      <c r="B24" s="457" t="s">
        <v>1214</v>
      </c>
      <c r="C24" s="568">
        <v>9901533869</v>
      </c>
      <c r="D24" s="459" t="s">
        <v>1215</v>
      </c>
      <c r="E24" s="460" t="s">
        <v>48</v>
      </c>
      <c r="F24" s="461">
        <v>31</v>
      </c>
      <c r="G24" s="498">
        <v>71.400000000000006</v>
      </c>
      <c r="H24" s="462">
        <f t="shared" si="30"/>
        <v>2213.4</v>
      </c>
      <c r="I24" s="462">
        <f t="shared" si="31"/>
        <v>8568</v>
      </c>
      <c r="J24" s="463">
        <v>4</v>
      </c>
      <c r="K24" s="534"/>
      <c r="L24" s="462">
        <f t="shared" si="32"/>
        <v>1760</v>
      </c>
      <c r="M24" s="462">
        <v>1510</v>
      </c>
      <c r="N24" s="462">
        <v>250</v>
      </c>
      <c r="O24" s="462">
        <f t="shared" si="33"/>
        <v>3973.4</v>
      </c>
      <c r="P24" s="488">
        <f t="shared" si="34"/>
        <v>1217.3333333333333</v>
      </c>
      <c r="Q24" s="489">
        <f t="shared" si="35"/>
        <v>1200.6575342465753</v>
      </c>
      <c r="R24" s="489">
        <f t="shared" si="36"/>
        <v>65.753424657534239</v>
      </c>
      <c r="S24" s="490">
        <f t="shared" si="37"/>
        <v>15608</v>
      </c>
      <c r="T24" s="490">
        <f t="shared" si="38"/>
        <v>18091.744292237443</v>
      </c>
      <c r="U24" s="491">
        <f t="shared" si="39"/>
        <v>179.84</v>
      </c>
      <c r="V24" s="560"/>
      <c r="W24" s="560"/>
      <c r="X24" s="560"/>
      <c r="Y24" s="560"/>
      <c r="Z24" s="462">
        <f t="shared" si="40"/>
        <v>179.84</v>
      </c>
      <c r="AA24" s="462">
        <f t="shared" si="41"/>
        <v>3793.56</v>
      </c>
      <c r="AB24" s="489">
        <v>1000</v>
      </c>
      <c r="AF24" s="480" t="s">
        <v>39</v>
      </c>
      <c r="AG24" s="481">
        <v>2</v>
      </c>
      <c r="AH24" s="481">
        <v>78.25</v>
      </c>
      <c r="AI24" s="481">
        <v>110</v>
      </c>
    </row>
    <row r="25" spans="1:35" s="486" customFormat="1">
      <c r="A25" s="456">
        <v>7</v>
      </c>
      <c r="B25" s="457" t="s">
        <v>1216</v>
      </c>
      <c r="C25" s="568">
        <v>9901533865</v>
      </c>
      <c r="D25" s="459" t="s">
        <v>1217</v>
      </c>
      <c r="E25" s="460" t="s">
        <v>54</v>
      </c>
      <c r="F25" s="461">
        <v>31</v>
      </c>
      <c r="G25" s="498">
        <v>71.400000000000006</v>
      </c>
      <c r="H25" s="462">
        <f t="shared" si="30"/>
        <v>2213.4</v>
      </c>
      <c r="I25" s="462">
        <f t="shared" si="31"/>
        <v>8568</v>
      </c>
      <c r="J25" s="463">
        <v>4</v>
      </c>
      <c r="K25" s="534"/>
      <c r="L25" s="462">
        <f t="shared" si="32"/>
        <v>1760</v>
      </c>
      <c r="M25" s="462">
        <v>1510</v>
      </c>
      <c r="N25" s="462">
        <v>250</v>
      </c>
      <c r="O25" s="462">
        <f t="shared" si="33"/>
        <v>3973.4</v>
      </c>
      <c r="P25" s="488">
        <f t="shared" si="34"/>
        <v>1217.3333333333333</v>
      </c>
      <c r="Q25" s="489">
        <f t="shared" si="35"/>
        <v>1200.6575342465753</v>
      </c>
      <c r="R25" s="489">
        <f t="shared" si="36"/>
        <v>65.753424657534239</v>
      </c>
      <c r="S25" s="490">
        <f t="shared" si="37"/>
        <v>15608</v>
      </c>
      <c r="T25" s="490">
        <f t="shared" si="38"/>
        <v>18091.744292237443</v>
      </c>
      <c r="U25" s="491">
        <f t="shared" si="39"/>
        <v>179.84</v>
      </c>
      <c r="V25" s="560"/>
      <c r="W25" s="560"/>
      <c r="X25" s="560"/>
      <c r="Y25" s="560"/>
      <c r="Z25" s="462">
        <f t="shared" si="40"/>
        <v>179.84</v>
      </c>
      <c r="AA25" s="462">
        <f t="shared" si="41"/>
        <v>3793.56</v>
      </c>
      <c r="AB25" s="489">
        <v>1000</v>
      </c>
      <c r="AF25" s="480" t="s">
        <v>40</v>
      </c>
      <c r="AG25" s="481">
        <v>1</v>
      </c>
      <c r="AH25" s="481">
        <v>73.59</v>
      </c>
      <c r="AI25" s="481"/>
    </row>
    <row r="26" spans="1:35" s="486" customFormat="1">
      <c r="A26" s="456">
        <v>1</v>
      </c>
      <c r="B26" s="466" t="s">
        <v>1218</v>
      </c>
      <c r="C26" s="574">
        <v>9901443818</v>
      </c>
      <c r="D26" s="459" t="s">
        <v>1219</v>
      </c>
      <c r="E26" s="460" t="s">
        <v>55</v>
      </c>
      <c r="F26" s="461">
        <v>31</v>
      </c>
      <c r="G26" s="498">
        <v>72.540000000000006</v>
      </c>
      <c r="H26" s="462">
        <f>+F26*G26</f>
        <v>2248.7400000000002</v>
      </c>
      <c r="I26" s="462">
        <f t="shared" ref="I26:I30" si="42">G26*120</f>
        <v>8704.8000000000011</v>
      </c>
      <c r="J26" s="463">
        <v>4</v>
      </c>
      <c r="K26" s="534">
        <v>75</v>
      </c>
      <c r="L26" s="462">
        <f>M26+N26</f>
        <v>1760</v>
      </c>
      <c r="M26" s="462">
        <v>1510</v>
      </c>
      <c r="N26" s="462">
        <v>250</v>
      </c>
      <c r="O26" s="462">
        <f>+H26+M26+N26+K26</f>
        <v>4083.7400000000002</v>
      </c>
      <c r="P26" s="488">
        <f t="shared" ref="P26:P30" si="43">(((G26*120)+(K26+M26)*4)/12)</f>
        <v>1253.7333333333333</v>
      </c>
      <c r="Q26" s="489">
        <f t="shared" ref="Q26:Q30" si="44">(((G26*30)+M26+K26)/365*120)</f>
        <v>1236.5589041095891</v>
      </c>
      <c r="R26" s="489">
        <f t="shared" ref="R26:R30" si="45">+(200/365)*120</f>
        <v>65.753424657534239</v>
      </c>
      <c r="S26" s="490">
        <f t="shared" ref="S26:S30" si="46">(((G26*120)+((K26+M26+N26)*4)))</f>
        <v>16044.800000000001</v>
      </c>
      <c r="T26" s="490">
        <f t="shared" ref="T26:T30" si="47">+S26+R26+Q26+P26</f>
        <v>18600.845662100459</v>
      </c>
      <c r="U26" s="491">
        <f>ROUND((((H26+K26+M26)*4.83)/100),2)</f>
        <v>185.17</v>
      </c>
      <c r="V26" s="498">
        <f>(O26-N26)*11%</f>
        <v>421.71140000000003</v>
      </c>
      <c r="W26" s="498">
        <v>10</v>
      </c>
      <c r="X26" s="498"/>
      <c r="Y26" s="498"/>
      <c r="Z26" s="462">
        <f>V26+W26+X26+Y26+U26</f>
        <v>616.88139999999999</v>
      </c>
      <c r="AA26" s="462">
        <f>+O26-Z26</f>
        <v>3466.8586000000005</v>
      </c>
      <c r="AB26" s="489">
        <v>1000</v>
      </c>
      <c r="AF26" s="480" t="s">
        <v>32</v>
      </c>
      <c r="AG26" s="481">
        <v>1</v>
      </c>
      <c r="AH26" s="481">
        <v>71.400000000000006</v>
      </c>
      <c r="AI26" s="481"/>
    </row>
    <row r="27" spans="1:35" s="486" customFormat="1">
      <c r="A27" s="456">
        <v>2</v>
      </c>
      <c r="B27" s="457" t="s">
        <v>1220</v>
      </c>
      <c r="C27" s="573">
        <v>9901442483</v>
      </c>
      <c r="D27" s="459" t="s">
        <v>1221</v>
      </c>
      <c r="E27" s="460" t="s">
        <v>54</v>
      </c>
      <c r="F27" s="461">
        <v>31</v>
      </c>
      <c r="G27" s="498">
        <v>71.400000000000006</v>
      </c>
      <c r="H27" s="462">
        <f>+F27*G27</f>
        <v>2213.4</v>
      </c>
      <c r="I27" s="462">
        <f t="shared" si="42"/>
        <v>8568</v>
      </c>
      <c r="J27" s="463">
        <v>4</v>
      </c>
      <c r="K27" s="534">
        <v>75</v>
      </c>
      <c r="L27" s="462">
        <f>M27+N27</f>
        <v>1760</v>
      </c>
      <c r="M27" s="462">
        <v>1510</v>
      </c>
      <c r="N27" s="462">
        <v>250</v>
      </c>
      <c r="O27" s="462">
        <f>+H27+M27+N27+K27</f>
        <v>4048.4</v>
      </c>
      <c r="P27" s="488">
        <f t="shared" si="43"/>
        <v>1242.3333333333333</v>
      </c>
      <c r="Q27" s="489">
        <f t="shared" si="44"/>
        <v>1225.3150684931506</v>
      </c>
      <c r="R27" s="489">
        <f t="shared" si="45"/>
        <v>65.753424657534239</v>
      </c>
      <c r="S27" s="490">
        <f t="shared" si="46"/>
        <v>15908</v>
      </c>
      <c r="T27" s="490">
        <f t="shared" si="47"/>
        <v>18441.401826484016</v>
      </c>
      <c r="U27" s="491">
        <f>ROUND((((H27+K27+M27)*4.83)/100),2)</f>
        <v>183.46</v>
      </c>
      <c r="V27" s="498">
        <f>(O27-N27)*11%</f>
        <v>417.82400000000001</v>
      </c>
      <c r="W27" s="498">
        <v>10</v>
      </c>
      <c r="X27" s="498"/>
      <c r="Y27" s="498">
        <v>1033.69</v>
      </c>
      <c r="Z27" s="462">
        <f>V27+W27+X27+Y27+U27</f>
        <v>1644.9740000000002</v>
      </c>
      <c r="AA27" s="462">
        <f>+O27-Z27</f>
        <v>2403.4259999999999</v>
      </c>
      <c r="AB27" s="489">
        <v>1000</v>
      </c>
      <c r="AF27" s="480" t="s">
        <v>54</v>
      </c>
      <c r="AG27" s="481">
        <v>13</v>
      </c>
      <c r="AH27" s="481">
        <v>71.400000000000006</v>
      </c>
      <c r="AI27" s="481">
        <v>325</v>
      </c>
    </row>
    <row r="28" spans="1:35" s="486" customFormat="1">
      <c r="A28" s="456">
        <v>3</v>
      </c>
      <c r="B28" s="457" t="s">
        <v>1223</v>
      </c>
      <c r="C28" s="573">
        <v>9901443595</v>
      </c>
      <c r="D28" s="459" t="s">
        <v>1224</v>
      </c>
      <c r="E28" s="460" t="s">
        <v>39</v>
      </c>
      <c r="F28" s="461">
        <v>31</v>
      </c>
      <c r="G28" s="498">
        <v>78.25</v>
      </c>
      <c r="H28" s="462">
        <f>+F28*G28</f>
        <v>2425.75</v>
      </c>
      <c r="I28" s="462">
        <f t="shared" si="42"/>
        <v>9390</v>
      </c>
      <c r="J28" s="463">
        <v>4</v>
      </c>
      <c r="K28" s="534">
        <v>75</v>
      </c>
      <c r="L28" s="462">
        <f>M28+N28</f>
        <v>1760</v>
      </c>
      <c r="M28" s="462">
        <v>1510</v>
      </c>
      <c r="N28" s="462">
        <v>250</v>
      </c>
      <c r="O28" s="462">
        <f>+H28+M28+N28+K28</f>
        <v>4260.75</v>
      </c>
      <c r="P28" s="488">
        <f t="shared" si="43"/>
        <v>1310.8333333333333</v>
      </c>
      <c r="Q28" s="489">
        <f t="shared" si="44"/>
        <v>1292.8767123287671</v>
      </c>
      <c r="R28" s="489">
        <f t="shared" si="45"/>
        <v>65.753424657534239</v>
      </c>
      <c r="S28" s="490">
        <f t="shared" si="46"/>
        <v>16730</v>
      </c>
      <c r="T28" s="490">
        <f t="shared" si="47"/>
        <v>19399.463470319632</v>
      </c>
      <c r="U28" s="491">
        <f>ROUND((((H28+K28+M28)*4.83)/100),2)</f>
        <v>193.72</v>
      </c>
      <c r="V28" s="498">
        <f>(O28-N28)*11%</f>
        <v>441.1825</v>
      </c>
      <c r="W28" s="498">
        <v>10</v>
      </c>
      <c r="X28" s="498"/>
      <c r="Y28" s="498">
        <v>1181.1300000000001</v>
      </c>
      <c r="Z28" s="462">
        <f>V28+W28+X28+Y28+U28</f>
        <v>1826.0325</v>
      </c>
      <c r="AA28" s="462">
        <f>+O28-Z28</f>
        <v>2434.7174999999997</v>
      </c>
      <c r="AB28" s="489">
        <v>1000</v>
      </c>
      <c r="AF28" s="480" t="s">
        <v>55</v>
      </c>
      <c r="AG28" s="481">
        <v>3</v>
      </c>
      <c r="AH28" s="481">
        <v>72.540000000000006</v>
      </c>
      <c r="AI28" s="481">
        <v>160</v>
      </c>
    </row>
    <row r="29" spans="1:35" s="486" customFormat="1">
      <c r="A29" s="456">
        <v>4</v>
      </c>
      <c r="B29" s="466" t="s">
        <v>1225</v>
      </c>
      <c r="C29" s="573">
        <v>9901443539</v>
      </c>
      <c r="D29" s="459" t="s">
        <v>1226</v>
      </c>
      <c r="E29" s="460" t="s">
        <v>54</v>
      </c>
      <c r="F29" s="461">
        <v>31</v>
      </c>
      <c r="G29" s="498">
        <v>71.400000000000006</v>
      </c>
      <c r="H29" s="462">
        <f>+F29*G29</f>
        <v>2213.4</v>
      </c>
      <c r="I29" s="462">
        <f t="shared" si="42"/>
        <v>8568</v>
      </c>
      <c r="J29" s="463">
        <v>4</v>
      </c>
      <c r="K29" s="534">
        <v>75</v>
      </c>
      <c r="L29" s="462">
        <f>M29+N29</f>
        <v>1760</v>
      </c>
      <c r="M29" s="462">
        <v>1510</v>
      </c>
      <c r="N29" s="462">
        <v>250</v>
      </c>
      <c r="O29" s="462">
        <f>+H29+M29+N29+K29</f>
        <v>4048.4</v>
      </c>
      <c r="P29" s="488">
        <f t="shared" si="43"/>
        <v>1242.3333333333333</v>
      </c>
      <c r="Q29" s="489">
        <f t="shared" si="44"/>
        <v>1225.3150684931506</v>
      </c>
      <c r="R29" s="489">
        <f t="shared" si="45"/>
        <v>65.753424657534239</v>
      </c>
      <c r="S29" s="490">
        <f t="shared" si="46"/>
        <v>15908</v>
      </c>
      <c r="T29" s="490">
        <f t="shared" si="47"/>
        <v>18441.401826484016</v>
      </c>
      <c r="U29" s="491">
        <f>ROUND((((H29+K29+M29)*4.83)/100),2)</f>
        <v>183.46</v>
      </c>
      <c r="V29" s="498">
        <f>(O29-N29)*11%</f>
        <v>417.82400000000001</v>
      </c>
      <c r="W29" s="498">
        <v>10</v>
      </c>
      <c r="X29" s="498"/>
      <c r="Y29" s="498">
        <v>1652.8</v>
      </c>
      <c r="Z29" s="462">
        <f>V29+W29+X29+Y29+U29</f>
        <v>2264.0839999999998</v>
      </c>
      <c r="AA29" s="462">
        <f>+O29-Z29</f>
        <v>1784.3160000000003</v>
      </c>
      <c r="AB29" s="489">
        <v>1000</v>
      </c>
      <c r="AF29" s="480" t="s">
        <v>42</v>
      </c>
      <c r="AG29" s="481">
        <v>1</v>
      </c>
      <c r="AH29" s="481">
        <v>75.64</v>
      </c>
      <c r="AI29" s="481">
        <v>50</v>
      </c>
    </row>
    <row r="30" spans="1:35" s="486" customFormat="1">
      <c r="A30" s="456">
        <v>5</v>
      </c>
      <c r="B30" s="457" t="s">
        <v>1227</v>
      </c>
      <c r="C30" s="573">
        <v>9901442479</v>
      </c>
      <c r="D30" s="459" t="s">
        <v>1228</v>
      </c>
      <c r="E30" s="460" t="s">
        <v>38</v>
      </c>
      <c r="F30" s="461">
        <v>31</v>
      </c>
      <c r="G30" s="498">
        <v>71.400000000000006</v>
      </c>
      <c r="H30" s="462">
        <f>+F30*G30</f>
        <v>2213.4</v>
      </c>
      <c r="I30" s="462">
        <f t="shared" si="42"/>
        <v>8568</v>
      </c>
      <c r="J30" s="463">
        <v>4</v>
      </c>
      <c r="K30" s="468">
        <v>50</v>
      </c>
      <c r="L30" s="462">
        <f t="shared" ref="L30" si="48">M30+N30</f>
        <v>1760</v>
      </c>
      <c r="M30" s="462">
        <v>1510</v>
      </c>
      <c r="N30" s="462">
        <v>250</v>
      </c>
      <c r="O30" s="462">
        <f t="shared" ref="O30" si="49">+H30+M30+N30+K30</f>
        <v>4023.4</v>
      </c>
      <c r="P30" s="488">
        <f t="shared" si="43"/>
        <v>1234</v>
      </c>
      <c r="Q30" s="489">
        <f t="shared" si="44"/>
        <v>1217.0958904109589</v>
      </c>
      <c r="R30" s="489">
        <f t="shared" si="45"/>
        <v>65.753424657534239</v>
      </c>
      <c r="S30" s="490">
        <f t="shared" si="46"/>
        <v>15808</v>
      </c>
      <c r="T30" s="490">
        <f t="shared" si="47"/>
        <v>18324.849315068492</v>
      </c>
      <c r="U30" s="491">
        <f>ROUND((((H30+K30+M30)*4.83)/100),2)</f>
        <v>182.26</v>
      </c>
      <c r="V30" s="498"/>
      <c r="W30" s="498"/>
      <c r="X30" s="498"/>
      <c r="Y30" s="498">
        <v>1286.4100000000001</v>
      </c>
      <c r="Z30" s="462">
        <f>V30+W30+X30+Y30+U30</f>
        <v>1468.67</v>
      </c>
      <c r="AA30" s="462">
        <f>+O30-Z30</f>
        <v>2554.73</v>
      </c>
      <c r="AB30" s="489">
        <v>1000</v>
      </c>
      <c r="AD30" s="486" t="s">
        <v>451</v>
      </c>
      <c r="AF30" s="480" t="s">
        <v>37</v>
      </c>
      <c r="AG30" s="481">
        <v>4</v>
      </c>
      <c r="AH30" s="481">
        <v>80.86</v>
      </c>
      <c r="AI30" s="481"/>
    </row>
    <row r="31" spans="1:35" s="486" customFormat="1">
      <c r="A31" s="456">
        <v>1</v>
      </c>
      <c r="B31" s="457" t="s">
        <v>1229</v>
      </c>
      <c r="C31" s="497">
        <v>9901442982</v>
      </c>
      <c r="D31" s="459" t="s">
        <v>1230</v>
      </c>
      <c r="E31" s="460" t="s">
        <v>35</v>
      </c>
      <c r="F31" s="461">
        <v>31</v>
      </c>
      <c r="G31" s="498">
        <v>71.400000000000006</v>
      </c>
      <c r="H31" s="462">
        <f t="shared" ref="H31:H36" si="50">+F31*G31</f>
        <v>2213.4</v>
      </c>
      <c r="I31" s="462">
        <f t="shared" ref="I31:I36" si="51">G31*120</f>
        <v>8568</v>
      </c>
      <c r="J31" s="463">
        <v>4</v>
      </c>
      <c r="K31" s="533">
        <v>35</v>
      </c>
      <c r="L31" s="462">
        <f t="shared" ref="L31:L36" si="52">M31+N31</f>
        <v>1760</v>
      </c>
      <c r="M31" s="462">
        <v>1510</v>
      </c>
      <c r="N31" s="462">
        <v>250</v>
      </c>
      <c r="O31" s="462">
        <f t="shared" ref="O31:O36" si="53">+H31+M31+N31+K31</f>
        <v>4008.4</v>
      </c>
      <c r="P31" s="488">
        <f t="shared" ref="P31:P36" si="54">(((G31*120)+(K31+M31)*4)/12)</f>
        <v>1229</v>
      </c>
      <c r="Q31" s="489">
        <f t="shared" ref="Q31:Q36" si="55">(((G31*30)+M31+K31)/365*120)</f>
        <v>1212.1643835616437</v>
      </c>
      <c r="R31" s="489">
        <f t="shared" ref="R31:R36" si="56">+(200/365)*120</f>
        <v>65.753424657534239</v>
      </c>
      <c r="S31" s="490">
        <f t="shared" ref="S31:S36" si="57">(((G31*120)+((K31+M31+N31)*4)))</f>
        <v>15748</v>
      </c>
      <c r="T31" s="490">
        <f t="shared" ref="T31:T36" si="58">+S31+R31+Q31+P31</f>
        <v>18254.917808219179</v>
      </c>
      <c r="U31" s="491">
        <f t="shared" ref="U31:U36" si="59">ROUND((((H31+K31+M31)*4.83)/100),2)</f>
        <v>181.53</v>
      </c>
      <c r="V31" s="575">
        <f>(O31-N31)*11%</f>
        <v>413.42400000000004</v>
      </c>
      <c r="W31" s="498"/>
      <c r="X31" s="498"/>
      <c r="Y31" s="498"/>
      <c r="Z31" s="462">
        <f t="shared" ref="Z31:Z36" si="60">V31+W31+X31+Y31+U31</f>
        <v>594.95400000000006</v>
      </c>
      <c r="AA31" s="462">
        <f t="shared" ref="AA31:AA36" si="61">+O31-Z31</f>
        <v>3413.4459999999999</v>
      </c>
      <c r="AB31" s="489">
        <v>1000</v>
      </c>
      <c r="AF31" s="480" t="s">
        <v>227</v>
      </c>
      <c r="AG31" s="481">
        <v>139</v>
      </c>
      <c r="AH31" s="481">
        <v>80.86</v>
      </c>
      <c r="AI31" s="481">
        <v>1630</v>
      </c>
    </row>
    <row r="32" spans="1:35" s="486" customFormat="1">
      <c r="A32" s="456">
        <v>2</v>
      </c>
      <c r="B32" s="466" t="s">
        <v>1231</v>
      </c>
      <c r="C32" s="528">
        <v>9901443517</v>
      </c>
      <c r="D32" s="459" t="s">
        <v>1232</v>
      </c>
      <c r="E32" s="460" t="s">
        <v>55</v>
      </c>
      <c r="F32" s="461">
        <v>31</v>
      </c>
      <c r="G32" s="498">
        <v>72.540000000000006</v>
      </c>
      <c r="H32" s="462">
        <f t="shared" si="50"/>
        <v>2248.7400000000002</v>
      </c>
      <c r="I32" s="462">
        <f t="shared" si="51"/>
        <v>8704.8000000000011</v>
      </c>
      <c r="J32" s="463">
        <v>4</v>
      </c>
      <c r="K32" s="533">
        <v>35</v>
      </c>
      <c r="L32" s="462">
        <f t="shared" si="52"/>
        <v>1760</v>
      </c>
      <c r="M32" s="462">
        <v>1510</v>
      </c>
      <c r="N32" s="462">
        <v>250</v>
      </c>
      <c r="O32" s="462">
        <f t="shared" si="53"/>
        <v>4043.7400000000002</v>
      </c>
      <c r="P32" s="488">
        <f t="shared" si="54"/>
        <v>1240.4000000000001</v>
      </c>
      <c r="Q32" s="489">
        <f t="shared" si="55"/>
        <v>1223.4082191780822</v>
      </c>
      <c r="R32" s="489">
        <f t="shared" si="56"/>
        <v>65.753424657534239</v>
      </c>
      <c r="S32" s="490">
        <f t="shared" si="57"/>
        <v>15884.800000000001</v>
      </c>
      <c r="T32" s="490">
        <f t="shared" si="58"/>
        <v>18414.361643835618</v>
      </c>
      <c r="U32" s="491">
        <f t="shared" si="59"/>
        <v>183.24</v>
      </c>
      <c r="V32" s="498"/>
      <c r="W32" s="498">
        <v>10</v>
      </c>
      <c r="X32" s="498"/>
      <c r="Y32" s="498">
        <v>1601.55</v>
      </c>
      <c r="Z32" s="462">
        <f t="shared" si="60"/>
        <v>1794.79</v>
      </c>
      <c r="AA32" s="462">
        <f t="shared" si="61"/>
        <v>2248.9500000000003</v>
      </c>
      <c r="AB32" s="489">
        <v>1000</v>
      </c>
      <c r="AF32"/>
      <c r="AG32"/>
      <c r="AH32"/>
    </row>
    <row r="33" spans="1:34" s="486" customFormat="1">
      <c r="A33" s="456">
        <v>3</v>
      </c>
      <c r="B33" s="457" t="s">
        <v>1233</v>
      </c>
      <c r="C33" s="497">
        <v>9901443246</v>
      </c>
      <c r="D33" s="459" t="s">
        <v>1234</v>
      </c>
      <c r="E33" s="460" t="s">
        <v>54</v>
      </c>
      <c r="F33" s="461">
        <v>31</v>
      </c>
      <c r="G33" s="498">
        <v>71.400000000000006</v>
      </c>
      <c r="H33" s="462">
        <f t="shared" si="50"/>
        <v>2213.4</v>
      </c>
      <c r="I33" s="462">
        <f t="shared" si="51"/>
        <v>8568</v>
      </c>
      <c r="J33" s="463">
        <v>4</v>
      </c>
      <c r="K33" s="534">
        <v>50</v>
      </c>
      <c r="L33" s="462">
        <f t="shared" si="52"/>
        <v>1760</v>
      </c>
      <c r="M33" s="462">
        <v>1510</v>
      </c>
      <c r="N33" s="462">
        <v>250</v>
      </c>
      <c r="O33" s="462">
        <f t="shared" si="53"/>
        <v>4023.4</v>
      </c>
      <c r="P33" s="488">
        <f t="shared" si="54"/>
        <v>1234</v>
      </c>
      <c r="Q33" s="489">
        <f t="shared" si="55"/>
        <v>1217.0958904109589</v>
      </c>
      <c r="R33" s="489">
        <f t="shared" si="56"/>
        <v>65.753424657534239</v>
      </c>
      <c r="S33" s="490">
        <f t="shared" si="57"/>
        <v>15808</v>
      </c>
      <c r="T33" s="490">
        <f t="shared" si="58"/>
        <v>18324.849315068492</v>
      </c>
      <c r="U33" s="491">
        <f t="shared" si="59"/>
        <v>182.26</v>
      </c>
      <c r="V33" s="498"/>
      <c r="W33" s="498">
        <v>10</v>
      </c>
      <c r="X33" s="498"/>
      <c r="Y33" s="498"/>
      <c r="Z33" s="462">
        <f t="shared" si="60"/>
        <v>192.26</v>
      </c>
      <c r="AA33" s="462">
        <f t="shared" si="61"/>
        <v>3831.1400000000003</v>
      </c>
      <c r="AB33" s="489">
        <v>1000</v>
      </c>
      <c r="AF33"/>
      <c r="AG33"/>
      <c r="AH33"/>
    </row>
    <row r="34" spans="1:34" s="486" customFormat="1">
      <c r="A34" s="456">
        <v>4</v>
      </c>
      <c r="B34" s="466" t="s">
        <v>1235</v>
      </c>
      <c r="C34" s="497">
        <v>9901443486</v>
      </c>
      <c r="D34" s="459" t="s">
        <v>1236</v>
      </c>
      <c r="E34" s="460" t="s">
        <v>54</v>
      </c>
      <c r="F34" s="461">
        <v>31</v>
      </c>
      <c r="G34" s="498">
        <v>71.400000000000006</v>
      </c>
      <c r="H34" s="462">
        <f t="shared" si="50"/>
        <v>2213.4</v>
      </c>
      <c r="I34" s="462">
        <f t="shared" si="51"/>
        <v>8568</v>
      </c>
      <c r="J34" s="463">
        <v>4</v>
      </c>
      <c r="K34" s="534"/>
      <c r="L34" s="462">
        <f t="shared" si="52"/>
        <v>1760</v>
      </c>
      <c r="M34" s="462">
        <v>1510</v>
      </c>
      <c r="N34" s="462">
        <v>250</v>
      </c>
      <c r="O34" s="462">
        <f t="shared" si="53"/>
        <v>3973.4</v>
      </c>
      <c r="P34" s="488">
        <f t="shared" si="54"/>
        <v>1217.3333333333333</v>
      </c>
      <c r="Q34" s="489">
        <f t="shared" si="55"/>
        <v>1200.6575342465753</v>
      </c>
      <c r="R34" s="489">
        <f t="shared" si="56"/>
        <v>65.753424657534239</v>
      </c>
      <c r="S34" s="490">
        <f t="shared" si="57"/>
        <v>15608</v>
      </c>
      <c r="T34" s="490">
        <f t="shared" si="58"/>
        <v>18091.744292237443</v>
      </c>
      <c r="U34" s="491">
        <f t="shared" si="59"/>
        <v>179.84</v>
      </c>
      <c r="V34" s="498"/>
      <c r="W34" s="498"/>
      <c r="X34" s="498"/>
      <c r="Y34" s="498"/>
      <c r="Z34" s="462">
        <f t="shared" si="60"/>
        <v>179.84</v>
      </c>
      <c r="AA34" s="462">
        <f t="shared" si="61"/>
        <v>3793.56</v>
      </c>
      <c r="AB34" s="489">
        <v>1000</v>
      </c>
      <c r="AF34"/>
      <c r="AG34"/>
      <c r="AH34"/>
    </row>
    <row r="35" spans="1:34" s="486" customFormat="1">
      <c r="A35" s="456">
        <v>5</v>
      </c>
      <c r="B35" s="466" t="s">
        <v>1237</v>
      </c>
      <c r="C35" s="497">
        <v>9901442331</v>
      </c>
      <c r="D35" s="459" t="s">
        <v>1238</v>
      </c>
      <c r="E35" s="460" t="s">
        <v>38</v>
      </c>
      <c r="F35" s="461">
        <v>31</v>
      </c>
      <c r="G35" s="498">
        <v>71.400000000000006</v>
      </c>
      <c r="H35" s="462">
        <f t="shared" si="50"/>
        <v>2213.4</v>
      </c>
      <c r="I35" s="462">
        <f t="shared" si="51"/>
        <v>8568</v>
      </c>
      <c r="J35" s="463">
        <v>4</v>
      </c>
      <c r="K35" s="534">
        <v>75</v>
      </c>
      <c r="L35" s="462">
        <f t="shared" si="52"/>
        <v>1760</v>
      </c>
      <c r="M35" s="462">
        <v>1510</v>
      </c>
      <c r="N35" s="462">
        <v>250</v>
      </c>
      <c r="O35" s="462">
        <f t="shared" si="53"/>
        <v>4048.4</v>
      </c>
      <c r="P35" s="488">
        <f t="shared" si="54"/>
        <v>1242.3333333333333</v>
      </c>
      <c r="Q35" s="489">
        <f t="shared" si="55"/>
        <v>1225.3150684931506</v>
      </c>
      <c r="R35" s="489">
        <f t="shared" si="56"/>
        <v>65.753424657534239</v>
      </c>
      <c r="S35" s="490">
        <f t="shared" si="57"/>
        <v>15908</v>
      </c>
      <c r="T35" s="490">
        <f t="shared" si="58"/>
        <v>18441.401826484016</v>
      </c>
      <c r="U35" s="491">
        <f t="shared" si="59"/>
        <v>183.46</v>
      </c>
      <c r="V35" s="498"/>
      <c r="W35" s="498">
        <v>10</v>
      </c>
      <c r="X35" s="498"/>
      <c r="Y35" s="498"/>
      <c r="Z35" s="462">
        <f t="shared" si="60"/>
        <v>193.46</v>
      </c>
      <c r="AA35" s="462">
        <f t="shared" si="61"/>
        <v>3854.94</v>
      </c>
      <c r="AB35" s="489">
        <v>1000</v>
      </c>
      <c r="AF35"/>
      <c r="AG35"/>
      <c r="AH35"/>
    </row>
    <row r="36" spans="1:34" s="486" customFormat="1">
      <c r="A36" s="456">
        <v>6</v>
      </c>
      <c r="B36" s="457" t="s">
        <v>1239</v>
      </c>
      <c r="C36" s="497">
        <v>9901468683</v>
      </c>
      <c r="D36" s="459" t="s">
        <v>1240</v>
      </c>
      <c r="E36" s="460" t="s">
        <v>38</v>
      </c>
      <c r="F36" s="461">
        <v>31</v>
      </c>
      <c r="G36" s="498">
        <v>71.400000000000006</v>
      </c>
      <c r="H36" s="462">
        <f t="shared" si="50"/>
        <v>2213.4</v>
      </c>
      <c r="I36" s="462">
        <f t="shared" si="51"/>
        <v>8568</v>
      </c>
      <c r="J36" s="463">
        <v>4</v>
      </c>
      <c r="K36" s="534"/>
      <c r="L36" s="462">
        <f t="shared" si="52"/>
        <v>1760</v>
      </c>
      <c r="M36" s="462">
        <v>1510</v>
      </c>
      <c r="N36" s="462">
        <v>250</v>
      </c>
      <c r="O36" s="462">
        <f t="shared" si="53"/>
        <v>3973.4</v>
      </c>
      <c r="P36" s="488">
        <f t="shared" si="54"/>
        <v>1217.3333333333333</v>
      </c>
      <c r="Q36" s="489">
        <f t="shared" si="55"/>
        <v>1200.6575342465753</v>
      </c>
      <c r="R36" s="489">
        <f t="shared" si="56"/>
        <v>65.753424657534239</v>
      </c>
      <c r="S36" s="490">
        <f t="shared" si="57"/>
        <v>15608</v>
      </c>
      <c r="T36" s="490">
        <f t="shared" si="58"/>
        <v>18091.744292237443</v>
      </c>
      <c r="U36" s="491">
        <f t="shared" si="59"/>
        <v>179.84</v>
      </c>
      <c r="V36" s="498"/>
      <c r="W36" s="498"/>
      <c r="X36" s="498"/>
      <c r="Y36" s="498"/>
      <c r="Z36" s="462">
        <f t="shared" si="60"/>
        <v>179.84</v>
      </c>
      <c r="AA36" s="462">
        <f t="shared" si="61"/>
        <v>3793.56</v>
      </c>
      <c r="AB36" s="489">
        <v>1000</v>
      </c>
      <c r="AF36"/>
      <c r="AG36"/>
      <c r="AH36"/>
    </row>
    <row r="37" spans="1:34" s="486" customFormat="1">
      <c r="A37" s="456">
        <v>1</v>
      </c>
      <c r="B37" s="466" t="s">
        <v>1241</v>
      </c>
      <c r="C37" s="576">
        <v>9901450992</v>
      </c>
      <c r="D37" s="459" t="s">
        <v>1242</v>
      </c>
      <c r="E37" s="460" t="s">
        <v>32</v>
      </c>
      <c r="F37" s="461">
        <v>31</v>
      </c>
      <c r="G37" s="498">
        <v>71.400000000000006</v>
      </c>
      <c r="H37" s="462">
        <f t="shared" ref="H37:H42" si="62">+F37*G37</f>
        <v>2213.4</v>
      </c>
      <c r="I37" s="462">
        <f>G37*120</f>
        <v>8568</v>
      </c>
      <c r="J37" s="463">
        <v>4</v>
      </c>
      <c r="K37" s="498"/>
      <c r="L37" s="462">
        <f t="shared" ref="L37:L42" si="63">M37+N37</f>
        <v>1760</v>
      </c>
      <c r="M37" s="462">
        <v>1510</v>
      </c>
      <c r="N37" s="462">
        <v>250</v>
      </c>
      <c r="O37" s="462">
        <f t="shared" ref="O37:O42" si="64">+H37+M37+N37+K37</f>
        <v>3973.4</v>
      </c>
      <c r="P37" s="488">
        <f>(((G37*120)+(K37+M37)*4)/12)</f>
        <v>1217.3333333333333</v>
      </c>
      <c r="Q37" s="489">
        <f>(((G37*30)+M37+K37)/365*120)</f>
        <v>1200.6575342465753</v>
      </c>
      <c r="R37" s="489">
        <f>+(200/365)*120</f>
        <v>65.753424657534239</v>
      </c>
      <c r="S37" s="490">
        <f>(((G37*120)+((K37+M37+N37)*4)))</f>
        <v>15608</v>
      </c>
      <c r="T37" s="490">
        <f t="shared" ref="T37" si="65">+S37+R37+Q37+P37</f>
        <v>18091.744292237443</v>
      </c>
      <c r="U37" s="491">
        <f t="shared" ref="U37:U42" si="66">ROUND((((H37+K37+M37)*4.83)/100),2)</f>
        <v>179.84</v>
      </c>
      <c r="V37" s="498"/>
      <c r="W37" s="498">
        <v>10</v>
      </c>
      <c r="X37" s="498"/>
      <c r="Y37" s="498"/>
      <c r="Z37" s="462">
        <f t="shared" ref="Z37:Z46" si="67">V37+W37+X37+Y37+U37</f>
        <v>189.84</v>
      </c>
      <c r="AA37" s="462">
        <f t="shared" ref="AA37:AA46" si="68">+O37-Z37</f>
        <v>3783.56</v>
      </c>
      <c r="AB37" s="489">
        <v>1000</v>
      </c>
      <c r="AF37"/>
      <c r="AG37"/>
      <c r="AH37"/>
    </row>
    <row r="38" spans="1:34" s="486" customFormat="1">
      <c r="A38" s="456">
        <v>1</v>
      </c>
      <c r="B38" s="466" t="s">
        <v>1243</v>
      </c>
      <c r="C38" s="564">
        <v>9901442177</v>
      </c>
      <c r="D38" s="459" t="s">
        <v>1244</v>
      </c>
      <c r="E38" s="460" t="s">
        <v>35</v>
      </c>
      <c r="F38" s="461">
        <v>31</v>
      </c>
      <c r="G38" s="498">
        <v>71.400000000000006</v>
      </c>
      <c r="H38" s="462">
        <f t="shared" si="62"/>
        <v>2213.4</v>
      </c>
      <c r="I38" s="462">
        <f>G38*120</f>
        <v>8568</v>
      </c>
      <c r="J38" s="463">
        <v>4</v>
      </c>
      <c r="K38" s="534">
        <v>50</v>
      </c>
      <c r="L38" s="462">
        <f t="shared" si="63"/>
        <v>1760</v>
      </c>
      <c r="M38" s="462">
        <v>1510</v>
      </c>
      <c r="N38" s="462">
        <v>250</v>
      </c>
      <c r="O38" s="462">
        <f t="shared" si="64"/>
        <v>4023.4</v>
      </c>
      <c r="P38" s="488">
        <f>(((G38*120)+(K38+M38)*4)/12)</f>
        <v>1234</v>
      </c>
      <c r="Q38" s="489">
        <f>(((G38*30)+M38+K38)/365*120)</f>
        <v>1217.0958904109589</v>
      </c>
      <c r="R38" s="489">
        <f>+(200/365)*120</f>
        <v>65.753424657534239</v>
      </c>
      <c r="S38" s="490">
        <f>(((G38*120)+((K38+M38+N38)*4)))</f>
        <v>15808</v>
      </c>
      <c r="T38" s="490">
        <f t="shared" ref="T38" si="69">+S38+R38+Q38+P38</f>
        <v>18324.849315068492</v>
      </c>
      <c r="U38" s="491">
        <f t="shared" si="66"/>
        <v>182.26</v>
      </c>
      <c r="V38" s="498"/>
      <c r="W38" s="498"/>
      <c r="X38" s="498"/>
      <c r="Y38" s="498"/>
      <c r="Z38" s="462">
        <f t="shared" si="67"/>
        <v>182.26</v>
      </c>
      <c r="AA38" s="462">
        <f t="shared" si="68"/>
        <v>3841.1400000000003</v>
      </c>
      <c r="AB38" s="489">
        <v>1000</v>
      </c>
      <c r="AF38"/>
      <c r="AG38"/>
      <c r="AH38"/>
    </row>
    <row r="39" spans="1:34" s="486" customFormat="1">
      <c r="A39" s="456">
        <v>1</v>
      </c>
      <c r="B39" s="457" t="s">
        <v>1245</v>
      </c>
      <c r="C39" s="497">
        <v>9901443716</v>
      </c>
      <c r="D39" s="459" t="s">
        <v>1246</v>
      </c>
      <c r="E39" s="460" t="s">
        <v>35</v>
      </c>
      <c r="F39" s="461">
        <v>31</v>
      </c>
      <c r="G39" s="498">
        <v>71.400000000000006</v>
      </c>
      <c r="H39" s="462">
        <f t="shared" si="62"/>
        <v>2213.4</v>
      </c>
      <c r="I39" s="462">
        <f t="shared" ref="I39:I42" si="70">G39*120</f>
        <v>8568</v>
      </c>
      <c r="J39" s="463">
        <v>4</v>
      </c>
      <c r="K39" s="534">
        <v>50</v>
      </c>
      <c r="L39" s="462">
        <f t="shared" si="63"/>
        <v>1760</v>
      </c>
      <c r="M39" s="462">
        <v>1510</v>
      </c>
      <c r="N39" s="462">
        <v>250</v>
      </c>
      <c r="O39" s="462">
        <f t="shared" si="64"/>
        <v>4023.4</v>
      </c>
      <c r="P39" s="488">
        <f t="shared" ref="P39:P42" si="71">(((G39*120)+(K39+M39)*4)/12)</f>
        <v>1234</v>
      </c>
      <c r="Q39" s="489">
        <f t="shared" ref="Q39:Q42" si="72">(((G39*30)+M39+K39)/365*120)</f>
        <v>1217.0958904109589</v>
      </c>
      <c r="R39" s="489">
        <f t="shared" ref="R39:R42" si="73">+(200/365)*120</f>
        <v>65.753424657534239</v>
      </c>
      <c r="S39" s="490">
        <f t="shared" ref="S39:S42" si="74">(((G39*120)+((K39+M39+N39)*4)))</f>
        <v>15808</v>
      </c>
      <c r="T39" s="490">
        <f t="shared" ref="T39:T42" si="75">+S39+R39+Q39+P39</f>
        <v>18324.849315068492</v>
      </c>
      <c r="U39" s="491">
        <f t="shared" si="66"/>
        <v>182.26</v>
      </c>
      <c r="V39" s="498">
        <f>(O39-N39)*11%</f>
        <v>415.07400000000001</v>
      </c>
      <c r="W39" s="498">
        <v>10</v>
      </c>
      <c r="X39" s="498"/>
      <c r="Y39" s="498"/>
      <c r="Z39" s="462">
        <f t="shared" si="67"/>
        <v>607.33400000000006</v>
      </c>
      <c r="AA39" s="462">
        <f t="shared" si="68"/>
        <v>3416.0659999999998</v>
      </c>
      <c r="AB39" s="489">
        <v>1000</v>
      </c>
      <c r="AF39"/>
      <c r="AG39"/>
      <c r="AH39"/>
    </row>
    <row r="40" spans="1:34" s="486" customFormat="1">
      <c r="A40" s="456">
        <v>2</v>
      </c>
      <c r="B40" s="457" t="s">
        <v>1247</v>
      </c>
      <c r="C40" s="497">
        <v>9901442770</v>
      </c>
      <c r="D40" s="459" t="s">
        <v>1248</v>
      </c>
      <c r="E40" s="460" t="s">
        <v>35</v>
      </c>
      <c r="F40" s="461">
        <v>31</v>
      </c>
      <c r="G40" s="498">
        <v>71.400000000000006</v>
      </c>
      <c r="H40" s="462">
        <f t="shared" si="62"/>
        <v>2213.4</v>
      </c>
      <c r="I40" s="462">
        <f t="shared" si="70"/>
        <v>8568</v>
      </c>
      <c r="J40" s="463">
        <v>4</v>
      </c>
      <c r="K40" s="534">
        <v>50</v>
      </c>
      <c r="L40" s="462">
        <f t="shared" si="63"/>
        <v>1760</v>
      </c>
      <c r="M40" s="462">
        <v>1510</v>
      </c>
      <c r="N40" s="462">
        <v>250</v>
      </c>
      <c r="O40" s="462">
        <f t="shared" si="64"/>
        <v>4023.4</v>
      </c>
      <c r="P40" s="488">
        <f t="shared" si="71"/>
        <v>1234</v>
      </c>
      <c r="Q40" s="489">
        <f t="shared" si="72"/>
        <v>1217.0958904109589</v>
      </c>
      <c r="R40" s="489">
        <f t="shared" si="73"/>
        <v>65.753424657534239</v>
      </c>
      <c r="S40" s="490">
        <f t="shared" si="74"/>
        <v>15808</v>
      </c>
      <c r="T40" s="490">
        <f t="shared" si="75"/>
        <v>18324.849315068492</v>
      </c>
      <c r="U40" s="491">
        <f t="shared" si="66"/>
        <v>182.26</v>
      </c>
      <c r="V40" s="498">
        <f>(O40-N40)*11%</f>
        <v>415.07400000000001</v>
      </c>
      <c r="W40" s="498">
        <v>10</v>
      </c>
      <c r="X40" s="498"/>
      <c r="Y40" s="498"/>
      <c r="Z40" s="462">
        <f t="shared" si="67"/>
        <v>607.33400000000006</v>
      </c>
      <c r="AA40" s="462">
        <f t="shared" si="68"/>
        <v>3416.0659999999998</v>
      </c>
      <c r="AB40" s="489">
        <v>1000</v>
      </c>
      <c r="AF40"/>
      <c r="AG40"/>
      <c r="AH40"/>
    </row>
    <row r="41" spans="1:34" s="486" customFormat="1">
      <c r="A41" s="456">
        <v>3</v>
      </c>
      <c r="B41" s="466" t="s">
        <v>1249</v>
      </c>
      <c r="C41" s="497">
        <v>9901451042</v>
      </c>
      <c r="D41" s="459" t="s">
        <v>1250</v>
      </c>
      <c r="E41" s="460" t="s">
        <v>44</v>
      </c>
      <c r="F41" s="461">
        <v>31</v>
      </c>
      <c r="G41" s="498">
        <v>72.540000000000006</v>
      </c>
      <c r="H41" s="462">
        <f t="shared" si="62"/>
        <v>2248.7400000000002</v>
      </c>
      <c r="I41" s="462">
        <f t="shared" si="70"/>
        <v>8704.8000000000011</v>
      </c>
      <c r="J41" s="463">
        <v>4</v>
      </c>
      <c r="K41" s="534"/>
      <c r="L41" s="462">
        <f t="shared" si="63"/>
        <v>1760</v>
      </c>
      <c r="M41" s="462">
        <v>1510</v>
      </c>
      <c r="N41" s="462">
        <v>250</v>
      </c>
      <c r="O41" s="462">
        <f t="shared" si="64"/>
        <v>4008.7400000000002</v>
      </c>
      <c r="P41" s="488">
        <f t="shared" si="71"/>
        <v>1228.7333333333333</v>
      </c>
      <c r="Q41" s="489">
        <f t="shared" si="72"/>
        <v>1211.9013698630138</v>
      </c>
      <c r="R41" s="489">
        <f t="shared" si="73"/>
        <v>65.753424657534239</v>
      </c>
      <c r="S41" s="490">
        <f t="shared" si="74"/>
        <v>15744.800000000001</v>
      </c>
      <c r="T41" s="490">
        <f t="shared" si="75"/>
        <v>18251.188127853882</v>
      </c>
      <c r="U41" s="491">
        <f t="shared" si="66"/>
        <v>181.55</v>
      </c>
      <c r="V41" s="498">
        <f>(O41-N41)*11%</f>
        <v>413.46140000000003</v>
      </c>
      <c r="W41" s="498">
        <v>10</v>
      </c>
      <c r="X41" s="498"/>
      <c r="Y41" s="498"/>
      <c r="Z41" s="462">
        <f t="shared" si="67"/>
        <v>605.01140000000009</v>
      </c>
      <c r="AA41" s="462">
        <f t="shared" si="68"/>
        <v>3403.7286000000004</v>
      </c>
      <c r="AB41" s="489">
        <v>1000</v>
      </c>
      <c r="AF41"/>
      <c r="AG41"/>
      <c r="AH41"/>
    </row>
    <row r="42" spans="1:34" s="486" customFormat="1">
      <c r="A42" s="456">
        <v>4</v>
      </c>
      <c r="B42" s="457" t="s">
        <v>1251</v>
      </c>
      <c r="C42" s="497">
        <v>9901442771</v>
      </c>
      <c r="D42" s="459" t="s">
        <v>1252</v>
      </c>
      <c r="E42" s="460" t="s">
        <v>35</v>
      </c>
      <c r="F42" s="461">
        <v>31</v>
      </c>
      <c r="G42" s="498">
        <v>71.400000000000006</v>
      </c>
      <c r="H42" s="462">
        <f t="shared" si="62"/>
        <v>2213.4</v>
      </c>
      <c r="I42" s="462">
        <f t="shared" si="70"/>
        <v>8568</v>
      </c>
      <c r="J42" s="463">
        <v>4</v>
      </c>
      <c r="K42" s="534">
        <v>50</v>
      </c>
      <c r="L42" s="462">
        <f t="shared" si="63"/>
        <v>1760</v>
      </c>
      <c r="M42" s="462">
        <v>1510</v>
      </c>
      <c r="N42" s="462">
        <v>250</v>
      </c>
      <c r="O42" s="462">
        <f t="shared" si="64"/>
        <v>4023.4</v>
      </c>
      <c r="P42" s="488">
        <f t="shared" si="71"/>
        <v>1234</v>
      </c>
      <c r="Q42" s="489">
        <f t="shared" si="72"/>
        <v>1217.0958904109589</v>
      </c>
      <c r="R42" s="489">
        <f t="shared" si="73"/>
        <v>65.753424657534239</v>
      </c>
      <c r="S42" s="490">
        <f t="shared" si="74"/>
        <v>15808</v>
      </c>
      <c r="T42" s="490">
        <f t="shared" si="75"/>
        <v>18324.849315068492</v>
      </c>
      <c r="U42" s="491">
        <f t="shared" si="66"/>
        <v>182.26</v>
      </c>
      <c r="V42" s="498">
        <f>(O42-N42)*11%</f>
        <v>415.07400000000001</v>
      </c>
      <c r="W42" s="498">
        <v>10</v>
      </c>
      <c r="X42" s="498"/>
      <c r="Y42" s="498"/>
      <c r="Z42" s="462">
        <f t="shared" si="67"/>
        <v>607.33400000000006</v>
      </c>
      <c r="AA42" s="462">
        <f t="shared" si="68"/>
        <v>3416.0659999999998</v>
      </c>
      <c r="AB42" s="489">
        <v>1000</v>
      </c>
      <c r="AF42"/>
      <c r="AG42"/>
      <c r="AH42"/>
    </row>
    <row r="43" spans="1:34" s="486" customFormat="1">
      <c r="A43" s="499">
        <v>1</v>
      </c>
      <c r="B43" s="466" t="s">
        <v>1253</v>
      </c>
      <c r="C43" s="528">
        <v>9901451036</v>
      </c>
      <c r="D43" s="459" t="s">
        <v>1254</v>
      </c>
      <c r="E43" s="460" t="s">
        <v>54</v>
      </c>
      <c r="F43" s="461">
        <v>31</v>
      </c>
      <c r="G43" s="498">
        <v>71.400000000000006</v>
      </c>
      <c r="H43" s="462">
        <f t="shared" ref="H43:H47" si="76">+F43*G43</f>
        <v>2213.4</v>
      </c>
      <c r="I43" s="462">
        <f t="shared" ref="I43:I47" si="77">G43*120</f>
        <v>8568</v>
      </c>
      <c r="J43" s="463">
        <v>4</v>
      </c>
      <c r="K43" s="498"/>
      <c r="L43" s="462">
        <f t="shared" ref="L43:L47" si="78">M43+N43</f>
        <v>1760</v>
      </c>
      <c r="M43" s="462">
        <v>1510</v>
      </c>
      <c r="N43" s="462">
        <v>250</v>
      </c>
      <c r="O43" s="462">
        <f t="shared" ref="O43:O47" si="79">+H43+M43+N43+K43</f>
        <v>3973.4</v>
      </c>
      <c r="P43" s="488">
        <f t="shared" ref="P43:P47" si="80">(((G43*120)+(K43+M43)*4)/12)</f>
        <v>1217.3333333333333</v>
      </c>
      <c r="Q43" s="489">
        <f t="shared" ref="Q43:Q47" si="81">(((G43*30)+M43+K43)/365*120)</f>
        <v>1200.6575342465753</v>
      </c>
      <c r="R43" s="489">
        <f t="shared" ref="R43:R47" si="82">+(200/365)*120</f>
        <v>65.753424657534239</v>
      </c>
      <c r="S43" s="490">
        <f t="shared" ref="S43:S47" si="83">(((G43*120)+((K43+M43+N43)*4)))</f>
        <v>15608</v>
      </c>
      <c r="T43" s="490">
        <f t="shared" ref="T43:T47" si="84">+S43+R43+Q43+P43</f>
        <v>18091.744292237443</v>
      </c>
      <c r="U43" s="491">
        <f t="shared" ref="U43:U47" si="85">ROUND((((H43+K43+M43)*4.83)/100),2)</f>
        <v>179.84</v>
      </c>
      <c r="V43" s="498"/>
      <c r="W43" s="498"/>
      <c r="X43" s="498"/>
      <c r="Y43" s="498"/>
      <c r="Z43" s="462">
        <f t="shared" si="67"/>
        <v>179.84</v>
      </c>
      <c r="AA43" s="462">
        <f t="shared" si="68"/>
        <v>3793.56</v>
      </c>
      <c r="AB43" s="489">
        <v>1000</v>
      </c>
      <c r="AF43"/>
      <c r="AG43"/>
      <c r="AH43"/>
    </row>
    <row r="44" spans="1:34" s="486" customFormat="1">
      <c r="A44" s="499">
        <v>2</v>
      </c>
      <c r="B44" s="457" t="s">
        <v>1255</v>
      </c>
      <c r="C44" s="497">
        <v>9901443125</v>
      </c>
      <c r="D44" s="459" t="s">
        <v>1256</v>
      </c>
      <c r="E44" s="460" t="s">
        <v>38</v>
      </c>
      <c r="F44" s="461">
        <v>31</v>
      </c>
      <c r="G44" s="498">
        <v>71.400000000000006</v>
      </c>
      <c r="H44" s="462">
        <f t="shared" si="76"/>
        <v>2213.4</v>
      </c>
      <c r="I44" s="462">
        <f t="shared" si="77"/>
        <v>8568</v>
      </c>
      <c r="J44" s="463">
        <v>4</v>
      </c>
      <c r="K44" s="569">
        <v>35</v>
      </c>
      <c r="L44" s="462">
        <f t="shared" si="78"/>
        <v>1760</v>
      </c>
      <c r="M44" s="462">
        <v>1510</v>
      </c>
      <c r="N44" s="462">
        <v>250</v>
      </c>
      <c r="O44" s="462">
        <f t="shared" si="79"/>
        <v>4008.4</v>
      </c>
      <c r="P44" s="488">
        <f t="shared" si="80"/>
        <v>1229</v>
      </c>
      <c r="Q44" s="489">
        <f t="shared" si="81"/>
        <v>1212.1643835616437</v>
      </c>
      <c r="R44" s="489">
        <f t="shared" si="82"/>
        <v>65.753424657534239</v>
      </c>
      <c r="S44" s="490">
        <f t="shared" si="83"/>
        <v>15748</v>
      </c>
      <c r="T44" s="490">
        <f t="shared" si="84"/>
        <v>18254.917808219179</v>
      </c>
      <c r="U44" s="491">
        <f t="shared" si="85"/>
        <v>181.53</v>
      </c>
      <c r="V44" s="498">
        <f>(O44-N44)*11%</f>
        <v>413.42400000000004</v>
      </c>
      <c r="W44" s="498">
        <v>10</v>
      </c>
      <c r="X44" s="498"/>
      <c r="Y44" s="498"/>
      <c r="Z44" s="462">
        <f t="shared" si="67"/>
        <v>604.95400000000006</v>
      </c>
      <c r="AA44" s="462">
        <f t="shared" si="68"/>
        <v>3403.4459999999999</v>
      </c>
      <c r="AB44" s="489">
        <v>1000</v>
      </c>
      <c r="AF44"/>
      <c r="AG44"/>
      <c r="AH44"/>
    </row>
    <row r="45" spans="1:34" s="486" customFormat="1">
      <c r="A45" s="499">
        <v>3</v>
      </c>
      <c r="B45" s="466" t="s">
        <v>1257</v>
      </c>
      <c r="C45" s="497">
        <v>9901443124</v>
      </c>
      <c r="D45" s="459" t="s">
        <v>1258</v>
      </c>
      <c r="E45" s="460" t="s">
        <v>64</v>
      </c>
      <c r="F45" s="461">
        <v>31</v>
      </c>
      <c r="G45" s="498">
        <v>71.400000000000006</v>
      </c>
      <c r="H45" s="462">
        <f t="shared" si="76"/>
        <v>2213.4</v>
      </c>
      <c r="I45" s="462">
        <f t="shared" si="77"/>
        <v>8568</v>
      </c>
      <c r="J45" s="463">
        <v>4</v>
      </c>
      <c r="K45" s="569">
        <v>35</v>
      </c>
      <c r="L45" s="462">
        <f t="shared" si="78"/>
        <v>1760</v>
      </c>
      <c r="M45" s="462">
        <v>1510</v>
      </c>
      <c r="N45" s="462">
        <v>250</v>
      </c>
      <c r="O45" s="462">
        <f t="shared" si="79"/>
        <v>4008.4</v>
      </c>
      <c r="P45" s="488">
        <f t="shared" si="80"/>
        <v>1229</v>
      </c>
      <c r="Q45" s="489">
        <f t="shared" si="81"/>
        <v>1212.1643835616437</v>
      </c>
      <c r="R45" s="489">
        <f t="shared" si="82"/>
        <v>65.753424657534239</v>
      </c>
      <c r="S45" s="490">
        <f t="shared" si="83"/>
        <v>15748</v>
      </c>
      <c r="T45" s="490">
        <f t="shared" si="84"/>
        <v>18254.917808219179</v>
      </c>
      <c r="U45" s="491">
        <f t="shared" si="85"/>
        <v>181.53</v>
      </c>
      <c r="V45" s="498">
        <f>(O45-N45)*11%</f>
        <v>413.42400000000004</v>
      </c>
      <c r="W45" s="498">
        <v>10</v>
      </c>
      <c r="X45" s="498"/>
      <c r="Y45" s="498">
        <v>590.11</v>
      </c>
      <c r="Z45" s="462">
        <f t="shared" si="67"/>
        <v>1195.0640000000001</v>
      </c>
      <c r="AA45" s="462">
        <f t="shared" si="68"/>
        <v>2813.3360000000002</v>
      </c>
      <c r="AB45" s="489">
        <v>1000</v>
      </c>
      <c r="AF45"/>
      <c r="AG45"/>
      <c r="AH45"/>
    </row>
    <row r="46" spans="1:34" s="486" customFormat="1">
      <c r="A46" s="499">
        <v>4</v>
      </c>
      <c r="B46" s="457" t="s">
        <v>1259</v>
      </c>
      <c r="C46" s="497">
        <v>9901103753</v>
      </c>
      <c r="D46" s="459" t="s">
        <v>1260</v>
      </c>
      <c r="E46" s="460" t="s">
        <v>35</v>
      </c>
      <c r="F46" s="461">
        <v>31</v>
      </c>
      <c r="G46" s="498">
        <v>71.400000000000006</v>
      </c>
      <c r="H46" s="462">
        <f t="shared" si="76"/>
        <v>2213.4</v>
      </c>
      <c r="I46" s="462">
        <f t="shared" si="77"/>
        <v>8568</v>
      </c>
      <c r="J46" s="463">
        <v>4</v>
      </c>
      <c r="K46" s="569">
        <v>35</v>
      </c>
      <c r="L46" s="462">
        <f t="shared" si="78"/>
        <v>1760</v>
      </c>
      <c r="M46" s="462">
        <v>1510</v>
      </c>
      <c r="N46" s="462">
        <v>250</v>
      </c>
      <c r="O46" s="462">
        <f t="shared" si="79"/>
        <v>4008.4</v>
      </c>
      <c r="P46" s="488">
        <f t="shared" si="80"/>
        <v>1229</v>
      </c>
      <c r="Q46" s="489">
        <f t="shared" si="81"/>
        <v>1212.1643835616437</v>
      </c>
      <c r="R46" s="489">
        <f t="shared" si="82"/>
        <v>65.753424657534239</v>
      </c>
      <c r="S46" s="490">
        <f t="shared" si="83"/>
        <v>15748</v>
      </c>
      <c r="T46" s="490">
        <f t="shared" si="84"/>
        <v>18254.917808219179</v>
      </c>
      <c r="U46" s="491">
        <f t="shared" si="85"/>
        <v>181.53</v>
      </c>
      <c r="V46" s="498"/>
      <c r="W46" s="498">
        <v>10</v>
      </c>
      <c r="X46" s="498"/>
      <c r="Y46" s="498"/>
      <c r="Z46" s="462">
        <f t="shared" si="67"/>
        <v>191.53</v>
      </c>
      <c r="AA46" s="462">
        <f t="shared" si="68"/>
        <v>3816.87</v>
      </c>
      <c r="AB46" s="489">
        <v>1000</v>
      </c>
      <c r="AF46"/>
      <c r="AG46"/>
      <c r="AH46"/>
    </row>
    <row r="47" spans="1:34" s="486" customFormat="1">
      <c r="A47" s="499">
        <v>5</v>
      </c>
      <c r="B47" s="565" t="s">
        <v>1261</v>
      </c>
      <c r="C47">
        <v>9901196608</v>
      </c>
      <c r="D47" s="486" t="s">
        <v>1262</v>
      </c>
      <c r="E47" s="460" t="s">
        <v>35</v>
      </c>
      <c r="F47" s="461">
        <v>31</v>
      </c>
      <c r="G47" s="498">
        <v>71.400000000000006</v>
      </c>
      <c r="H47" s="462">
        <f t="shared" si="76"/>
        <v>2213.4</v>
      </c>
      <c r="I47" s="462">
        <f t="shared" si="77"/>
        <v>8568</v>
      </c>
      <c r="J47" s="463">
        <v>4</v>
      </c>
      <c r="K47" s="464">
        <v>0</v>
      </c>
      <c r="L47" s="462">
        <f t="shared" si="78"/>
        <v>1760</v>
      </c>
      <c r="M47" s="462">
        <v>1510</v>
      </c>
      <c r="N47" s="462">
        <v>250</v>
      </c>
      <c r="O47" s="462">
        <f t="shared" si="79"/>
        <v>3973.4</v>
      </c>
      <c r="P47" s="488">
        <f t="shared" si="80"/>
        <v>1217.3333333333333</v>
      </c>
      <c r="Q47" s="489">
        <f t="shared" si="81"/>
        <v>1200.6575342465753</v>
      </c>
      <c r="R47" s="489">
        <f t="shared" si="82"/>
        <v>65.753424657534239</v>
      </c>
      <c r="S47" s="490">
        <f t="shared" si="83"/>
        <v>15608</v>
      </c>
      <c r="T47" s="490">
        <f t="shared" si="84"/>
        <v>18091.744292237443</v>
      </c>
      <c r="U47" s="491">
        <f t="shared" si="85"/>
        <v>179.84</v>
      </c>
      <c r="V47" s="577"/>
      <c r="W47" s="498"/>
      <c r="X47" s="577"/>
      <c r="Y47" s="577"/>
      <c r="Z47" s="542"/>
      <c r="AA47" s="542"/>
      <c r="AB47" s="489">
        <v>1000</v>
      </c>
      <c r="AF47"/>
      <c r="AG47"/>
      <c r="AH47"/>
    </row>
    <row r="48" spans="1:34" s="486" customFormat="1">
      <c r="A48" s="456">
        <v>1</v>
      </c>
      <c r="B48" s="578" t="s">
        <v>1263</v>
      </c>
      <c r="C48" s="497">
        <v>9901443414</v>
      </c>
      <c r="D48" s="459" t="s">
        <v>1264</v>
      </c>
      <c r="E48" s="460" t="s">
        <v>35</v>
      </c>
      <c r="F48" s="461">
        <v>31</v>
      </c>
      <c r="G48" s="498">
        <v>71.400000000000006</v>
      </c>
      <c r="H48" s="462">
        <f>+F48*G48</f>
        <v>2213.4</v>
      </c>
      <c r="I48" s="462">
        <f t="shared" ref="I48" si="86">G48*120</f>
        <v>8568</v>
      </c>
      <c r="J48" s="463">
        <v>4</v>
      </c>
      <c r="K48" s="534">
        <f>50</f>
        <v>50</v>
      </c>
      <c r="L48" s="462">
        <f>M48+N48</f>
        <v>1760</v>
      </c>
      <c r="M48" s="462">
        <v>1510</v>
      </c>
      <c r="N48" s="462">
        <v>250</v>
      </c>
      <c r="O48" s="462">
        <f>+H48+M48+N48+K48</f>
        <v>4023.4</v>
      </c>
      <c r="P48" s="488">
        <f>(((G48*120)+(K48+M48)*4)/12)</f>
        <v>1234</v>
      </c>
      <c r="Q48" s="489">
        <f>(((G48*30)+M48+K48)/365*120)</f>
        <v>1217.0958904109589</v>
      </c>
      <c r="R48" s="489">
        <f>+(200/365)*120</f>
        <v>65.753424657534239</v>
      </c>
      <c r="S48" s="490">
        <f>(((G48*120)+((K48+M48+N48)*4)))</f>
        <v>15808</v>
      </c>
      <c r="T48" s="490">
        <f t="shared" ref="T48" si="87">+S48+R48+Q48+P48</f>
        <v>18324.849315068492</v>
      </c>
      <c r="U48" s="491">
        <f>ROUND((((H48+K48+M48)*4.83)/100),2)</f>
        <v>182.26</v>
      </c>
      <c r="V48" s="498"/>
      <c r="W48" s="498"/>
      <c r="X48" s="498"/>
      <c r="Y48" s="498"/>
      <c r="Z48" s="462">
        <f>V48+W48+X48+Y48+U48</f>
        <v>182.26</v>
      </c>
      <c r="AA48" s="462">
        <f>+O48-Z48</f>
        <v>3841.1400000000003</v>
      </c>
      <c r="AB48" s="489">
        <v>1000</v>
      </c>
      <c r="AF48"/>
      <c r="AG48"/>
      <c r="AH48"/>
    </row>
    <row r="49" spans="1:34" s="507" customFormat="1">
      <c r="A49" s="456">
        <v>1</v>
      </c>
      <c r="B49" s="466"/>
      <c r="C49" s="576">
        <v>9901576006</v>
      </c>
      <c r="D49" s="459" t="s">
        <v>1265</v>
      </c>
      <c r="E49" s="460" t="s">
        <v>63</v>
      </c>
      <c r="F49" s="461">
        <v>31</v>
      </c>
      <c r="G49" s="498">
        <v>80.86</v>
      </c>
      <c r="H49" s="462">
        <f t="shared" ref="H49:H64" si="88">+F49*G49</f>
        <v>2506.66</v>
      </c>
      <c r="I49" s="462">
        <f t="shared" ref="I49:I64" si="89">G49*120</f>
        <v>9703.2000000000007</v>
      </c>
      <c r="J49" s="463">
        <v>4</v>
      </c>
      <c r="K49" s="464">
        <v>0</v>
      </c>
      <c r="L49" s="462">
        <f t="shared" ref="L49" si="90">M49+N49</f>
        <v>1760</v>
      </c>
      <c r="M49" s="462">
        <v>1510</v>
      </c>
      <c r="N49" s="462">
        <v>250</v>
      </c>
      <c r="O49" s="462">
        <f t="shared" ref="O49" si="91">+H49+M49+N49+K49</f>
        <v>4266.66</v>
      </c>
      <c r="P49" s="488">
        <f t="shared" ref="P49:P64" si="92">(((G49*120)+(K49+M49)*4)/12)</f>
        <v>1311.9333333333334</v>
      </c>
      <c r="Q49" s="489">
        <f t="shared" ref="Q49:Q64" si="93">(((G49*30)+M49+K49)/365*120)</f>
        <v>1293.9616438356165</v>
      </c>
      <c r="R49" s="489">
        <f t="shared" ref="R49:R64" si="94">+(200/365)*120</f>
        <v>65.753424657534239</v>
      </c>
      <c r="S49" s="490">
        <f t="shared" ref="S49:S64" si="95">(((G49*120)+((K49+M49+N49)*4)))</f>
        <v>16743.2</v>
      </c>
      <c r="T49" s="490">
        <f t="shared" ref="T49:T64" si="96">+S49+R49+Q49+P49</f>
        <v>19414.848401826486</v>
      </c>
      <c r="U49" s="491">
        <f t="shared" ref="U49" si="97">ROUND((((H49+K49+M49)*4.83)/100),2)</f>
        <v>194</v>
      </c>
      <c r="V49" s="498"/>
      <c r="W49" s="498"/>
      <c r="X49" s="498"/>
      <c r="Y49" s="498"/>
      <c r="Z49" s="462">
        <f>V49+W49+X49+Y49+U49</f>
        <v>194</v>
      </c>
      <c r="AA49" s="462">
        <f t="shared" ref="AA49" si="98">+O49-Z49</f>
        <v>4072.66</v>
      </c>
      <c r="AB49" s="489">
        <v>1000</v>
      </c>
      <c r="AF49"/>
      <c r="AG49"/>
      <c r="AH49"/>
    </row>
    <row r="50" spans="1:34" s="507" customFormat="1">
      <c r="A50" s="456">
        <v>2</v>
      </c>
      <c r="B50" s="457"/>
      <c r="C50" s="497">
        <v>9901576013</v>
      </c>
      <c r="D50" s="459" t="s">
        <v>1266</v>
      </c>
      <c r="E50" s="460" t="s">
        <v>35</v>
      </c>
      <c r="F50" s="461">
        <v>31</v>
      </c>
      <c r="G50" s="498">
        <v>71.400000000000006</v>
      </c>
      <c r="H50" s="462">
        <f>+F50*G50</f>
        <v>2213.4</v>
      </c>
      <c r="I50" s="462">
        <f t="shared" si="89"/>
        <v>8568</v>
      </c>
      <c r="J50" s="463">
        <v>4</v>
      </c>
      <c r="K50" s="464">
        <v>0</v>
      </c>
      <c r="L50" s="462">
        <f>M50+N50</f>
        <v>1760</v>
      </c>
      <c r="M50" s="462">
        <v>1510</v>
      </c>
      <c r="N50" s="462">
        <v>250</v>
      </c>
      <c r="O50" s="462">
        <f>+H50+M50+N50+K50</f>
        <v>3973.4</v>
      </c>
      <c r="P50" s="488">
        <f t="shared" si="92"/>
        <v>1217.3333333333333</v>
      </c>
      <c r="Q50" s="489">
        <f t="shared" si="93"/>
        <v>1200.6575342465753</v>
      </c>
      <c r="R50" s="489">
        <f t="shared" si="94"/>
        <v>65.753424657534239</v>
      </c>
      <c r="S50" s="490">
        <f t="shared" si="95"/>
        <v>15608</v>
      </c>
      <c r="T50" s="490">
        <f t="shared" si="96"/>
        <v>18091.744292237443</v>
      </c>
      <c r="U50" s="491">
        <f>ROUND((((H50+K50+M50)*4.83)/100),2)</f>
        <v>179.84</v>
      </c>
      <c r="V50" s="498"/>
      <c r="W50" s="498"/>
      <c r="X50" s="498"/>
      <c r="Y50" s="498"/>
      <c r="Z50" s="462">
        <f>V50+W50+X50+Y50+U50</f>
        <v>179.84</v>
      </c>
      <c r="AA50" s="462">
        <f>+O50-Z50</f>
        <v>3793.56</v>
      </c>
      <c r="AB50" s="489">
        <v>1000</v>
      </c>
      <c r="AF50"/>
      <c r="AG50"/>
      <c r="AH50"/>
    </row>
    <row r="51" spans="1:34" s="507" customFormat="1">
      <c r="A51" s="456">
        <v>3</v>
      </c>
      <c r="B51" s="579" t="s">
        <v>1267</v>
      </c>
      <c r="C51" s="572">
        <v>9901534516</v>
      </c>
      <c r="D51" s="580" t="s">
        <v>1268</v>
      </c>
      <c r="E51" s="460" t="s">
        <v>35</v>
      </c>
      <c r="F51" s="461">
        <v>31</v>
      </c>
      <c r="G51" s="498">
        <v>71.400000000000006</v>
      </c>
      <c r="H51" s="462">
        <f>+F51*G51</f>
        <v>2213.4</v>
      </c>
      <c r="I51" s="462">
        <f t="shared" si="89"/>
        <v>8568</v>
      </c>
      <c r="J51" s="463">
        <v>4</v>
      </c>
      <c r="K51" s="464">
        <v>0</v>
      </c>
      <c r="L51" s="462">
        <f>M51+N51</f>
        <v>1760</v>
      </c>
      <c r="M51" s="462">
        <v>1510</v>
      </c>
      <c r="N51" s="462">
        <v>250</v>
      </c>
      <c r="O51" s="462">
        <f>+H51+M51+N51+K51</f>
        <v>3973.4</v>
      </c>
      <c r="P51" s="488">
        <f t="shared" si="92"/>
        <v>1217.3333333333333</v>
      </c>
      <c r="Q51" s="489">
        <f t="shared" si="93"/>
        <v>1200.6575342465753</v>
      </c>
      <c r="R51" s="489">
        <f t="shared" si="94"/>
        <v>65.753424657534239</v>
      </c>
      <c r="S51" s="490">
        <f t="shared" si="95"/>
        <v>15608</v>
      </c>
      <c r="T51" s="490">
        <f t="shared" si="96"/>
        <v>18091.744292237443</v>
      </c>
      <c r="U51" s="491">
        <f>ROUND((((H51+K51+M51)*4.83)/100),2)</f>
        <v>179.84</v>
      </c>
      <c r="V51" s="498"/>
      <c r="W51" s="498"/>
      <c r="X51" s="498"/>
      <c r="Y51" s="498"/>
      <c r="Z51" s="462">
        <f>V51+W51+X51+Y51+U51</f>
        <v>179.84</v>
      </c>
      <c r="AA51" s="462">
        <f>+O51-Z51</f>
        <v>3793.56</v>
      </c>
      <c r="AB51" s="489">
        <v>1000</v>
      </c>
      <c r="AF51"/>
      <c r="AG51"/>
      <c r="AH51"/>
    </row>
    <row r="52" spans="1:34" s="507" customFormat="1">
      <c r="A52" s="456">
        <v>4</v>
      </c>
      <c r="B52" s="579" t="s">
        <v>1269</v>
      </c>
      <c r="C52" s="581">
        <v>9901535242</v>
      </c>
      <c r="D52" s="582" t="s">
        <v>1270</v>
      </c>
      <c r="E52" s="583" t="s">
        <v>54</v>
      </c>
      <c r="F52" s="461">
        <v>31</v>
      </c>
      <c r="G52" s="498">
        <v>71.400000000000006</v>
      </c>
      <c r="H52" s="462">
        <f>+F52*G52</f>
        <v>2213.4</v>
      </c>
      <c r="I52" s="462">
        <f t="shared" si="89"/>
        <v>8568</v>
      </c>
      <c r="J52" s="463">
        <v>4</v>
      </c>
      <c r="K52" s="464">
        <v>0</v>
      </c>
      <c r="L52" s="462">
        <f>M52+N52</f>
        <v>1760</v>
      </c>
      <c r="M52" s="462">
        <v>1510</v>
      </c>
      <c r="N52" s="462">
        <v>250</v>
      </c>
      <c r="O52" s="462">
        <f>+H52+M52+N52+K52</f>
        <v>3973.4</v>
      </c>
      <c r="P52" s="488">
        <f t="shared" si="92"/>
        <v>1217.3333333333333</v>
      </c>
      <c r="Q52" s="489">
        <f t="shared" si="93"/>
        <v>1200.6575342465753</v>
      </c>
      <c r="R52" s="489">
        <f t="shared" si="94"/>
        <v>65.753424657534239</v>
      </c>
      <c r="S52" s="490">
        <f t="shared" si="95"/>
        <v>15608</v>
      </c>
      <c r="T52" s="490">
        <f t="shared" si="96"/>
        <v>18091.744292237443</v>
      </c>
      <c r="U52" s="491">
        <f t="shared" ref="U52:U64" si="99">ROUND((((H52+K52+M52)*4.83)/100),2)</f>
        <v>179.84</v>
      </c>
      <c r="V52" s="498"/>
      <c r="W52" s="498"/>
      <c r="X52" s="498"/>
      <c r="Y52" s="498"/>
      <c r="Z52" s="462">
        <f t="shared" ref="Z52:Z64" si="100">V52+W52+X52+Y52+U52</f>
        <v>179.84</v>
      </c>
      <c r="AA52" s="462">
        <f t="shared" ref="AA52:AA64" si="101">+O52-Z52</f>
        <v>3793.56</v>
      </c>
      <c r="AB52" s="489">
        <v>1000</v>
      </c>
      <c r="AF52"/>
      <c r="AG52"/>
      <c r="AH52"/>
    </row>
    <row r="53" spans="1:34" s="507" customFormat="1">
      <c r="A53" s="456">
        <v>5</v>
      </c>
      <c r="B53" s="579" t="s">
        <v>1271</v>
      </c>
      <c r="C53" s="572">
        <v>9901535240</v>
      </c>
      <c r="D53" s="582" t="s">
        <v>1272</v>
      </c>
      <c r="E53" s="583" t="s">
        <v>54</v>
      </c>
      <c r="F53" s="461">
        <v>31</v>
      </c>
      <c r="G53" s="498">
        <v>71.400000000000006</v>
      </c>
      <c r="H53" s="462">
        <f>+F53*G53</f>
        <v>2213.4</v>
      </c>
      <c r="I53" s="462">
        <f t="shared" si="89"/>
        <v>8568</v>
      </c>
      <c r="J53" s="463">
        <v>4</v>
      </c>
      <c r="K53" s="464">
        <v>0</v>
      </c>
      <c r="L53" s="462">
        <f>M53+N53</f>
        <v>1760</v>
      </c>
      <c r="M53" s="462">
        <v>1510</v>
      </c>
      <c r="N53" s="462">
        <v>250</v>
      </c>
      <c r="O53" s="462">
        <f>+H53+M53+N53+K53</f>
        <v>3973.4</v>
      </c>
      <c r="P53" s="488">
        <f t="shared" si="92"/>
        <v>1217.3333333333333</v>
      </c>
      <c r="Q53" s="489">
        <f t="shared" si="93"/>
        <v>1200.6575342465753</v>
      </c>
      <c r="R53" s="489">
        <f t="shared" si="94"/>
        <v>65.753424657534239</v>
      </c>
      <c r="S53" s="490">
        <f t="shared" si="95"/>
        <v>15608</v>
      </c>
      <c r="T53" s="490">
        <f t="shared" si="96"/>
        <v>18091.744292237443</v>
      </c>
      <c r="U53" s="491">
        <f t="shared" si="99"/>
        <v>179.84</v>
      </c>
      <c r="V53" s="498"/>
      <c r="W53" s="498"/>
      <c r="X53" s="498"/>
      <c r="Y53" s="498"/>
      <c r="Z53" s="462">
        <f t="shared" si="100"/>
        <v>179.84</v>
      </c>
      <c r="AA53" s="462">
        <f t="shared" si="101"/>
        <v>3793.56</v>
      </c>
      <c r="AB53" s="489">
        <v>1000</v>
      </c>
      <c r="AF53"/>
      <c r="AG53"/>
      <c r="AH53"/>
    </row>
    <row r="54" spans="1:34" s="507" customFormat="1">
      <c r="A54" s="456">
        <v>6</v>
      </c>
      <c r="B54" s="565"/>
      <c r="C54" s="584">
        <v>9901575951</v>
      </c>
      <c r="D54" s="507" t="s">
        <v>1273</v>
      </c>
      <c r="E54" s="456" t="s">
        <v>35</v>
      </c>
      <c r="F54" s="461">
        <v>31</v>
      </c>
      <c r="G54" s="498">
        <v>71.400000000000006</v>
      </c>
      <c r="H54" s="462">
        <f t="shared" ref="H54" si="102">+F54*G54</f>
        <v>2213.4</v>
      </c>
      <c r="I54" s="462">
        <f t="shared" si="89"/>
        <v>8568</v>
      </c>
      <c r="J54" s="463">
        <v>4</v>
      </c>
      <c r="K54" s="464">
        <v>0</v>
      </c>
      <c r="L54" s="462">
        <f t="shared" ref="L54" si="103">M54+N54</f>
        <v>1760</v>
      </c>
      <c r="M54" s="462">
        <v>1510</v>
      </c>
      <c r="N54" s="462">
        <v>250</v>
      </c>
      <c r="O54" s="462">
        <f t="shared" ref="O54" si="104">+H54+M54+N54+K54</f>
        <v>3973.4</v>
      </c>
      <c r="P54" s="488">
        <f t="shared" si="92"/>
        <v>1217.3333333333333</v>
      </c>
      <c r="Q54" s="489">
        <f t="shared" si="93"/>
        <v>1200.6575342465753</v>
      </c>
      <c r="R54" s="489">
        <f t="shared" si="94"/>
        <v>65.753424657534239</v>
      </c>
      <c r="S54" s="490">
        <f t="shared" si="95"/>
        <v>15608</v>
      </c>
      <c r="T54" s="490">
        <f t="shared" si="96"/>
        <v>18091.744292237443</v>
      </c>
      <c r="U54" s="491">
        <f t="shared" si="99"/>
        <v>179.84</v>
      </c>
      <c r="V54" s="498"/>
      <c r="W54" s="498"/>
      <c r="X54" s="498"/>
      <c r="Y54" s="498"/>
      <c r="Z54" s="462">
        <f t="shared" si="100"/>
        <v>179.84</v>
      </c>
      <c r="AA54" s="462">
        <f t="shared" si="101"/>
        <v>3793.56</v>
      </c>
      <c r="AB54" s="489">
        <v>1000</v>
      </c>
      <c r="AF54"/>
      <c r="AG54"/>
      <c r="AH54"/>
    </row>
    <row r="55" spans="1:34" s="507" customFormat="1">
      <c r="A55" s="456">
        <v>7</v>
      </c>
      <c r="B55" s="579"/>
      <c r="C55" s="585">
        <v>9901576010</v>
      </c>
      <c r="D55" s="522" t="s">
        <v>1274</v>
      </c>
      <c r="E55" s="456" t="s">
        <v>54</v>
      </c>
      <c r="F55" s="461">
        <v>31</v>
      </c>
      <c r="G55" s="498">
        <v>71.400000000000006</v>
      </c>
      <c r="H55" s="462">
        <f>+F55*G55</f>
        <v>2213.4</v>
      </c>
      <c r="I55" s="462">
        <f t="shared" si="89"/>
        <v>8568</v>
      </c>
      <c r="J55" s="463">
        <v>4</v>
      </c>
      <c r="K55" s="464">
        <v>0</v>
      </c>
      <c r="L55" s="462">
        <f>M55+N55</f>
        <v>1760</v>
      </c>
      <c r="M55" s="462">
        <v>1510</v>
      </c>
      <c r="N55" s="462">
        <v>250</v>
      </c>
      <c r="O55" s="462">
        <f>+H55+M55+N55+K55</f>
        <v>3973.4</v>
      </c>
      <c r="P55" s="488">
        <f t="shared" si="92"/>
        <v>1217.3333333333333</v>
      </c>
      <c r="Q55" s="489">
        <f t="shared" si="93"/>
        <v>1200.6575342465753</v>
      </c>
      <c r="R55" s="489">
        <f t="shared" si="94"/>
        <v>65.753424657534239</v>
      </c>
      <c r="S55" s="490">
        <f t="shared" si="95"/>
        <v>15608</v>
      </c>
      <c r="T55" s="490">
        <f t="shared" si="96"/>
        <v>18091.744292237443</v>
      </c>
      <c r="U55" s="491">
        <f t="shared" si="99"/>
        <v>179.84</v>
      </c>
      <c r="V55" s="456"/>
      <c r="W55" s="498"/>
      <c r="X55" s="498"/>
      <c r="Y55" s="498"/>
      <c r="Z55" s="462">
        <f t="shared" si="100"/>
        <v>179.84</v>
      </c>
      <c r="AA55" s="462">
        <f t="shared" si="101"/>
        <v>3793.56</v>
      </c>
      <c r="AB55" s="489">
        <v>1000</v>
      </c>
      <c r="AF55"/>
      <c r="AG55"/>
      <c r="AH55"/>
    </row>
    <row r="56" spans="1:34" s="507" customFormat="1">
      <c r="A56" s="456">
        <v>8</v>
      </c>
      <c r="B56" s="579"/>
      <c r="C56" s="585">
        <v>9901576019</v>
      </c>
      <c r="D56" s="582" t="s">
        <v>1275</v>
      </c>
      <c r="E56" s="460" t="s">
        <v>35</v>
      </c>
      <c r="F56" s="461">
        <v>31</v>
      </c>
      <c r="G56" s="498">
        <v>71.400000000000006</v>
      </c>
      <c r="H56" s="462">
        <f t="shared" si="88"/>
        <v>2213.4</v>
      </c>
      <c r="I56" s="462">
        <f t="shared" si="89"/>
        <v>8568</v>
      </c>
      <c r="J56" s="463">
        <v>4</v>
      </c>
      <c r="K56" s="464">
        <v>0</v>
      </c>
      <c r="L56" s="462">
        <f t="shared" ref="L56:L64" si="105">M56+N56</f>
        <v>1760</v>
      </c>
      <c r="M56" s="462">
        <v>1510</v>
      </c>
      <c r="N56" s="462">
        <v>250</v>
      </c>
      <c r="O56" s="462">
        <f t="shared" ref="O56:O64" si="106">+H56+M56+N56+K56</f>
        <v>3973.4</v>
      </c>
      <c r="P56" s="488">
        <f t="shared" si="92"/>
        <v>1217.3333333333333</v>
      </c>
      <c r="Q56" s="489">
        <f t="shared" si="93"/>
        <v>1200.6575342465753</v>
      </c>
      <c r="R56" s="489">
        <f t="shared" si="94"/>
        <v>65.753424657534239</v>
      </c>
      <c r="S56" s="490">
        <f t="shared" si="95"/>
        <v>15608</v>
      </c>
      <c r="T56" s="490">
        <f t="shared" si="96"/>
        <v>18091.744292237443</v>
      </c>
      <c r="U56" s="491">
        <f t="shared" si="99"/>
        <v>179.84</v>
      </c>
      <c r="V56" s="498"/>
      <c r="W56" s="498"/>
      <c r="X56" s="498"/>
      <c r="Y56" s="498"/>
      <c r="Z56" s="462">
        <f t="shared" si="100"/>
        <v>179.84</v>
      </c>
      <c r="AA56" s="462">
        <f t="shared" si="101"/>
        <v>3793.56</v>
      </c>
      <c r="AB56" s="489">
        <v>1000</v>
      </c>
      <c r="AC56" s="567"/>
      <c r="AF56"/>
      <c r="AG56"/>
      <c r="AH56"/>
    </row>
    <row r="57" spans="1:34" s="507" customFormat="1">
      <c r="A57" s="456">
        <v>9</v>
      </c>
      <c r="B57" s="586"/>
      <c r="C57" s="572">
        <v>9901576021</v>
      </c>
      <c r="D57" s="582" t="s">
        <v>1276</v>
      </c>
      <c r="E57" s="460" t="s">
        <v>35</v>
      </c>
      <c r="F57" s="461">
        <v>31</v>
      </c>
      <c r="G57" s="498">
        <v>71.400000000000006</v>
      </c>
      <c r="H57" s="462">
        <f t="shared" si="88"/>
        <v>2213.4</v>
      </c>
      <c r="I57" s="462">
        <f t="shared" si="89"/>
        <v>8568</v>
      </c>
      <c r="J57" s="463">
        <v>4</v>
      </c>
      <c r="K57" s="464">
        <v>0</v>
      </c>
      <c r="L57" s="462">
        <f t="shared" si="105"/>
        <v>1760</v>
      </c>
      <c r="M57" s="462">
        <v>1510</v>
      </c>
      <c r="N57" s="462">
        <v>250</v>
      </c>
      <c r="O57" s="462">
        <f t="shared" si="106"/>
        <v>3973.4</v>
      </c>
      <c r="P57" s="488">
        <f t="shared" si="92"/>
        <v>1217.3333333333333</v>
      </c>
      <c r="Q57" s="489">
        <f t="shared" si="93"/>
        <v>1200.6575342465753</v>
      </c>
      <c r="R57" s="489">
        <f t="shared" si="94"/>
        <v>65.753424657534239</v>
      </c>
      <c r="S57" s="490">
        <f t="shared" si="95"/>
        <v>15608</v>
      </c>
      <c r="T57" s="490">
        <f t="shared" si="96"/>
        <v>18091.744292237443</v>
      </c>
      <c r="U57" s="491">
        <f t="shared" si="99"/>
        <v>179.84</v>
      </c>
      <c r="V57" s="498"/>
      <c r="W57" s="498"/>
      <c r="X57" s="498"/>
      <c r="Y57" s="498"/>
      <c r="Z57" s="462">
        <f t="shared" si="100"/>
        <v>179.84</v>
      </c>
      <c r="AA57" s="462">
        <f t="shared" si="101"/>
        <v>3793.56</v>
      </c>
      <c r="AB57" s="489">
        <v>1000</v>
      </c>
      <c r="AF57"/>
      <c r="AG57"/>
      <c r="AH57"/>
    </row>
    <row r="58" spans="1:34" s="507" customFormat="1">
      <c r="A58" s="456">
        <v>10</v>
      </c>
      <c r="B58" s="586"/>
      <c r="C58" s="572">
        <v>9901576026</v>
      </c>
      <c r="D58" s="582" t="s">
        <v>1277</v>
      </c>
      <c r="E58" s="460" t="s">
        <v>35</v>
      </c>
      <c r="F58" s="461">
        <v>31</v>
      </c>
      <c r="G58" s="498">
        <v>71.400000000000006</v>
      </c>
      <c r="H58" s="462">
        <f t="shared" si="88"/>
        <v>2213.4</v>
      </c>
      <c r="I58" s="462">
        <f t="shared" si="89"/>
        <v>8568</v>
      </c>
      <c r="J58" s="463">
        <v>4</v>
      </c>
      <c r="K58" s="464">
        <v>0</v>
      </c>
      <c r="L58" s="462">
        <f t="shared" si="105"/>
        <v>1760</v>
      </c>
      <c r="M58" s="462">
        <v>1510</v>
      </c>
      <c r="N58" s="462">
        <v>250</v>
      </c>
      <c r="O58" s="462">
        <f t="shared" si="106"/>
        <v>3973.4</v>
      </c>
      <c r="P58" s="488">
        <f t="shared" si="92"/>
        <v>1217.3333333333333</v>
      </c>
      <c r="Q58" s="489">
        <f t="shared" si="93"/>
        <v>1200.6575342465753</v>
      </c>
      <c r="R58" s="489">
        <f t="shared" si="94"/>
        <v>65.753424657534239</v>
      </c>
      <c r="S58" s="490">
        <f t="shared" si="95"/>
        <v>15608</v>
      </c>
      <c r="T58" s="490">
        <f t="shared" si="96"/>
        <v>18091.744292237443</v>
      </c>
      <c r="U58" s="491">
        <f t="shared" si="99"/>
        <v>179.84</v>
      </c>
      <c r="V58" s="498"/>
      <c r="W58" s="498"/>
      <c r="X58" s="498"/>
      <c r="Y58" s="498"/>
      <c r="Z58" s="462">
        <f t="shared" si="100"/>
        <v>179.84</v>
      </c>
      <c r="AA58" s="462">
        <f t="shared" si="101"/>
        <v>3793.56</v>
      </c>
      <c r="AB58" s="489">
        <v>1000</v>
      </c>
      <c r="AF58"/>
      <c r="AG58"/>
      <c r="AH58"/>
    </row>
    <row r="59" spans="1:34" s="507" customFormat="1">
      <c r="A59" s="456">
        <v>11</v>
      </c>
      <c r="B59" s="579"/>
      <c r="C59" s="587">
        <v>9901576030</v>
      </c>
      <c r="D59" s="582" t="s">
        <v>1278</v>
      </c>
      <c r="E59" s="583" t="s">
        <v>54</v>
      </c>
      <c r="F59" s="461">
        <v>31</v>
      </c>
      <c r="G59" s="498">
        <v>71.400000000000006</v>
      </c>
      <c r="H59" s="462">
        <f>+F59*G59</f>
        <v>2213.4</v>
      </c>
      <c r="I59" s="462">
        <f t="shared" si="89"/>
        <v>8568</v>
      </c>
      <c r="J59" s="463">
        <v>4</v>
      </c>
      <c r="K59" s="464">
        <v>0</v>
      </c>
      <c r="L59" s="462">
        <f>M59+N59</f>
        <v>1760</v>
      </c>
      <c r="M59" s="462">
        <v>1510</v>
      </c>
      <c r="N59" s="462">
        <v>250</v>
      </c>
      <c r="O59" s="462">
        <f>+H59+M59+N59+K59</f>
        <v>3973.4</v>
      </c>
      <c r="P59" s="488">
        <f t="shared" si="92"/>
        <v>1217.3333333333333</v>
      </c>
      <c r="Q59" s="489">
        <f t="shared" si="93"/>
        <v>1200.6575342465753</v>
      </c>
      <c r="R59" s="489">
        <f t="shared" si="94"/>
        <v>65.753424657534239</v>
      </c>
      <c r="S59" s="490">
        <f t="shared" si="95"/>
        <v>15608</v>
      </c>
      <c r="T59" s="490">
        <f t="shared" si="96"/>
        <v>18091.744292237443</v>
      </c>
      <c r="U59" s="491">
        <f t="shared" si="99"/>
        <v>179.84</v>
      </c>
      <c r="V59" s="498"/>
      <c r="W59" s="498"/>
      <c r="X59" s="498"/>
      <c r="Y59" s="498"/>
      <c r="Z59" s="462">
        <f t="shared" si="100"/>
        <v>179.84</v>
      </c>
      <c r="AA59" s="462">
        <f t="shared" si="101"/>
        <v>3793.56</v>
      </c>
      <c r="AB59" s="489">
        <v>1000</v>
      </c>
      <c r="AF59"/>
      <c r="AG59"/>
      <c r="AH59"/>
    </row>
    <row r="60" spans="1:34" s="507" customFormat="1">
      <c r="A60" s="456">
        <v>12</v>
      </c>
      <c r="B60" s="579"/>
      <c r="C60" s="585">
        <v>9901430306</v>
      </c>
      <c r="D60" s="582" t="s">
        <v>1279</v>
      </c>
      <c r="E60" s="460" t="s">
        <v>35</v>
      </c>
      <c r="F60" s="461">
        <v>31</v>
      </c>
      <c r="G60" s="498">
        <v>71.400000000000006</v>
      </c>
      <c r="H60" s="462">
        <f t="shared" si="88"/>
        <v>2213.4</v>
      </c>
      <c r="I60" s="462">
        <f t="shared" si="89"/>
        <v>8568</v>
      </c>
      <c r="J60" s="463">
        <v>4</v>
      </c>
      <c r="K60" s="464">
        <v>0</v>
      </c>
      <c r="L60" s="462">
        <f t="shared" si="105"/>
        <v>1760</v>
      </c>
      <c r="M60" s="462">
        <v>1510</v>
      </c>
      <c r="N60" s="462">
        <v>250</v>
      </c>
      <c r="O60" s="462">
        <f t="shared" si="106"/>
        <v>3973.4</v>
      </c>
      <c r="P60" s="488">
        <f t="shared" si="92"/>
        <v>1217.3333333333333</v>
      </c>
      <c r="Q60" s="489">
        <f t="shared" si="93"/>
        <v>1200.6575342465753</v>
      </c>
      <c r="R60" s="489">
        <f t="shared" si="94"/>
        <v>65.753424657534239</v>
      </c>
      <c r="S60" s="490">
        <f t="shared" si="95"/>
        <v>15608</v>
      </c>
      <c r="T60" s="490">
        <f t="shared" si="96"/>
        <v>18091.744292237443</v>
      </c>
      <c r="U60" s="491">
        <f t="shared" si="99"/>
        <v>179.84</v>
      </c>
      <c r="V60" s="498"/>
      <c r="W60" s="498"/>
      <c r="X60" s="498"/>
      <c r="Y60" s="498"/>
      <c r="Z60" s="462">
        <f t="shared" si="100"/>
        <v>179.84</v>
      </c>
      <c r="AA60" s="462">
        <f t="shared" si="101"/>
        <v>3793.56</v>
      </c>
      <c r="AB60" s="489">
        <v>1000</v>
      </c>
      <c r="AF60"/>
      <c r="AG60"/>
      <c r="AH60"/>
    </row>
    <row r="61" spans="1:34" s="507" customFormat="1">
      <c r="A61" s="456">
        <v>13</v>
      </c>
      <c r="B61" s="579"/>
      <c r="C61" s="587">
        <v>9901576034</v>
      </c>
      <c r="D61" s="582" t="s">
        <v>1280</v>
      </c>
      <c r="E61" s="583" t="s">
        <v>35</v>
      </c>
      <c r="F61" s="461">
        <v>31</v>
      </c>
      <c r="G61" s="498">
        <v>71.400000000000006</v>
      </c>
      <c r="H61" s="462">
        <f t="shared" si="88"/>
        <v>2213.4</v>
      </c>
      <c r="I61" s="462">
        <f t="shared" si="89"/>
        <v>8568</v>
      </c>
      <c r="J61" s="463">
        <v>4</v>
      </c>
      <c r="K61" s="464">
        <v>0</v>
      </c>
      <c r="L61" s="462">
        <f t="shared" si="105"/>
        <v>1760</v>
      </c>
      <c r="M61" s="462">
        <v>1510</v>
      </c>
      <c r="N61" s="462">
        <v>250</v>
      </c>
      <c r="O61" s="462">
        <f t="shared" si="106"/>
        <v>3973.4</v>
      </c>
      <c r="P61" s="488">
        <f t="shared" si="92"/>
        <v>1217.3333333333333</v>
      </c>
      <c r="Q61" s="489">
        <f t="shared" si="93"/>
        <v>1200.6575342465753</v>
      </c>
      <c r="R61" s="489">
        <f t="shared" si="94"/>
        <v>65.753424657534239</v>
      </c>
      <c r="S61" s="490">
        <f t="shared" si="95"/>
        <v>15608</v>
      </c>
      <c r="T61" s="490">
        <f t="shared" si="96"/>
        <v>18091.744292237443</v>
      </c>
      <c r="U61" s="491">
        <f t="shared" si="99"/>
        <v>179.84</v>
      </c>
      <c r="V61" s="498"/>
      <c r="W61" s="498"/>
      <c r="X61" s="498"/>
      <c r="Y61" s="498"/>
      <c r="Z61" s="462">
        <f t="shared" si="100"/>
        <v>179.84</v>
      </c>
      <c r="AA61" s="462">
        <f t="shared" si="101"/>
        <v>3793.56</v>
      </c>
      <c r="AB61" s="489">
        <v>1000</v>
      </c>
      <c r="AF61"/>
      <c r="AG61"/>
      <c r="AH61"/>
    </row>
    <row r="62" spans="1:34" s="507" customFormat="1">
      <c r="A62" s="456">
        <v>14</v>
      </c>
      <c r="B62" s="565"/>
      <c r="C62" s="584">
        <v>9901576011</v>
      </c>
      <c r="D62" s="507" t="s">
        <v>1281</v>
      </c>
      <c r="E62" s="583" t="s">
        <v>54</v>
      </c>
      <c r="F62" s="461">
        <v>31</v>
      </c>
      <c r="G62" s="498">
        <v>71.400000000000006</v>
      </c>
      <c r="H62" s="462">
        <f t="shared" si="88"/>
        <v>2213.4</v>
      </c>
      <c r="I62" s="462">
        <f t="shared" si="89"/>
        <v>8568</v>
      </c>
      <c r="J62" s="463">
        <v>4</v>
      </c>
      <c r="K62" s="464"/>
      <c r="L62" s="462">
        <f t="shared" si="105"/>
        <v>1760</v>
      </c>
      <c r="M62" s="462">
        <v>1510</v>
      </c>
      <c r="N62" s="462">
        <v>250</v>
      </c>
      <c r="O62" s="462">
        <f t="shared" si="106"/>
        <v>3973.4</v>
      </c>
      <c r="P62" s="488">
        <f t="shared" si="92"/>
        <v>1217.3333333333333</v>
      </c>
      <c r="Q62" s="489">
        <f t="shared" si="93"/>
        <v>1200.6575342465753</v>
      </c>
      <c r="R62" s="489">
        <f t="shared" si="94"/>
        <v>65.753424657534239</v>
      </c>
      <c r="S62" s="490">
        <f t="shared" si="95"/>
        <v>15608</v>
      </c>
      <c r="T62" s="490">
        <f t="shared" si="96"/>
        <v>18091.744292237443</v>
      </c>
      <c r="U62" s="491">
        <f t="shared" si="99"/>
        <v>179.84</v>
      </c>
      <c r="V62" s="498"/>
      <c r="W62" s="498"/>
      <c r="X62" s="498"/>
      <c r="Y62" s="498"/>
      <c r="Z62" s="462">
        <f t="shared" si="100"/>
        <v>179.84</v>
      </c>
      <c r="AA62" s="462">
        <f t="shared" si="101"/>
        <v>3793.56</v>
      </c>
      <c r="AB62" s="489">
        <v>1000</v>
      </c>
      <c r="AF62"/>
      <c r="AG62"/>
      <c r="AH62"/>
    </row>
    <row r="63" spans="1:34" s="507" customFormat="1">
      <c r="A63" s="456">
        <v>15</v>
      </c>
      <c r="B63" s="565"/>
      <c r="C63" s="584">
        <v>9901576033</v>
      </c>
      <c r="D63" s="507" t="s">
        <v>1282</v>
      </c>
      <c r="E63" s="456" t="s">
        <v>35</v>
      </c>
      <c r="F63" s="461">
        <v>31</v>
      </c>
      <c r="G63" s="498">
        <v>71.400000000000006</v>
      </c>
      <c r="H63" s="462">
        <f t="shared" si="88"/>
        <v>2213.4</v>
      </c>
      <c r="I63" s="462">
        <f t="shared" si="89"/>
        <v>8568</v>
      </c>
      <c r="J63" s="463">
        <v>4</v>
      </c>
      <c r="K63" s="464">
        <v>0</v>
      </c>
      <c r="L63" s="462">
        <f t="shared" si="105"/>
        <v>1760</v>
      </c>
      <c r="M63" s="462">
        <v>1510</v>
      </c>
      <c r="N63" s="462">
        <v>250</v>
      </c>
      <c r="O63" s="462">
        <f t="shared" si="106"/>
        <v>3973.4</v>
      </c>
      <c r="P63" s="488">
        <f t="shared" si="92"/>
        <v>1217.3333333333333</v>
      </c>
      <c r="Q63" s="489">
        <f t="shared" si="93"/>
        <v>1200.6575342465753</v>
      </c>
      <c r="R63" s="489">
        <f t="shared" si="94"/>
        <v>65.753424657534239</v>
      </c>
      <c r="S63" s="490">
        <f t="shared" si="95"/>
        <v>15608</v>
      </c>
      <c r="T63" s="490">
        <f t="shared" si="96"/>
        <v>18091.744292237443</v>
      </c>
      <c r="U63" s="491">
        <f t="shared" si="99"/>
        <v>179.84</v>
      </c>
      <c r="V63" s="498"/>
      <c r="W63" s="498"/>
      <c r="X63" s="498"/>
      <c r="Y63" s="498"/>
      <c r="Z63" s="462">
        <f t="shared" si="100"/>
        <v>179.84</v>
      </c>
      <c r="AA63" s="462">
        <f t="shared" si="101"/>
        <v>3793.56</v>
      </c>
      <c r="AB63" s="489">
        <v>1000</v>
      </c>
      <c r="AF63"/>
      <c r="AG63"/>
      <c r="AH63"/>
    </row>
    <row r="64" spans="1:34" s="507" customFormat="1">
      <c r="A64" s="456">
        <v>16</v>
      </c>
      <c r="B64" s="565"/>
      <c r="C64" s="584">
        <v>9901576035</v>
      </c>
      <c r="D64" s="522" t="s">
        <v>1283</v>
      </c>
      <c r="E64" s="456" t="s">
        <v>35</v>
      </c>
      <c r="F64" s="461">
        <v>31</v>
      </c>
      <c r="G64" s="498">
        <v>71.400000000000006</v>
      </c>
      <c r="H64" s="462">
        <f t="shared" si="88"/>
        <v>2213.4</v>
      </c>
      <c r="I64" s="462">
        <f t="shared" si="89"/>
        <v>8568</v>
      </c>
      <c r="J64" s="463">
        <v>4</v>
      </c>
      <c r="K64" s="464"/>
      <c r="L64" s="462">
        <f t="shared" si="105"/>
        <v>1760</v>
      </c>
      <c r="M64" s="462">
        <v>1510</v>
      </c>
      <c r="N64" s="462">
        <v>250</v>
      </c>
      <c r="O64" s="462">
        <f t="shared" si="106"/>
        <v>3973.4</v>
      </c>
      <c r="P64" s="488">
        <f t="shared" si="92"/>
        <v>1217.3333333333333</v>
      </c>
      <c r="Q64" s="489">
        <f t="shared" si="93"/>
        <v>1200.6575342465753</v>
      </c>
      <c r="R64" s="489">
        <f t="shared" si="94"/>
        <v>65.753424657534239</v>
      </c>
      <c r="S64" s="490">
        <f t="shared" si="95"/>
        <v>15608</v>
      </c>
      <c r="T64" s="490">
        <f t="shared" si="96"/>
        <v>18091.744292237443</v>
      </c>
      <c r="U64" s="491">
        <f t="shared" si="99"/>
        <v>179.84</v>
      </c>
      <c r="V64" s="498"/>
      <c r="W64" s="498"/>
      <c r="X64" s="498"/>
      <c r="Y64" s="498"/>
      <c r="Z64" s="462">
        <f t="shared" si="100"/>
        <v>179.84</v>
      </c>
      <c r="AA64" s="462">
        <f t="shared" si="101"/>
        <v>3793.56</v>
      </c>
      <c r="AB64" s="489">
        <v>1000</v>
      </c>
      <c r="AF64"/>
      <c r="AG64"/>
      <c r="AH64"/>
    </row>
    <row r="65" spans="1:34" s="507" customFormat="1">
      <c r="A65" s="456">
        <v>1</v>
      </c>
      <c r="B65" s="457" t="s">
        <v>1284</v>
      </c>
      <c r="C65" s="497">
        <v>9901443523</v>
      </c>
      <c r="D65" s="459" t="s">
        <v>1285</v>
      </c>
      <c r="E65" s="460" t="s">
        <v>44</v>
      </c>
      <c r="F65" s="461">
        <v>31</v>
      </c>
      <c r="G65" s="498">
        <v>72.540000000000006</v>
      </c>
      <c r="H65" s="462">
        <f t="shared" ref="H65:H128" si="107">+F65*G65</f>
        <v>2248.7400000000002</v>
      </c>
      <c r="I65" s="462">
        <f t="shared" ref="I65:I128" si="108">G65*120</f>
        <v>8704.8000000000011</v>
      </c>
      <c r="J65" s="463">
        <v>4</v>
      </c>
      <c r="K65" s="569">
        <v>35</v>
      </c>
      <c r="L65" s="462">
        <f t="shared" ref="L65:L128" si="109">M65+N65</f>
        <v>1760</v>
      </c>
      <c r="M65" s="462">
        <v>1510</v>
      </c>
      <c r="N65" s="462">
        <v>250</v>
      </c>
      <c r="O65" s="462">
        <f t="shared" ref="O65:O128" si="110">+H65+M65+N65+K65</f>
        <v>4043.7400000000002</v>
      </c>
      <c r="P65" s="488">
        <f t="shared" ref="P65:P128" si="111">(((G65*120)+(K65+M65)*4)/12)</f>
        <v>1240.4000000000001</v>
      </c>
      <c r="Q65" s="489">
        <f t="shared" ref="Q65:Q128" si="112">(((G65*30)+M65+K65)/365*120)</f>
        <v>1223.4082191780822</v>
      </c>
      <c r="R65" s="489">
        <f t="shared" ref="R65:R128" si="113">+(200/365)*120</f>
        <v>65.753424657534239</v>
      </c>
      <c r="S65" s="490">
        <f t="shared" ref="S65:S128" si="114">(((G65*120)+((K65+M65+N65)*4)))</f>
        <v>15884.800000000001</v>
      </c>
      <c r="T65" s="490">
        <f t="shared" ref="T65:T128" si="115">+S65+R65+Q65+P65</f>
        <v>18414.361643835618</v>
      </c>
      <c r="U65" s="491">
        <f t="shared" ref="U65:U128" si="116">ROUND((((H65+K65+M65)*4.83)/100),2)</f>
        <v>183.24</v>
      </c>
      <c r="V65" s="498"/>
      <c r="W65" s="498">
        <v>10</v>
      </c>
      <c r="X65" s="498"/>
      <c r="Y65" s="498"/>
      <c r="Z65" s="462">
        <f t="shared" ref="Z65:Z128" si="117">V65+W65+X65+Y65+U65</f>
        <v>193.24</v>
      </c>
      <c r="AA65" s="462">
        <f t="shared" ref="AA65:AA128" si="118">+O65-Z65</f>
        <v>3850.5</v>
      </c>
      <c r="AB65" s="489">
        <v>1000</v>
      </c>
      <c r="AD65" s="507" t="s">
        <v>1286</v>
      </c>
      <c r="AF65"/>
      <c r="AG65"/>
      <c r="AH65"/>
    </row>
    <row r="66" spans="1:34" s="507" customFormat="1">
      <c r="A66" s="456">
        <v>2</v>
      </c>
      <c r="B66" s="457" t="s">
        <v>1287</v>
      </c>
      <c r="C66" s="497">
        <v>9901443238</v>
      </c>
      <c r="D66" s="459" t="s">
        <v>1288</v>
      </c>
      <c r="E66" s="460" t="s">
        <v>38</v>
      </c>
      <c r="F66" s="461">
        <v>31</v>
      </c>
      <c r="G66" s="498">
        <v>71.400000000000006</v>
      </c>
      <c r="H66" s="462">
        <f t="shared" si="107"/>
        <v>2213.4</v>
      </c>
      <c r="I66" s="462">
        <f t="shared" si="108"/>
        <v>8568</v>
      </c>
      <c r="J66" s="463">
        <v>4</v>
      </c>
      <c r="K66" s="498"/>
      <c r="L66" s="462">
        <f t="shared" si="109"/>
        <v>1760</v>
      </c>
      <c r="M66" s="462">
        <v>1510</v>
      </c>
      <c r="N66" s="462">
        <v>250</v>
      </c>
      <c r="O66" s="462">
        <f t="shared" si="110"/>
        <v>3973.4</v>
      </c>
      <c r="P66" s="488">
        <f t="shared" si="111"/>
        <v>1217.3333333333333</v>
      </c>
      <c r="Q66" s="489">
        <f t="shared" si="112"/>
        <v>1200.6575342465753</v>
      </c>
      <c r="R66" s="489">
        <f t="shared" si="113"/>
        <v>65.753424657534239</v>
      </c>
      <c r="S66" s="490">
        <f t="shared" si="114"/>
        <v>15608</v>
      </c>
      <c r="T66" s="490">
        <f t="shared" si="115"/>
        <v>18091.744292237443</v>
      </c>
      <c r="U66" s="491">
        <f t="shared" si="116"/>
        <v>179.84</v>
      </c>
      <c r="V66" s="498"/>
      <c r="W66" s="498">
        <v>10</v>
      </c>
      <c r="X66" s="498"/>
      <c r="Y66" s="498">
        <v>784.88</v>
      </c>
      <c r="Z66" s="462">
        <f t="shared" si="117"/>
        <v>974.72</v>
      </c>
      <c r="AA66" s="462">
        <f t="shared" si="118"/>
        <v>2998.6800000000003</v>
      </c>
      <c r="AB66" s="489">
        <v>1000</v>
      </c>
      <c r="AF66"/>
      <c r="AG66"/>
      <c r="AH66"/>
    </row>
    <row r="67" spans="1:34" s="507" customFormat="1">
      <c r="A67" s="456">
        <v>3</v>
      </c>
      <c r="B67" s="457" t="s">
        <v>1289</v>
      </c>
      <c r="C67" s="497">
        <v>9901443746</v>
      </c>
      <c r="D67" s="459" t="s">
        <v>1290</v>
      </c>
      <c r="E67" s="460" t="s">
        <v>60</v>
      </c>
      <c r="F67" s="461">
        <v>31</v>
      </c>
      <c r="G67" s="498">
        <v>73.59</v>
      </c>
      <c r="H67" s="462">
        <f t="shared" si="107"/>
        <v>2281.29</v>
      </c>
      <c r="I67" s="462">
        <f t="shared" si="108"/>
        <v>8830.8000000000011</v>
      </c>
      <c r="J67" s="463">
        <v>4</v>
      </c>
      <c r="K67" s="569">
        <v>35</v>
      </c>
      <c r="L67" s="462">
        <f t="shared" si="109"/>
        <v>1760</v>
      </c>
      <c r="M67" s="462">
        <v>1510</v>
      </c>
      <c r="N67" s="462">
        <v>250</v>
      </c>
      <c r="O67" s="462">
        <f t="shared" si="110"/>
        <v>4076.29</v>
      </c>
      <c r="P67" s="488">
        <f t="shared" si="111"/>
        <v>1250.9000000000001</v>
      </c>
      <c r="Q67" s="489">
        <f t="shared" si="112"/>
        <v>1233.7643835616439</v>
      </c>
      <c r="R67" s="489">
        <f t="shared" si="113"/>
        <v>65.753424657534239</v>
      </c>
      <c r="S67" s="490">
        <f t="shared" si="114"/>
        <v>16010.800000000001</v>
      </c>
      <c r="T67" s="490">
        <f t="shared" si="115"/>
        <v>18561.217808219182</v>
      </c>
      <c r="U67" s="491">
        <f t="shared" si="116"/>
        <v>184.81</v>
      </c>
      <c r="V67" s="498"/>
      <c r="W67" s="498">
        <v>10</v>
      </c>
      <c r="X67" s="498"/>
      <c r="Y67" s="498">
        <v>1372.79</v>
      </c>
      <c r="Z67" s="462">
        <f t="shared" si="117"/>
        <v>1567.6</v>
      </c>
      <c r="AA67" s="462">
        <f t="shared" si="118"/>
        <v>2508.69</v>
      </c>
      <c r="AB67" s="489">
        <v>1000</v>
      </c>
      <c r="AF67"/>
      <c r="AG67"/>
      <c r="AH67"/>
    </row>
    <row r="68" spans="1:34" s="507" customFormat="1" ht="12">
      <c r="A68" s="456">
        <v>4</v>
      </c>
      <c r="B68" s="457" t="s">
        <v>1291</v>
      </c>
      <c r="C68" s="497">
        <v>9901443474</v>
      </c>
      <c r="D68" s="459" t="s">
        <v>1292</v>
      </c>
      <c r="E68" s="460" t="s">
        <v>44</v>
      </c>
      <c r="F68" s="461">
        <v>31</v>
      </c>
      <c r="G68" s="498">
        <v>72.540000000000006</v>
      </c>
      <c r="H68" s="462">
        <f t="shared" si="107"/>
        <v>2248.7400000000002</v>
      </c>
      <c r="I68" s="462">
        <f t="shared" si="108"/>
        <v>8704.8000000000011</v>
      </c>
      <c r="J68" s="463">
        <v>4</v>
      </c>
      <c r="K68" s="569">
        <v>35</v>
      </c>
      <c r="L68" s="462">
        <f t="shared" si="109"/>
        <v>1760</v>
      </c>
      <c r="M68" s="462">
        <v>1510</v>
      </c>
      <c r="N68" s="462">
        <v>250</v>
      </c>
      <c r="O68" s="462">
        <f t="shared" si="110"/>
        <v>4043.7400000000002</v>
      </c>
      <c r="P68" s="488">
        <f t="shared" si="111"/>
        <v>1240.4000000000001</v>
      </c>
      <c r="Q68" s="489">
        <f t="shared" si="112"/>
        <v>1223.4082191780822</v>
      </c>
      <c r="R68" s="489">
        <f t="shared" si="113"/>
        <v>65.753424657534239</v>
      </c>
      <c r="S68" s="490">
        <f t="shared" si="114"/>
        <v>15884.800000000001</v>
      </c>
      <c r="T68" s="490">
        <f t="shared" si="115"/>
        <v>18414.361643835618</v>
      </c>
      <c r="U68" s="491">
        <f t="shared" si="116"/>
        <v>183.24</v>
      </c>
      <c r="V68" s="498"/>
      <c r="W68" s="498">
        <v>10</v>
      </c>
      <c r="X68" s="498"/>
      <c r="Y68" s="498">
        <v>586.28</v>
      </c>
      <c r="Z68" s="462">
        <f t="shared" si="117"/>
        <v>779.52</v>
      </c>
      <c r="AA68" s="462">
        <f t="shared" si="118"/>
        <v>3264.2200000000003</v>
      </c>
      <c r="AB68" s="489">
        <v>1000</v>
      </c>
      <c r="AD68" s="507" t="s">
        <v>1286</v>
      </c>
    </row>
    <row r="69" spans="1:34" s="507" customFormat="1" ht="12">
      <c r="A69" s="456">
        <v>5</v>
      </c>
      <c r="B69" s="457" t="s">
        <v>1293</v>
      </c>
      <c r="C69" s="497">
        <v>9901443814</v>
      </c>
      <c r="D69" s="459" t="s">
        <v>1294</v>
      </c>
      <c r="E69" s="460" t="s">
        <v>64</v>
      </c>
      <c r="F69" s="461">
        <v>31</v>
      </c>
      <c r="G69" s="498">
        <v>71.400000000000006</v>
      </c>
      <c r="H69" s="462">
        <f t="shared" si="107"/>
        <v>2213.4</v>
      </c>
      <c r="I69" s="462">
        <f t="shared" si="108"/>
        <v>8568</v>
      </c>
      <c r="J69" s="463">
        <v>4</v>
      </c>
      <c r="K69" s="569">
        <v>35</v>
      </c>
      <c r="L69" s="462">
        <f t="shared" si="109"/>
        <v>1760</v>
      </c>
      <c r="M69" s="462">
        <v>1510</v>
      </c>
      <c r="N69" s="462">
        <v>250</v>
      </c>
      <c r="O69" s="462">
        <f t="shared" si="110"/>
        <v>4008.4</v>
      </c>
      <c r="P69" s="488">
        <f t="shared" si="111"/>
        <v>1229</v>
      </c>
      <c r="Q69" s="489">
        <f t="shared" si="112"/>
        <v>1212.1643835616437</v>
      </c>
      <c r="R69" s="489">
        <f t="shared" si="113"/>
        <v>65.753424657534239</v>
      </c>
      <c r="S69" s="490">
        <f t="shared" si="114"/>
        <v>15748</v>
      </c>
      <c r="T69" s="490">
        <f t="shared" si="115"/>
        <v>18254.917808219179</v>
      </c>
      <c r="U69" s="491">
        <f t="shared" si="116"/>
        <v>181.53</v>
      </c>
      <c r="V69" s="498"/>
      <c r="W69" s="498">
        <v>10</v>
      </c>
      <c r="X69" s="498"/>
      <c r="Y69" s="498"/>
      <c r="Z69" s="462">
        <f t="shared" si="117"/>
        <v>191.53</v>
      </c>
      <c r="AA69" s="462">
        <f t="shared" si="118"/>
        <v>3816.87</v>
      </c>
      <c r="AB69" s="489">
        <v>1000</v>
      </c>
      <c r="AD69" s="507" t="s">
        <v>1286</v>
      </c>
    </row>
    <row r="70" spans="1:34" s="507" customFormat="1" ht="12">
      <c r="A70" s="456">
        <v>6</v>
      </c>
      <c r="B70" s="457" t="s">
        <v>1295</v>
      </c>
      <c r="C70" s="497">
        <v>9901443275</v>
      </c>
      <c r="D70" s="459" t="s">
        <v>1296</v>
      </c>
      <c r="E70" s="460" t="s">
        <v>39</v>
      </c>
      <c r="F70" s="461">
        <v>31</v>
      </c>
      <c r="G70" s="498">
        <v>78.25</v>
      </c>
      <c r="H70" s="462">
        <f t="shared" si="107"/>
        <v>2425.75</v>
      </c>
      <c r="I70" s="462">
        <f t="shared" si="108"/>
        <v>9390</v>
      </c>
      <c r="J70" s="463">
        <v>4</v>
      </c>
      <c r="K70" s="569">
        <v>35</v>
      </c>
      <c r="L70" s="462">
        <f t="shared" si="109"/>
        <v>1760</v>
      </c>
      <c r="M70" s="462">
        <v>1510</v>
      </c>
      <c r="N70" s="462">
        <v>250</v>
      </c>
      <c r="O70" s="462">
        <f t="shared" si="110"/>
        <v>4220.75</v>
      </c>
      <c r="P70" s="488">
        <f t="shared" si="111"/>
        <v>1297.5</v>
      </c>
      <c r="Q70" s="489">
        <f t="shared" si="112"/>
        <v>1279.7260273972604</v>
      </c>
      <c r="R70" s="489">
        <f t="shared" si="113"/>
        <v>65.753424657534239</v>
      </c>
      <c r="S70" s="490">
        <f t="shared" si="114"/>
        <v>16570</v>
      </c>
      <c r="T70" s="490">
        <f t="shared" si="115"/>
        <v>19212.979452054795</v>
      </c>
      <c r="U70" s="491">
        <f t="shared" si="116"/>
        <v>191.79</v>
      </c>
      <c r="V70" s="498"/>
      <c r="W70" s="498">
        <v>10</v>
      </c>
      <c r="X70" s="498"/>
      <c r="Y70" s="498">
        <v>1435.97</v>
      </c>
      <c r="Z70" s="462">
        <f t="shared" si="117"/>
        <v>1637.76</v>
      </c>
      <c r="AA70" s="462">
        <f t="shared" si="118"/>
        <v>2582.9899999999998</v>
      </c>
      <c r="AB70" s="489">
        <v>1000</v>
      </c>
      <c r="AD70" s="507" t="s">
        <v>1286</v>
      </c>
    </row>
    <row r="71" spans="1:34" s="507" customFormat="1" ht="12">
      <c r="A71" s="456">
        <v>7</v>
      </c>
      <c r="B71" s="457" t="s">
        <v>1297</v>
      </c>
      <c r="C71" s="497">
        <v>9901443668</v>
      </c>
      <c r="D71" s="459" t="s">
        <v>1298</v>
      </c>
      <c r="E71" s="460" t="s">
        <v>44</v>
      </c>
      <c r="F71" s="461">
        <v>31</v>
      </c>
      <c r="G71" s="498">
        <v>72.540000000000006</v>
      </c>
      <c r="H71" s="462">
        <f t="shared" si="107"/>
        <v>2248.7400000000002</v>
      </c>
      <c r="I71" s="462">
        <f t="shared" si="108"/>
        <v>8704.8000000000011</v>
      </c>
      <c r="J71" s="463">
        <v>4</v>
      </c>
      <c r="K71" s="569">
        <v>35</v>
      </c>
      <c r="L71" s="462">
        <f t="shared" si="109"/>
        <v>1760</v>
      </c>
      <c r="M71" s="462">
        <v>1510</v>
      </c>
      <c r="N71" s="462">
        <v>250</v>
      </c>
      <c r="O71" s="462">
        <f t="shared" si="110"/>
        <v>4043.7400000000002</v>
      </c>
      <c r="P71" s="488">
        <f t="shared" si="111"/>
        <v>1240.4000000000001</v>
      </c>
      <c r="Q71" s="489">
        <f t="shared" si="112"/>
        <v>1223.4082191780822</v>
      </c>
      <c r="R71" s="489">
        <f t="shared" si="113"/>
        <v>65.753424657534239</v>
      </c>
      <c r="S71" s="490">
        <f t="shared" si="114"/>
        <v>15884.800000000001</v>
      </c>
      <c r="T71" s="490">
        <f t="shared" si="115"/>
        <v>18414.361643835618</v>
      </c>
      <c r="U71" s="491">
        <f t="shared" si="116"/>
        <v>183.24</v>
      </c>
      <c r="V71" s="498"/>
      <c r="W71" s="498">
        <v>10</v>
      </c>
      <c r="X71" s="498"/>
      <c r="Y71" s="498">
        <v>1767.95</v>
      </c>
      <c r="Z71" s="462">
        <f t="shared" si="117"/>
        <v>1961.19</v>
      </c>
      <c r="AA71" s="462">
        <f t="shared" si="118"/>
        <v>2082.5500000000002</v>
      </c>
      <c r="AB71" s="489">
        <v>1000</v>
      </c>
      <c r="AD71" s="507" t="s">
        <v>1286</v>
      </c>
    </row>
    <row r="72" spans="1:34" s="507" customFormat="1" ht="12">
      <c r="A72" s="456">
        <v>8</v>
      </c>
      <c r="B72" s="457" t="s">
        <v>1299</v>
      </c>
      <c r="C72" s="497">
        <v>9901443624</v>
      </c>
      <c r="D72" s="459" t="s">
        <v>1300</v>
      </c>
      <c r="E72" s="460" t="s">
        <v>38</v>
      </c>
      <c r="F72" s="461">
        <v>31</v>
      </c>
      <c r="G72" s="498">
        <v>71.400000000000006</v>
      </c>
      <c r="H72" s="462">
        <f t="shared" si="107"/>
        <v>2213.4</v>
      </c>
      <c r="I72" s="462">
        <f t="shared" si="108"/>
        <v>8568</v>
      </c>
      <c r="J72" s="463">
        <v>4</v>
      </c>
      <c r="K72" s="498"/>
      <c r="L72" s="462">
        <f t="shared" si="109"/>
        <v>1760</v>
      </c>
      <c r="M72" s="462">
        <v>1510</v>
      </c>
      <c r="N72" s="462">
        <v>250</v>
      </c>
      <c r="O72" s="462">
        <f t="shared" si="110"/>
        <v>3973.4</v>
      </c>
      <c r="P72" s="488">
        <f t="shared" si="111"/>
        <v>1217.3333333333333</v>
      </c>
      <c r="Q72" s="489">
        <f t="shared" si="112"/>
        <v>1200.6575342465753</v>
      </c>
      <c r="R72" s="489">
        <f t="shared" si="113"/>
        <v>65.753424657534239</v>
      </c>
      <c r="S72" s="490">
        <f t="shared" si="114"/>
        <v>15608</v>
      </c>
      <c r="T72" s="490">
        <f t="shared" si="115"/>
        <v>18091.744292237443</v>
      </c>
      <c r="U72" s="491">
        <f t="shared" si="116"/>
        <v>179.84</v>
      </c>
      <c r="V72" s="498"/>
      <c r="W72" s="498">
        <v>10</v>
      </c>
      <c r="X72" s="498"/>
      <c r="Y72" s="498"/>
      <c r="Z72" s="462">
        <f t="shared" si="117"/>
        <v>189.84</v>
      </c>
      <c r="AA72" s="462">
        <f t="shared" si="118"/>
        <v>3783.56</v>
      </c>
      <c r="AB72" s="489">
        <v>1000</v>
      </c>
    </row>
    <row r="73" spans="1:34" s="507" customFormat="1" ht="12">
      <c r="A73" s="456">
        <v>9</v>
      </c>
      <c r="B73" s="457" t="s">
        <v>1301</v>
      </c>
      <c r="C73" s="497">
        <v>9901451105</v>
      </c>
      <c r="D73" s="459" t="s">
        <v>1302</v>
      </c>
      <c r="E73" s="460" t="s">
        <v>52</v>
      </c>
      <c r="F73" s="461">
        <v>31</v>
      </c>
      <c r="G73" s="498">
        <v>72.540000000000006</v>
      </c>
      <c r="H73" s="462">
        <f t="shared" si="107"/>
        <v>2248.7400000000002</v>
      </c>
      <c r="I73" s="462">
        <f t="shared" si="108"/>
        <v>8704.8000000000011</v>
      </c>
      <c r="J73" s="463">
        <v>4</v>
      </c>
      <c r="K73" s="498"/>
      <c r="L73" s="462">
        <f t="shared" si="109"/>
        <v>1760</v>
      </c>
      <c r="M73" s="462">
        <v>1510</v>
      </c>
      <c r="N73" s="462">
        <v>250</v>
      </c>
      <c r="O73" s="462">
        <f t="shared" si="110"/>
        <v>4008.7400000000002</v>
      </c>
      <c r="P73" s="488">
        <f t="shared" si="111"/>
        <v>1228.7333333333333</v>
      </c>
      <c r="Q73" s="489">
        <f t="shared" si="112"/>
        <v>1211.9013698630138</v>
      </c>
      <c r="R73" s="489">
        <f t="shared" si="113"/>
        <v>65.753424657534239</v>
      </c>
      <c r="S73" s="490">
        <f t="shared" si="114"/>
        <v>15744.800000000001</v>
      </c>
      <c r="T73" s="490">
        <f t="shared" si="115"/>
        <v>18251.188127853882</v>
      </c>
      <c r="U73" s="491">
        <f t="shared" si="116"/>
        <v>181.55</v>
      </c>
      <c r="V73" s="498"/>
      <c r="W73" s="498"/>
      <c r="X73" s="498"/>
      <c r="Y73" s="498"/>
      <c r="Z73" s="462">
        <f t="shared" si="117"/>
        <v>181.55</v>
      </c>
      <c r="AA73" s="462">
        <f t="shared" si="118"/>
        <v>3827.19</v>
      </c>
      <c r="AB73" s="489">
        <v>1000</v>
      </c>
    </row>
    <row r="74" spans="1:34" s="507" customFormat="1" ht="12">
      <c r="A74" s="456">
        <v>10</v>
      </c>
      <c r="B74" s="457" t="s">
        <v>1303</v>
      </c>
      <c r="C74" s="497">
        <v>9901443521</v>
      </c>
      <c r="D74" s="459" t="s">
        <v>1304</v>
      </c>
      <c r="E74" s="460" t="s">
        <v>62</v>
      </c>
      <c r="F74" s="461">
        <v>31</v>
      </c>
      <c r="G74" s="498">
        <v>75.64</v>
      </c>
      <c r="H74" s="462">
        <f t="shared" si="107"/>
        <v>2344.84</v>
      </c>
      <c r="I74" s="462">
        <f t="shared" si="108"/>
        <v>9076.7999999999993</v>
      </c>
      <c r="J74" s="463">
        <v>4</v>
      </c>
      <c r="K74" s="498"/>
      <c r="L74" s="462">
        <f t="shared" si="109"/>
        <v>1760</v>
      </c>
      <c r="M74" s="462">
        <v>1510</v>
      </c>
      <c r="N74" s="462">
        <v>250</v>
      </c>
      <c r="O74" s="462">
        <f t="shared" si="110"/>
        <v>4104.84</v>
      </c>
      <c r="P74" s="488">
        <f t="shared" si="111"/>
        <v>1259.7333333333333</v>
      </c>
      <c r="Q74" s="489">
        <f t="shared" si="112"/>
        <v>1242.476712328767</v>
      </c>
      <c r="R74" s="489">
        <f t="shared" si="113"/>
        <v>65.753424657534239</v>
      </c>
      <c r="S74" s="490">
        <f t="shared" si="114"/>
        <v>16116.8</v>
      </c>
      <c r="T74" s="490">
        <f t="shared" si="115"/>
        <v>18684.763470319635</v>
      </c>
      <c r="U74" s="491">
        <f t="shared" si="116"/>
        <v>186.19</v>
      </c>
      <c r="V74" s="498"/>
      <c r="W74" s="498">
        <v>10</v>
      </c>
      <c r="X74" s="498"/>
      <c r="Y74" s="498"/>
      <c r="Z74" s="462">
        <f t="shared" si="117"/>
        <v>196.19</v>
      </c>
      <c r="AA74" s="462">
        <f t="shared" si="118"/>
        <v>3908.65</v>
      </c>
      <c r="AB74" s="489">
        <v>1000</v>
      </c>
    </row>
    <row r="75" spans="1:34" s="507" customFormat="1" ht="12">
      <c r="A75" s="456">
        <v>11</v>
      </c>
      <c r="B75" s="457" t="s">
        <v>1305</v>
      </c>
      <c r="C75" s="497">
        <v>9901468416</v>
      </c>
      <c r="D75" s="459" t="s">
        <v>1306</v>
      </c>
      <c r="E75" s="460" t="s">
        <v>52</v>
      </c>
      <c r="F75" s="461">
        <v>31</v>
      </c>
      <c r="G75" s="498">
        <v>72.540000000000006</v>
      </c>
      <c r="H75" s="462">
        <f t="shared" si="107"/>
        <v>2248.7400000000002</v>
      </c>
      <c r="I75" s="462">
        <f t="shared" si="108"/>
        <v>8704.8000000000011</v>
      </c>
      <c r="J75" s="463">
        <v>4</v>
      </c>
      <c r="K75" s="498"/>
      <c r="L75" s="462">
        <f t="shared" si="109"/>
        <v>1760</v>
      </c>
      <c r="M75" s="462">
        <v>1510</v>
      </c>
      <c r="N75" s="462">
        <v>250</v>
      </c>
      <c r="O75" s="462">
        <f t="shared" si="110"/>
        <v>4008.7400000000002</v>
      </c>
      <c r="P75" s="488">
        <f t="shared" si="111"/>
        <v>1228.7333333333333</v>
      </c>
      <c r="Q75" s="489">
        <f t="shared" si="112"/>
        <v>1211.9013698630138</v>
      </c>
      <c r="R75" s="489">
        <f t="shared" si="113"/>
        <v>65.753424657534239</v>
      </c>
      <c r="S75" s="490">
        <f t="shared" si="114"/>
        <v>15744.800000000001</v>
      </c>
      <c r="T75" s="490">
        <f t="shared" si="115"/>
        <v>18251.188127853882</v>
      </c>
      <c r="U75" s="491">
        <f t="shared" si="116"/>
        <v>181.55</v>
      </c>
      <c r="V75" s="498"/>
      <c r="W75" s="498"/>
      <c r="X75" s="498"/>
      <c r="Y75" s="498"/>
      <c r="Z75" s="462">
        <f t="shared" si="117"/>
        <v>181.55</v>
      </c>
      <c r="AA75" s="462">
        <f t="shared" si="118"/>
        <v>3827.19</v>
      </c>
      <c r="AB75" s="489">
        <v>1000</v>
      </c>
    </row>
    <row r="76" spans="1:34" s="507" customFormat="1" ht="12" customHeight="1">
      <c r="A76" s="456">
        <v>12</v>
      </c>
      <c r="B76" s="457" t="s">
        <v>1307</v>
      </c>
      <c r="C76" s="497">
        <v>9901451037</v>
      </c>
      <c r="D76" s="459" t="s">
        <v>1308</v>
      </c>
      <c r="E76" s="460" t="s">
        <v>35</v>
      </c>
      <c r="F76" s="461">
        <v>31</v>
      </c>
      <c r="G76" s="498">
        <v>71.400000000000006</v>
      </c>
      <c r="H76" s="462">
        <f t="shared" si="107"/>
        <v>2213.4</v>
      </c>
      <c r="I76" s="462">
        <f t="shared" si="108"/>
        <v>8568</v>
      </c>
      <c r="J76" s="463">
        <v>4</v>
      </c>
      <c r="K76" s="498"/>
      <c r="L76" s="462">
        <f t="shared" si="109"/>
        <v>1760</v>
      </c>
      <c r="M76" s="462">
        <v>1510</v>
      </c>
      <c r="N76" s="462">
        <v>250</v>
      </c>
      <c r="O76" s="462">
        <f t="shared" si="110"/>
        <v>3973.4</v>
      </c>
      <c r="P76" s="488">
        <f t="shared" si="111"/>
        <v>1217.3333333333333</v>
      </c>
      <c r="Q76" s="489">
        <f t="shared" si="112"/>
        <v>1200.6575342465753</v>
      </c>
      <c r="R76" s="489">
        <f t="shared" si="113"/>
        <v>65.753424657534239</v>
      </c>
      <c r="S76" s="490">
        <f t="shared" si="114"/>
        <v>15608</v>
      </c>
      <c r="T76" s="490">
        <f t="shared" si="115"/>
        <v>18091.744292237443</v>
      </c>
      <c r="U76" s="491">
        <f t="shared" si="116"/>
        <v>179.84</v>
      </c>
      <c r="V76" s="498"/>
      <c r="W76" s="498"/>
      <c r="X76" s="498"/>
      <c r="Y76" s="498"/>
      <c r="Z76" s="462">
        <f t="shared" si="117"/>
        <v>179.84</v>
      </c>
      <c r="AA76" s="462">
        <f t="shared" si="118"/>
        <v>3793.56</v>
      </c>
      <c r="AB76" s="489">
        <v>1000</v>
      </c>
    </row>
    <row r="77" spans="1:34" s="507" customFormat="1" ht="12" customHeight="1">
      <c r="A77" s="456">
        <v>13</v>
      </c>
      <c r="B77" s="466" t="s">
        <v>1309</v>
      </c>
      <c r="C77" s="497">
        <v>9901468432</v>
      </c>
      <c r="D77" s="459" t="s">
        <v>1310</v>
      </c>
      <c r="E77" s="460" t="s">
        <v>52</v>
      </c>
      <c r="F77" s="461">
        <v>31</v>
      </c>
      <c r="G77" s="498">
        <v>72.540000000000006</v>
      </c>
      <c r="H77" s="462">
        <f t="shared" si="107"/>
        <v>2248.7400000000002</v>
      </c>
      <c r="I77" s="462">
        <f t="shared" si="108"/>
        <v>8704.8000000000011</v>
      </c>
      <c r="J77" s="463">
        <v>4</v>
      </c>
      <c r="K77" s="498"/>
      <c r="L77" s="462">
        <f t="shared" si="109"/>
        <v>1760</v>
      </c>
      <c r="M77" s="462">
        <v>1510</v>
      </c>
      <c r="N77" s="462">
        <v>250</v>
      </c>
      <c r="O77" s="462">
        <f t="shared" si="110"/>
        <v>4008.7400000000002</v>
      </c>
      <c r="P77" s="488">
        <f t="shared" si="111"/>
        <v>1228.7333333333333</v>
      </c>
      <c r="Q77" s="489">
        <f t="shared" si="112"/>
        <v>1211.9013698630138</v>
      </c>
      <c r="R77" s="489">
        <f t="shared" si="113"/>
        <v>65.753424657534239</v>
      </c>
      <c r="S77" s="490">
        <f t="shared" si="114"/>
        <v>15744.800000000001</v>
      </c>
      <c r="T77" s="490">
        <f t="shared" si="115"/>
        <v>18251.188127853882</v>
      </c>
      <c r="U77" s="491">
        <f t="shared" si="116"/>
        <v>181.55</v>
      </c>
      <c r="V77" s="498"/>
      <c r="W77" s="498"/>
      <c r="X77" s="498"/>
      <c r="Y77" s="498"/>
      <c r="Z77" s="462">
        <f t="shared" si="117"/>
        <v>181.55</v>
      </c>
      <c r="AA77" s="462">
        <f t="shared" si="118"/>
        <v>3827.19</v>
      </c>
      <c r="AB77" s="489">
        <v>1000</v>
      </c>
    </row>
    <row r="78" spans="1:34" s="507" customFormat="1" ht="12" customHeight="1">
      <c r="A78" s="456">
        <v>14</v>
      </c>
      <c r="B78" s="457" t="s">
        <v>1311</v>
      </c>
      <c r="C78" s="497">
        <v>9901443625</v>
      </c>
      <c r="D78" s="459" t="s">
        <v>1312</v>
      </c>
      <c r="E78" s="460" t="s">
        <v>38</v>
      </c>
      <c r="F78" s="461">
        <v>31</v>
      </c>
      <c r="G78" s="498">
        <v>71.400000000000006</v>
      </c>
      <c r="H78" s="462">
        <f t="shared" si="107"/>
        <v>2213.4</v>
      </c>
      <c r="I78" s="462">
        <f t="shared" si="108"/>
        <v>8568</v>
      </c>
      <c r="J78" s="463">
        <v>4</v>
      </c>
      <c r="K78" s="498"/>
      <c r="L78" s="462">
        <f t="shared" si="109"/>
        <v>1760</v>
      </c>
      <c r="M78" s="462">
        <v>1510</v>
      </c>
      <c r="N78" s="462">
        <v>250</v>
      </c>
      <c r="O78" s="462">
        <f t="shared" si="110"/>
        <v>3973.4</v>
      </c>
      <c r="P78" s="488">
        <f t="shared" si="111"/>
        <v>1217.3333333333333</v>
      </c>
      <c r="Q78" s="489">
        <f t="shared" si="112"/>
        <v>1200.6575342465753</v>
      </c>
      <c r="R78" s="489">
        <f t="shared" si="113"/>
        <v>65.753424657534239</v>
      </c>
      <c r="S78" s="490">
        <f t="shared" si="114"/>
        <v>15608</v>
      </c>
      <c r="T78" s="490">
        <f t="shared" si="115"/>
        <v>18091.744292237443</v>
      </c>
      <c r="U78" s="491">
        <f t="shared" si="116"/>
        <v>179.84</v>
      </c>
      <c r="V78" s="498"/>
      <c r="W78" s="498">
        <v>10</v>
      </c>
      <c r="X78" s="498"/>
      <c r="Y78" s="498"/>
      <c r="Z78" s="462">
        <f t="shared" si="117"/>
        <v>189.84</v>
      </c>
      <c r="AA78" s="462">
        <f t="shared" si="118"/>
        <v>3783.56</v>
      </c>
      <c r="AB78" s="489">
        <v>1000</v>
      </c>
    </row>
    <row r="79" spans="1:34" s="507" customFormat="1" ht="12" customHeight="1">
      <c r="A79" s="456">
        <v>15</v>
      </c>
      <c r="B79" s="457" t="s">
        <v>1313</v>
      </c>
      <c r="C79" s="497">
        <v>9901443865</v>
      </c>
      <c r="D79" s="459" t="s">
        <v>1314</v>
      </c>
      <c r="E79" s="460" t="s">
        <v>38</v>
      </c>
      <c r="F79" s="461">
        <v>31</v>
      </c>
      <c r="G79" s="498">
        <v>71.400000000000006</v>
      </c>
      <c r="H79" s="462">
        <f t="shared" si="107"/>
        <v>2213.4</v>
      </c>
      <c r="I79" s="462">
        <f t="shared" si="108"/>
        <v>8568</v>
      </c>
      <c r="J79" s="463">
        <v>4</v>
      </c>
      <c r="K79" s="498"/>
      <c r="L79" s="462">
        <f t="shared" si="109"/>
        <v>1760</v>
      </c>
      <c r="M79" s="462">
        <v>1510</v>
      </c>
      <c r="N79" s="462">
        <v>250</v>
      </c>
      <c r="O79" s="462">
        <f t="shared" si="110"/>
        <v>3973.4</v>
      </c>
      <c r="P79" s="488">
        <f t="shared" si="111"/>
        <v>1217.3333333333333</v>
      </c>
      <c r="Q79" s="489">
        <f t="shared" si="112"/>
        <v>1200.6575342465753</v>
      </c>
      <c r="R79" s="489">
        <f t="shared" si="113"/>
        <v>65.753424657534239</v>
      </c>
      <c r="S79" s="490">
        <f t="shared" si="114"/>
        <v>15608</v>
      </c>
      <c r="T79" s="490">
        <f t="shared" si="115"/>
        <v>18091.744292237443</v>
      </c>
      <c r="U79" s="491">
        <f t="shared" si="116"/>
        <v>179.84</v>
      </c>
      <c r="V79" s="498"/>
      <c r="W79" s="498">
        <v>10</v>
      </c>
      <c r="X79" s="498"/>
      <c r="Y79" s="498">
        <v>953.71</v>
      </c>
      <c r="Z79" s="462">
        <f t="shared" si="117"/>
        <v>1143.55</v>
      </c>
      <c r="AA79" s="462">
        <f t="shared" si="118"/>
        <v>2829.8500000000004</v>
      </c>
      <c r="AB79" s="489">
        <v>1000</v>
      </c>
    </row>
    <row r="80" spans="1:34" s="507" customFormat="1" ht="12" customHeight="1">
      <c r="A80" s="456">
        <v>16</v>
      </c>
      <c r="B80" s="457" t="s">
        <v>1315</v>
      </c>
      <c r="C80" s="497">
        <v>9901442468</v>
      </c>
      <c r="D80" s="459" t="s">
        <v>1316</v>
      </c>
      <c r="E80" s="460" t="s">
        <v>38</v>
      </c>
      <c r="F80" s="461">
        <v>31</v>
      </c>
      <c r="G80" s="498">
        <v>71.400000000000006</v>
      </c>
      <c r="H80" s="462">
        <f t="shared" si="107"/>
        <v>2213.4</v>
      </c>
      <c r="I80" s="462">
        <f t="shared" si="108"/>
        <v>8568</v>
      </c>
      <c r="J80" s="463">
        <v>4</v>
      </c>
      <c r="K80" s="498"/>
      <c r="L80" s="462">
        <f t="shared" si="109"/>
        <v>1760</v>
      </c>
      <c r="M80" s="462">
        <v>1510</v>
      </c>
      <c r="N80" s="462">
        <v>250</v>
      </c>
      <c r="O80" s="462">
        <f t="shared" si="110"/>
        <v>3973.4</v>
      </c>
      <c r="P80" s="488">
        <f t="shared" si="111"/>
        <v>1217.3333333333333</v>
      </c>
      <c r="Q80" s="489">
        <f t="shared" si="112"/>
        <v>1200.6575342465753</v>
      </c>
      <c r="R80" s="489">
        <f t="shared" si="113"/>
        <v>65.753424657534239</v>
      </c>
      <c r="S80" s="490">
        <f t="shared" si="114"/>
        <v>15608</v>
      </c>
      <c r="T80" s="490">
        <f t="shared" si="115"/>
        <v>18091.744292237443</v>
      </c>
      <c r="U80" s="491">
        <f t="shared" si="116"/>
        <v>179.84</v>
      </c>
      <c r="V80" s="498"/>
      <c r="W80" s="498"/>
      <c r="X80" s="498"/>
      <c r="Y80" s="498">
        <v>1816.63</v>
      </c>
      <c r="Z80" s="462">
        <f t="shared" si="117"/>
        <v>1996.47</v>
      </c>
      <c r="AA80" s="462">
        <f t="shared" si="118"/>
        <v>1976.93</v>
      </c>
      <c r="AB80" s="489">
        <v>1000</v>
      </c>
    </row>
    <row r="81" spans="1:28" s="507" customFormat="1" ht="12" customHeight="1">
      <c r="A81" s="456">
        <v>17</v>
      </c>
      <c r="B81" s="457" t="s">
        <v>1317</v>
      </c>
      <c r="C81" s="497">
        <v>9901443836</v>
      </c>
      <c r="D81" s="459" t="s">
        <v>1318</v>
      </c>
      <c r="E81" s="460" t="s">
        <v>35</v>
      </c>
      <c r="F81" s="461">
        <v>31</v>
      </c>
      <c r="G81" s="498">
        <v>71.400000000000006</v>
      </c>
      <c r="H81" s="462">
        <f t="shared" si="107"/>
        <v>2213.4</v>
      </c>
      <c r="I81" s="462">
        <f t="shared" si="108"/>
        <v>8568</v>
      </c>
      <c r="J81" s="463">
        <v>4</v>
      </c>
      <c r="K81" s="498"/>
      <c r="L81" s="462">
        <f t="shared" si="109"/>
        <v>1760</v>
      </c>
      <c r="M81" s="462">
        <v>1510</v>
      </c>
      <c r="N81" s="462">
        <v>250</v>
      </c>
      <c r="O81" s="462">
        <f t="shared" si="110"/>
        <v>3973.4</v>
      </c>
      <c r="P81" s="488">
        <f t="shared" si="111"/>
        <v>1217.3333333333333</v>
      </c>
      <c r="Q81" s="489">
        <f t="shared" si="112"/>
        <v>1200.6575342465753</v>
      </c>
      <c r="R81" s="489">
        <f t="shared" si="113"/>
        <v>65.753424657534239</v>
      </c>
      <c r="S81" s="490">
        <f t="shared" si="114"/>
        <v>15608</v>
      </c>
      <c r="T81" s="490">
        <f t="shared" si="115"/>
        <v>18091.744292237443</v>
      </c>
      <c r="U81" s="491">
        <f t="shared" si="116"/>
        <v>179.84</v>
      </c>
      <c r="V81" s="498"/>
      <c r="W81" s="498"/>
      <c r="X81" s="498"/>
      <c r="Y81" s="498"/>
      <c r="Z81" s="462">
        <f t="shared" si="117"/>
        <v>179.84</v>
      </c>
      <c r="AA81" s="462">
        <f t="shared" si="118"/>
        <v>3793.56</v>
      </c>
      <c r="AB81" s="489">
        <v>1000</v>
      </c>
    </row>
    <row r="82" spans="1:28" s="507" customFormat="1" ht="12" customHeight="1">
      <c r="A82" s="456">
        <v>18</v>
      </c>
      <c r="B82" s="457" t="s">
        <v>1319</v>
      </c>
      <c r="C82" s="497">
        <v>9901443286</v>
      </c>
      <c r="D82" s="459" t="s">
        <v>1320</v>
      </c>
      <c r="E82" s="460" t="s">
        <v>35</v>
      </c>
      <c r="F82" s="461">
        <v>31</v>
      </c>
      <c r="G82" s="498">
        <v>71.400000000000006</v>
      </c>
      <c r="H82" s="462">
        <f t="shared" si="107"/>
        <v>2213.4</v>
      </c>
      <c r="I82" s="462">
        <f t="shared" si="108"/>
        <v>8568</v>
      </c>
      <c r="J82" s="463">
        <v>4</v>
      </c>
      <c r="K82" s="498"/>
      <c r="L82" s="462">
        <f t="shared" si="109"/>
        <v>1760</v>
      </c>
      <c r="M82" s="462">
        <v>1510</v>
      </c>
      <c r="N82" s="462">
        <v>250</v>
      </c>
      <c r="O82" s="462">
        <f t="shared" si="110"/>
        <v>3973.4</v>
      </c>
      <c r="P82" s="488">
        <f t="shared" si="111"/>
        <v>1217.3333333333333</v>
      </c>
      <c r="Q82" s="489">
        <f t="shared" si="112"/>
        <v>1200.6575342465753</v>
      </c>
      <c r="R82" s="489">
        <f t="shared" si="113"/>
        <v>65.753424657534239</v>
      </c>
      <c r="S82" s="490">
        <f t="shared" si="114"/>
        <v>15608</v>
      </c>
      <c r="T82" s="490">
        <f t="shared" si="115"/>
        <v>18091.744292237443</v>
      </c>
      <c r="U82" s="491">
        <f t="shared" si="116"/>
        <v>179.84</v>
      </c>
      <c r="V82" s="498"/>
      <c r="W82" s="498">
        <v>10</v>
      </c>
      <c r="X82" s="498"/>
      <c r="Y82" s="498"/>
      <c r="Z82" s="462">
        <f t="shared" si="117"/>
        <v>189.84</v>
      </c>
      <c r="AA82" s="462">
        <f t="shared" si="118"/>
        <v>3783.56</v>
      </c>
      <c r="AB82" s="489">
        <v>1000</v>
      </c>
    </row>
    <row r="83" spans="1:28" s="507" customFormat="1" ht="12" customHeight="1">
      <c r="A83" s="456">
        <v>19</v>
      </c>
      <c r="B83" s="457" t="s">
        <v>1321</v>
      </c>
      <c r="C83" s="497">
        <v>9901443237</v>
      </c>
      <c r="D83" s="459" t="s">
        <v>1322</v>
      </c>
      <c r="E83" s="460" t="s">
        <v>61</v>
      </c>
      <c r="F83" s="461">
        <v>31</v>
      </c>
      <c r="G83" s="498">
        <v>77.59</v>
      </c>
      <c r="H83" s="462">
        <f t="shared" si="107"/>
        <v>2405.29</v>
      </c>
      <c r="I83" s="462">
        <f t="shared" si="108"/>
        <v>9310.8000000000011</v>
      </c>
      <c r="J83" s="463">
        <v>4</v>
      </c>
      <c r="K83" s="498"/>
      <c r="L83" s="462">
        <f t="shared" si="109"/>
        <v>1760</v>
      </c>
      <c r="M83" s="462">
        <v>1510</v>
      </c>
      <c r="N83" s="462">
        <v>250</v>
      </c>
      <c r="O83" s="462">
        <f t="shared" si="110"/>
        <v>4165.29</v>
      </c>
      <c r="P83" s="488">
        <f t="shared" si="111"/>
        <v>1279.2333333333333</v>
      </c>
      <c r="Q83" s="489">
        <f t="shared" si="112"/>
        <v>1261.709589041096</v>
      </c>
      <c r="R83" s="489">
        <f t="shared" si="113"/>
        <v>65.753424657534239</v>
      </c>
      <c r="S83" s="490">
        <f t="shared" si="114"/>
        <v>16350.800000000001</v>
      </c>
      <c r="T83" s="490">
        <f t="shared" si="115"/>
        <v>18957.496347031967</v>
      </c>
      <c r="U83" s="491">
        <f t="shared" si="116"/>
        <v>189.11</v>
      </c>
      <c r="V83" s="498"/>
      <c r="W83" s="498">
        <v>10</v>
      </c>
      <c r="X83" s="498"/>
      <c r="Y83" s="498"/>
      <c r="Z83" s="462">
        <f t="shared" si="117"/>
        <v>199.11</v>
      </c>
      <c r="AA83" s="462">
        <f t="shared" si="118"/>
        <v>3966.18</v>
      </c>
      <c r="AB83" s="489">
        <v>1000</v>
      </c>
    </row>
    <row r="84" spans="1:28" s="507" customFormat="1" ht="12" customHeight="1">
      <c r="A84" s="456">
        <v>20</v>
      </c>
      <c r="B84" s="457" t="s">
        <v>1323</v>
      </c>
      <c r="C84" s="497">
        <v>9901443328</v>
      </c>
      <c r="D84" s="459" t="s">
        <v>1324</v>
      </c>
      <c r="E84" s="460" t="s">
        <v>59</v>
      </c>
      <c r="F84" s="461">
        <v>31</v>
      </c>
      <c r="G84" s="498">
        <v>77.59</v>
      </c>
      <c r="H84" s="462">
        <f t="shared" si="107"/>
        <v>2405.29</v>
      </c>
      <c r="I84" s="462">
        <f t="shared" si="108"/>
        <v>9310.8000000000011</v>
      </c>
      <c r="J84" s="463">
        <v>4</v>
      </c>
      <c r="K84" s="498"/>
      <c r="L84" s="462">
        <f t="shared" si="109"/>
        <v>1760</v>
      </c>
      <c r="M84" s="462">
        <v>1510</v>
      </c>
      <c r="N84" s="462">
        <v>250</v>
      </c>
      <c r="O84" s="462">
        <f t="shared" si="110"/>
        <v>4165.29</v>
      </c>
      <c r="P84" s="488">
        <f t="shared" si="111"/>
        <v>1279.2333333333333</v>
      </c>
      <c r="Q84" s="489">
        <f t="shared" si="112"/>
        <v>1261.709589041096</v>
      </c>
      <c r="R84" s="489">
        <f t="shared" si="113"/>
        <v>65.753424657534239</v>
      </c>
      <c r="S84" s="490">
        <f t="shared" si="114"/>
        <v>16350.800000000001</v>
      </c>
      <c r="T84" s="490">
        <f t="shared" si="115"/>
        <v>18957.496347031967</v>
      </c>
      <c r="U84" s="491">
        <f t="shared" si="116"/>
        <v>189.11</v>
      </c>
      <c r="V84" s="498"/>
      <c r="W84" s="498"/>
      <c r="X84" s="498"/>
      <c r="Y84" s="498"/>
      <c r="Z84" s="462">
        <f t="shared" si="117"/>
        <v>189.11</v>
      </c>
      <c r="AA84" s="462">
        <f t="shared" si="118"/>
        <v>3976.18</v>
      </c>
      <c r="AB84" s="489">
        <v>1000</v>
      </c>
    </row>
    <row r="85" spans="1:28" s="507" customFormat="1" ht="12" customHeight="1">
      <c r="A85" s="456">
        <v>21</v>
      </c>
      <c r="B85" s="457" t="s">
        <v>1325</v>
      </c>
      <c r="C85" s="497">
        <v>9901443782</v>
      </c>
      <c r="D85" s="459" t="s">
        <v>1326</v>
      </c>
      <c r="E85" s="460" t="s">
        <v>38</v>
      </c>
      <c r="F85" s="461">
        <v>31</v>
      </c>
      <c r="G85" s="498">
        <v>71.400000000000006</v>
      </c>
      <c r="H85" s="462">
        <f t="shared" si="107"/>
        <v>2213.4</v>
      </c>
      <c r="I85" s="462">
        <f t="shared" si="108"/>
        <v>8568</v>
      </c>
      <c r="J85" s="463">
        <v>4</v>
      </c>
      <c r="K85" s="498"/>
      <c r="L85" s="462">
        <f t="shared" si="109"/>
        <v>1760</v>
      </c>
      <c r="M85" s="462">
        <v>1510</v>
      </c>
      <c r="N85" s="462">
        <v>250</v>
      </c>
      <c r="O85" s="462">
        <f t="shared" si="110"/>
        <v>3973.4</v>
      </c>
      <c r="P85" s="488">
        <f t="shared" si="111"/>
        <v>1217.3333333333333</v>
      </c>
      <c r="Q85" s="489">
        <f t="shared" si="112"/>
        <v>1200.6575342465753</v>
      </c>
      <c r="R85" s="489">
        <f t="shared" si="113"/>
        <v>65.753424657534239</v>
      </c>
      <c r="S85" s="490">
        <f t="shared" si="114"/>
        <v>15608</v>
      </c>
      <c r="T85" s="490">
        <f t="shared" si="115"/>
        <v>18091.744292237443</v>
      </c>
      <c r="U85" s="491">
        <f t="shared" si="116"/>
        <v>179.84</v>
      </c>
      <c r="V85" s="498"/>
      <c r="W85" s="498">
        <v>10</v>
      </c>
      <c r="X85" s="498"/>
      <c r="Y85" s="498"/>
      <c r="Z85" s="462">
        <f t="shared" si="117"/>
        <v>189.84</v>
      </c>
      <c r="AA85" s="462">
        <f t="shared" si="118"/>
        <v>3783.56</v>
      </c>
      <c r="AB85" s="489">
        <v>1000</v>
      </c>
    </row>
    <row r="86" spans="1:28" s="507" customFormat="1" ht="12" customHeight="1">
      <c r="A86" s="456">
        <v>22</v>
      </c>
      <c r="B86" s="457" t="s">
        <v>1327</v>
      </c>
      <c r="C86" s="497">
        <v>9901451035</v>
      </c>
      <c r="D86" s="459" t="s">
        <v>1328</v>
      </c>
      <c r="E86" s="460" t="s">
        <v>35</v>
      </c>
      <c r="F86" s="461">
        <v>31</v>
      </c>
      <c r="G86" s="498">
        <v>71.400000000000006</v>
      </c>
      <c r="H86" s="462">
        <f t="shared" si="107"/>
        <v>2213.4</v>
      </c>
      <c r="I86" s="462">
        <f t="shared" si="108"/>
        <v>8568</v>
      </c>
      <c r="J86" s="463">
        <v>4</v>
      </c>
      <c r="K86" s="498"/>
      <c r="L86" s="462">
        <f t="shared" si="109"/>
        <v>1760</v>
      </c>
      <c r="M86" s="462">
        <v>1510</v>
      </c>
      <c r="N86" s="462">
        <v>250</v>
      </c>
      <c r="O86" s="462">
        <f t="shared" si="110"/>
        <v>3973.4</v>
      </c>
      <c r="P86" s="488">
        <f t="shared" si="111"/>
        <v>1217.3333333333333</v>
      </c>
      <c r="Q86" s="489">
        <f t="shared" si="112"/>
        <v>1200.6575342465753</v>
      </c>
      <c r="R86" s="489">
        <f t="shared" si="113"/>
        <v>65.753424657534239</v>
      </c>
      <c r="S86" s="490">
        <f t="shared" si="114"/>
        <v>15608</v>
      </c>
      <c r="T86" s="490">
        <f t="shared" si="115"/>
        <v>18091.744292237443</v>
      </c>
      <c r="U86" s="491">
        <f t="shared" si="116"/>
        <v>179.84</v>
      </c>
      <c r="V86" s="498"/>
      <c r="W86" s="498"/>
      <c r="X86" s="498"/>
      <c r="Y86" s="498">
        <v>1288.99</v>
      </c>
      <c r="Z86" s="462">
        <f t="shared" si="117"/>
        <v>1468.83</v>
      </c>
      <c r="AA86" s="462">
        <f t="shared" si="118"/>
        <v>2504.5700000000002</v>
      </c>
      <c r="AB86" s="489">
        <v>1000</v>
      </c>
    </row>
    <row r="87" spans="1:28" s="507" customFormat="1" ht="12" customHeight="1">
      <c r="A87" s="456">
        <v>23</v>
      </c>
      <c r="B87" s="457" t="s">
        <v>1329</v>
      </c>
      <c r="C87" s="497">
        <v>9901443329</v>
      </c>
      <c r="D87" s="459" t="s">
        <v>1330</v>
      </c>
      <c r="E87" s="460" t="s">
        <v>62</v>
      </c>
      <c r="F87" s="461">
        <v>31</v>
      </c>
      <c r="G87" s="498">
        <v>75.64</v>
      </c>
      <c r="H87" s="462">
        <f t="shared" si="107"/>
        <v>2344.84</v>
      </c>
      <c r="I87" s="462">
        <f t="shared" si="108"/>
        <v>9076.7999999999993</v>
      </c>
      <c r="J87" s="463">
        <v>4</v>
      </c>
      <c r="K87" s="498"/>
      <c r="L87" s="462">
        <f t="shared" si="109"/>
        <v>1760</v>
      </c>
      <c r="M87" s="462">
        <v>1510</v>
      </c>
      <c r="N87" s="462">
        <v>250</v>
      </c>
      <c r="O87" s="462">
        <f t="shared" si="110"/>
        <v>4104.84</v>
      </c>
      <c r="P87" s="488">
        <f t="shared" si="111"/>
        <v>1259.7333333333333</v>
      </c>
      <c r="Q87" s="489">
        <f t="shared" si="112"/>
        <v>1242.476712328767</v>
      </c>
      <c r="R87" s="489">
        <f t="shared" si="113"/>
        <v>65.753424657534239</v>
      </c>
      <c r="S87" s="490">
        <f t="shared" si="114"/>
        <v>16116.8</v>
      </c>
      <c r="T87" s="490">
        <f t="shared" si="115"/>
        <v>18684.763470319635</v>
      </c>
      <c r="U87" s="491">
        <f t="shared" si="116"/>
        <v>186.19</v>
      </c>
      <c r="V87" s="498"/>
      <c r="W87" s="498">
        <v>10</v>
      </c>
      <c r="X87" s="498"/>
      <c r="Y87" s="498"/>
      <c r="Z87" s="462">
        <f t="shared" si="117"/>
        <v>196.19</v>
      </c>
      <c r="AA87" s="462">
        <f t="shared" si="118"/>
        <v>3908.65</v>
      </c>
      <c r="AB87" s="489">
        <v>1000</v>
      </c>
    </row>
    <row r="88" spans="1:28" s="507" customFormat="1" ht="12" customHeight="1">
      <c r="A88" s="456">
        <v>24</v>
      </c>
      <c r="B88" s="457" t="s">
        <v>1331</v>
      </c>
      <c r="C88" s="497">
        <v>9901443037</v>
      </c>
      <c r="D88" s="459" t="s">
        <v>1332</v>
      </c>
      <c r="E88" s="460" t="s">
        <v>62</v>
      </c>
      <c r="F88" s="461">
        <v>31</v>
      </c>
      <c r="G88" s="498">
        <v>75.64</v>
      </c>
      <c r="H88" s="462">
        <f t="shared" si="107"/>
        <v>2344.84</v>
      </c>
      <c r="I88" s="462">
        <f t="shared" si="108"/>
        <v>9076.7999999999993</v>
      </c>
      <c r="J88" s="463">
        <v>4</v>
      </c>
      <c r="K88" s="498"/>
      <c r="L88" s="462">
        <f t="shared" si="109"/>
        <v>1760</v>
      </c>
      <c r="M88" s="462">
        <v>1510</v>
      </c>
      <c r="N88" s="462">
        <v>250</v>
      </c>
      <c r="O88" s="462">
        <f t="shared" si="110"/>
        <v>4104.84</v>
      </c>
      <c r="P88" s="488">
        <f t="shared" si="111"/>
        <v>1259.7333333333333</v>
      </c>
      <c r="Q88" s="489">
        <f t="shared" si="112"/>
        <v>1242.476712328767</v>
      </c>
      <c r="R88" s="489">
        <f t="shared" si="113"/>
        <v>65.753424657534239</v>
      </c>
      <c r="S88" s="490">
        <f t="shared" si="114"/>
        <v>16116.8</v>
      </c>
      <c r="T88" s="490">
        <f t="shared" si="115"/>
        <v>18684.763470319635</v>
      </c>
      <c r="U88" s="491">
        <f t="shared" si="116"/>
        <v>186.19</v>
      </c>
      <c r="V88" s="498"/>
      <c r="W88" s="498">
        <v>10</v>
      </c>
      <c r="X88" s="498"/>
      <c r="Y88" s="498"/>
      <c r="Z88" s="462">
        <f t="shared" si="117"/>
        <v>196.19</v>
      </c>
      <c r="AA88" s="462">
        <f t="shared" si="118"/>
        <v>3908.65</v>
      </c>
      <c r="AB88" s="489">
        <v>1000</v>
      </c>
    </row>
    <row r="89" spans="1:28" s="507" customFormat="1" ht="12" customHeight="1">
      <c r="A89" s="456">
        <v>25</v>
      </c>
      <c r="B89" s="457" t="s">
        <v>1333</v>
      </c>
      <c r="C89" s="497">
        <v>9901443327</v>
      </c>
      <c r="D89" s="459" t="s">
        <v>1334</v>
      </c>
      <c r="E89" s="460" t="s">
        <v>38</v>
      </c>
      <c r="F89" s="461">
        <v>31</v>
      </c>
      <c r="G89" s="498">
        <v>71.400000000000006</v>
      </c>
      <c r="H89" s="462">
        <f t="shared" si="107"/>
        <v>2213.4</v>
      </c>
      <c r="I89" s="462">
        <f t="shared" si="108"/>
        <v>8568</v>
      </c>
      <c r="J89" s="463">
        <v>4</v>
      </c>
      <c r="K89" s="498"/>
      <c r="L89" s="462">
        <f t="shared" si="109"/>
        <v>1760</v>
      </c>
      <c r="M89" s="462">
        <v>1510</v>
      </c>
      <c r="N89" s="462">
        <v>250</v>
      </c>
      <c r="O89" s="462">
        <f t="shared" si="110"/>
        <v>3973.4</v>
      </c>
      <c r="P89" s="488">
        <f t="shared" si="111"/>
        <v>1217.3333333333333</v>
      </c>
      <c r="Q89" s="489">
        <f t="shared" si="112"/>
        <v>1200.6575342465753</v>
      </c>
      <c r="R89" s="489">
        <f t="shared" si="113"/>
        <v>65.753424657534239</v>
      </c>
      <c r="S89" s="490">
        <f t="shared" si="114"/>
        <v>15608</v>
      </c>
      <c r="T89" s="490">
        <f t="shared" si="115"/>
        <v>18091.744292237443</v>
      </c>
      <c r="U89" s="491">
        <f t="shared" si="116"/>
        <v>179.84</v>
      </c>
      <c r="V89" s="498"/>
      <c r="W89" s="498"/>
      <c r="X89" s="498"/>
      <c r="Y89" s="498">
        <v>1382.54</v>
      </c>
      <c r="Z89" s="462">
        <f t="shared" si="117"/>
        <v>1562.3799999999999</v>
      </c>
      <c r="AA89" s="462">
        <f t="shared" si="118"/>
        <v>2411.0200000000004</v>
      </c>
      <c r="AB89" s="489">
        <v>1000</v>
      </c>
    </row>
    <row r="90" spans="1:28" s="507" customFormat="1" ht="12" customHeight="1">
      <c r="A90" s="456">
        <v>26</v>
      </c>
      <c r="B90" s="457" t="s">
        <v>1335</v>
      </c>
      <c r="C90" s="497">
        <v>9901443838</v>
      </c>
      <c r="D90" s="459" t="s">
        <v>1336</v>
      </c>
      <c r="E90" s="460" t="s">
        <v>35</v>
      </c>
      <c r="F90" s="461">
        <v>31</v>
      </c>
      <c r="G90" s="498">
        <v>71.400000000000006</v>
      </c>
      <c r="H90" s="462">
        <f t="shared" si="107"/>
        <v>2213.4</v>
      </c>
      <c r="I90" s="462">
        <f t="shared" si="108"/>
        <v>8568</v>
      </c>
      <c r="J90" s="463">
        <v>4</v>
      </c>
      <c r="K90" s="498"/>
      <c r="L90" s="462">
        <f t="shared" si="109"/>
        <v>1760</v>
      </c>
      <c r="M90" s="462">
        <v>1510</v>
      </c>
      <c r="N90" s="462">
        <v>250</v>
      </c>
      <c r="O90" s="462">
        <f t="shared" si="110"/>
        <v>3973.4</v>
      </c>
      <c r="P90" s="488">
        <f t="shared" si="111"/>
        <v>1217.3333333333333</v>
      </c>
      <c r="Q90" s="489">
        <f t="shared" si="112"/>
        <v>1200.6575342465753</v>
      </c>
      <c r="R90" s="489">
        <f t="shared" si="113"/>
        <v>65.753424657534239</v>
      </c>
      <c r="S90" s="490">
        <f t="shared" si="114"/>
        <v>15608</v>
      </c>
      <c r="T90" s="490">
        <f t="shared" si="115"/>
        <v>18091.744292237443</v>
      </c>
      <c r="U90" s="491">
        <f t="shared" si="116"/>
        <v>179.84</v>
      </c>
      <c r="V90" s="498"/>
      <c r="W90" s="498">
        <v>10</v>
      </c>
      <c r="X90" s="498"/>
      <c r="Y90" s="498"/>
      <c r="Z90" s="462">
        <f t="shared" si="117"/>
        <v>189.84</v>
      </c>
      <c r="AA90" s="462">
        <f t="shared" si="118"/>
        <v>3783.56</v>
      </c>
      <c r="AB90" s="489">
        <v>1000</v>
      </c>
    </row>
    <row r="91" spans="1:28" s="507" customFormat="1" ht="12" customHeight="1">
      <c r="A91" s="456">
        <v>27</v>
      </c>
      <c r="B91" s="457" t="s">
        <v>1337</v>
      </c>
      <c r="C91" s="497">
        <v>9901443835</v>
      </c>
      <c r="D91" s="459" t="s">
        <v>1338</v>
      </c>
      <c r="E91" s="460" t="s">
        <v>38</v>
      </c>
      <c r="F91" s="461">
        <v>31</v>
      </c>
      <c r="G91" s="498">
        <v>71.400000000000006</v>
      </c>
      <c r="H91" s="462">
        <f t="shared" si="107"/>
        <v>2213.4</v>
      </c>
      <c r="I91" s="462">
        <f t="shared" si="108"/>
        <v>8568</v>
      </c>
      <c r="J91" s="463">
        <v>4</v>
      </c>
      <c r="K91" s="498"/>
      <c r="L91" s="462">
        <f t="shared" si="109"/>
        <v>1760</v>
      </c>
      <c r="M91" s="462">
        <v>1510</v>
      </c>
      <c r="N91" s="462">
        <v>250</v>
      </c>
      <c r="O91" s="462">
        <f t="shared" si="110"/>
        <v>3973.4</v>
      </c>
      <c r="P91" s="488">
        <f t="shared" si="111"/>
        <v>1217.3333333333333</v>
      </c>
      <c r="Q91" s="489">
        <f t="shared" si="112"/>
        <v>1200.6575342465753</v>
      </c>
      <c r="R91" s="489">
        <f t="shared" si="113"/>
        <v>65.753424657534239</v>
      </c>
      <c r="S91" s="490">
        <f t="shared" si="114"/>
        <v>15608</v>
      </c>
      <c r="T91" s="490">
        <f t="shared" si="115"/>
        <v>18091.744292237443</v>
      </c>
      <c r="U91" s="491">
        <f t="shared" si="116"/>
        <v>179.84</v>
      </c>
      <c r="V91" s="498"/>
      <c r="W91" s="498">
        <v>10</v>
      </c>
      <c r="X91" s="498"/>
      <c r="Y91" s="498">
        <v>575.95000000000005</v>
      </c>
      <c r="Z91" s="462">
        <f t="shared" si="117"/>
        <v>765.79000000000008</v>
      </c>
      <c r="AA91" s="462">
        <f t="shared" si="118"/>
        <v>3207.61</v>
      </c>
      <c r="AB91" s="489">
        <v>1000</v>
      </c>
    </row>
    <row r="92" spans="1:28" s="507" customFormat="1" ht="12" customHeight="1">
      <c r="A92" s="456">
        <v>28</v>
      </c>
      <c r="B92" s="457" t="s">
        <v>1339</v>
      </c>
      <c r="C92" s="497">
        <v>9901443670</v>
      </c>
      <c r="D92" s="459" t="s">
        <v>1340</v>
      </c>
      <c r="E92" s="460" t="s">
        <v>35</v>
      </c>
      <c r="F92" s="461">
        <v>31</v>
      </c>
      <c r="G92" s="498">
        <v>71.400000000000006</v>
      </c>
      <c r="H92" s="462">
        <f t="shared" si="107"/>
        <v>2213.4</v>
      </c>
      <c r="I92" s="462">
        <f t="shared" si="108"/>
        <v>8568</v>
      </c>
      <c r="J92" s="463">
        <v>4</v>
      </c>
      <c r="K92" s="498"/>
      <c r="L92" s="462">
        <f t="shared" si="109"/>
        <v>1760</v>
      </c>
      <c r="M92" s="462">
        <v>1510</v>
      </c>
      <c r="N92" s="462">
        <v>250</v>
      </c>
      <c r="O92" s="462">
        <f t="shared" si="110"/>
        <v>3973.4</v>
      </c>
      <c r="P92" s="488">
        <f t="shared" si="111"/>
        <v>1217.3333333333333</v>
      </c>
      <c r="Q92" s="489">
        <f t="shared" si="112"/>
        <v>1200.6575342465753</v>
      </c>
      <c r="R92" s="489">
        <f t="shared" si="113"/>
        <v>65.753424657534239</v>
      </c>
      <c r="S92" s="490">
        <f t="shared" si="114"/>
        <v>15608</v>
      </c>
      <c r="T92" s="490">
        <f t="shared" si="115"/>
        <v>18091.744292237443</v>
      </c>
      <c r="U92" s="491">
        <f t="shared" si="116"/>
        <v>179.84</v>
      </c>
      <c r="V92" s="498"/>
      <c r="W92" s="498">
        <v>10</v>
      </c>
      <c r="X92" s="498"/>
      <c r="Y92" s="498">
        <v>1158.3900000000001</v>
      </c>
      <c r="Z92" s="462">
        <f t="shared" si="117"/>
        <v>1348.23</v>
      </c>
      <c r="AA92" s="462">
        <f t="shared" si="118"/>
        <v>2625.17</v>
      </c>
      <c r="AB92" s="489">
        <v>1000</v>
      </c>
    </row>
    <row r="93" spans="1:28" s="507" customFormat="1" ht="12" customHeight="1">
      <c r="A93" s="456">
        <v>29</v>
      </c>
      <c r="B93" s="457" t="s">
        <v>1341</v>
      </c>
      <c r="C93" s="497">
        <v>9901395576</v>
      </c>
      <c r="D93" s="459" t="s">
        <v>1342</v>
      </c>
      <c r="E93" s="460" t="s">
        <v>38</v>
      </c>
      <c r="F93" s="461">
        <v>31</v>
      </c>
      <c r="G93" s="498">
        <v>71.400000000000006</v>
      </c>
      <c r="H93" s="462">
        <f t="shared" si="107"/>
        <v>2213.4</v>
      </c>
      <c r="I93" s="462">
        <f t="shared" si="108"/>
        <v>8568</v>
      </c>
      <c r="J93" s="463">
        <v>4</v>
      </c>
      <c r="K93" s="498"/>
      <c r="L93" s="462">
        <f t="shared" si="109"/>
        <v>1760</v>
      </c>
      <c r="M93" s="462">
        <v>1510</v>
      </c>
      <c r="N93" s="462">
        <v>250</v>
      </c>
      <c r="O93" s="462">
        <f t="shared" si="110"/>
        <v>3973.4</v>
      </c>
      <c r="P93" s="488">
        <f t="shared" si="111"/>
        <v>1217.3333333333333</v>
      </c>
      <c r="Q93" s="489">
        <f t="shared" si="112"/>
        <v>1200.6575342465753</v>
      </c>
      <c r="R93" s="489">
        <f t="shared" si="113"/>
        <v>65.753424657534239</v>
      </c>
      <c r="S93" s="490">
        <f t="shared" si="114"/>
        <v>15608</v>
      </c>
      <c r="T93" s="490">
        <f t="shared" si="115"/>
        <v>18091.744292237443</v>
      </c>
      <c r="U93" s="491">
        <f t="shared" si="116"/>
        <v>179.84</v>
      </c>
      <c r="V93" s="498"/>
      <c r="W93" s="498">
        <v>10</v>
      </c>
      <c r="X93" s="498"/>
      <c r="Y93" s="498"/>
      <c r="Z93" s="462">
        <f t="shared" si="117"/>
        <v>189.84</v>
      </c>
      <c r="AA93" s="462">
        <f t="shared" si="118"/>
        <v>3783.56</v>
      </c>
      <c r="AB93" s="489">
        <v>1000</v>
      </c>
    </row>
    <row r="94" spans="1:28" s="507" customFormat="1" ht="12" customHeight="1">
      <c r="A94" s="456">
        <v>30</v>
      </c>
      <c r="B94" s="466" t="s">
        <v>1343</v>
      </c>
      <c r="C94" s="497">
        <v>9901443630</v>
      </c>
      <c r="D94" s="459" t="s">
        <v>1344</v>
      </c>
      <c r="E94" s="460" t="s">
        <v>35</v>
      </c>
      <c r="F94" s="461">
        <v>31</v>
      </c>
      <c r="G94" s="498">
        <v>71.400000000000006</v>
      </c>
      <c r="H94" s="462">
        <f t="shared" si="107"/>
        <v>2213.4</v>
      </c>
      <c r="I94" s="462">
        <f t="shared" si="108"/>
        <v>8568</v>
      </c>
      <c r="J94" s="463">
        <v>4</v>
      </c>
      <c r="K94" s="498"/>
      <c r="L94" s="462">
        <f t="shared" si="109"/>
        <v>1760</v>
      </c>
      <c r="M94" s="462">
        <v>1510</v>
      </c>
      <c r="N94" s="462">
        <v>250</v>
      </c>
      <c r="O94" s="462">
        <f t="shared" si="110"/>
        <v>3973.4</v>
      </c>
      <c r="P94" s="488">
        <f t="shared" si="111"/>
        <v>1217.3333333333333</v>
      </c>
      <c r="Q94" s="489">
        <f t="shared" si="112"/>
        <v>1200.6575342465753</v>
      </c>
      <c r="R94" s="489">
        <f t="shared" si="113"/>
        <v>65.753424657534239</v>
      </c>
      <c r="S94" s="490">
        <f t="shared" si="114"/>
        <v>15608</v>
      </c>
      <c r="T94" s="490">
        <f t="shared" si="115"/>
        <v>18091.744292237443</v>
      </c>
      <c r="U94" s="491">
        <f t="shared" si="116"/>
        <v>179.84</v>
      </c>
      <c r="V94" s="498"/>
      <c r="W94" s="498">
        <v>10</v>
      </c>
      <c r="X94" s="498"/>
      <c r="Y94" s="498">
        <v>892.45</v>
      </c>
      <c r="Z94" s="462">
        <f t="shared" si="117"/>
        <v>1082.29</v>
      </c>
      <c r="AA94" s="462">
        <f t="shared" si="118"/>
        <v>2891.11</v>
      </c>
      <c r="AB94" s="489">
        <v>1000</v>
      </c>
    </row>
    <row r="95" spans="1:28" s="507" customFormat="1" ht="12" customHeight="1">
      <c r="A95" s="456">
        <v>31</v>
      </c>
      <c r="B95" s="457" t="s">
        <v>1345</v>
      </c>
      <c r="C95" s="497">
        <v>9901443553</v>
      </c>
      <c r="D95" s="459" t="s">
        <v>1346</v>
      </c>
      <c r="E95" s="460" t="s">
        <v>61</v>
      </c>
      <c r="F95" s="461">
        <v>31</v>
      </c>
      <c r="G95" s="498">
        <v>77.59</v>
      </c>
      <c r="H95" s="462">
        <f t="shared" si="107"/>
        <v>2405.29</v>
      </c>
      <c r="I95" s="462">
        <f t="shared" si="108"/>
        <v>9310.8000000000011</v>
      </c>
      <c r="J95" s="463">
        <v>4</v>
      </c>
      <c r="K95" s="498"/>
      <c r="L95" s="462">
        <f t="shared" si="109"/>
        <v>1760</v>
      </c>
      <c r="M95" s="462">
        <v>1510</v>
      </c>
      <c r="N95" s="462">
        <v>250</v>
      </c>
      <c r="O95" s="462">
        <f t="shared" si="110"/>
        <v>4165.29</v>
      </c>
      <c r="P95" s="488">
        <f t="shared" si="111"/>
        <v>1279.2333333333333</v>
      </c>
      <c r="Q95" s="489">
        <f t="shared" si="112"/>
        <v>1261.709589041096</v>
      </c>
      <c r="R95" s="489">
        <f t="shared" si="113"/>
        <v>65.753424657534239</v>
      </c>
      <c r="S95" s="490">
        <f t="shared" si="114"/>
        <v>16350.800000000001</v>
      </c>
      <c r="T95" s="490">
        <f t="shared" si="115"/>
        <v>18957.496347031967</v>
      </c>
      <c r="U95" s="491">
        <f t="shared" si="116"/>
        <v>189.11</v>
      </c>
      <c r="V95" s="498"/>
      <c r="W95" s="498">
        <v>10</v>
      </c>
      <c r="X95" s="498"/>
      <c r="Y95" s="498"/>
      <c r="Z95" s="462">
        <f t="shared" si="117"/>
        <v>199.11</v>
      </c>
      <c r="AA95" s="462">
        <f t="shared" si="118"/>
        <v>3966.18</v>
      </c>
      <c r="AB95" s="489">
        <v>1000</v>
      </c>
    </row>
    <row r="96" spans="1:28" s="507" customFormat="1" ht="12" customHeight="1">
      <c r="A96" s="456">
        <v>32</v>
      </c>
      <c r="B96" s="457" t="s">
        <v>1347</v>
      </c>
      <c r="C96" s="497">
        <v>9901451102</v>
      </c>
      <c r="D96" s="459" t="s">
        <v>1348</v>
      </c>
      <c r="E96" s="460" t="s">
        <v>52</v>
      </c>
      <c r="F96" s="461">
        <v>31</v>
      </c>
      <c r="G96" s="498">
        <v>72.540000000000006</v>
      </c>
      <c r="H96" s="462">
        <f t="shared" si="107"/>
        <v>2248.7400000000002</v>
      </c>
      <c r="I96" s="462">
        <f t="shared" si="108"/>
        <v>8704.8000000000011</v>
      </c>
      <c r="J96" s="463">
        <v>4</v>
      </c>
      <c r="K96" s="498"/>
      <c r="L96" s="462">
        <f t="shared" si="109"/>
        <v>1760</v>
      </c>
      <c r="M96" s="462">
        <v>1510</v>
      </c>
      <c r="N96" s="462">
        <v>250</v>
      </c>
      <c r="O96" s="462">
        <f t="shared" si="110"/>
        <v>4008.7400000000002</v>
      </c>
      <c r="P96" s="488">
        <f t="shared" si="111"/>
        <v>1228.7333333333333</v>
      </c>
      <c r="Q96" s="489">
        <f t="shared" si="112"/>
        <v>1211.9013698630138</v>
      </c>
      <c r="R96" s="489">
        <f t="shared" si="113"/>
        <v>65.753424657534239</v>
      </c>
      <c r="S96" s="490">
        <f t="shared" si="114"/>
        <v>15744.800000000001</v>
      </c>
      <c r="T96" s="490">
        <f t="shared" si="115"/>
        <v>18251.188127853882</v>
      </c>
      <c r="U96" s="491">
        <f t="shared" si="116"/>
        <v>181.55</v>
      </c>
      <c r="V96" s="498"/>
      <c r="W96" s="498"/>
      <c r="X96" s="498"/>
      <c r="Y96" s="498">
        <v>1372.79</v>
      </c>
      <c r="Z96" s="462">
        <f t="shared" si="117"/>
        <v>1554.34</v>
      </c>
      <c r="AA96" s="462">
        <f t="shared" si="118"/>
        <v>2454.4000000000005</v>
      </c>
      <c r="AB96" s="489">
        <v>1000</v>
      </c>
    </row>
    <row r="97" spans="1:28" s="507" customFormat="1" ht="12" customHeight="1">
      <c r="A97" s="456">
        <v>33</v>
      </c>
      <c r="B97" s="457" t="s">
        <v>1349</v>
      </c>
      <c r="C97" s="497">
        <v>9901451030</v>
      </c>
      <c r="D97" s="459" t="s">
        <v>1350</v>
      </c>
      <c r="E97" s="460" t="s">
        <v>35</v>
      </c>
      <c r="F97" s="461">
        <v>31</v>
      </c>
      <c r="G97" s="498">
        <v>71.400000000000006</v>
      </c>
      <c r="H97" s="462">
        <f t="shared" si="107"/>
        <v>2213.4</v>
      </c>
      <c r="I97" s="462">
        <f t="shared" si="108"/>
        <v>8568</v>
      </c>
      <c r="J97" s="463">
        <v>4</v>
      </c>
      <c r="K97" s="498"/>
      <c r="L97" s="462">
        <f t="shared" si="109"/>
        <v>1760</v>
      </c>
      <c r="M97" s="462">
        <v>1510</v>
      </c>
      <c r="N97" s="462">
        <v>250</v>
      </c>
      <c r="O97" s="462">
        <f t="shared" si="110"/>
        <v>3973.4</v>
      </c>
      <c r="P97" s="488">
        <f t="shared" si="111"/>
        <v>1217.3333333333333</v>
      </c>
      <c r="Q97" s="489">
        <f t="shared" si="112"/>
        <v>1200.6575342465753</v>
      </c>
      <c r="R97" s="489">
        <f t="shared" si="113"/>
        <v>65.753424657534239</v>
      </c>
      <c r="S97" s="490">
        <f t="shared" si="114"/>
        <v>15608</v>
      </c>
      <c r="T97" s="490">
        <f t="shared" si="115"/>
        <v>18091.744292237443</v>
      </c>
      <c r="U97" s="491">
        <f t="shared" si="116"/>
        <v>179.84</v>
      </c>
      <c r="V97" s="498"/>
      <c r="W97" s="498"/>
      <c r="X97" s="498"/>
      <c r="Y97" s="498"/>
      <c r="Z97" s="462">
        <f t="shared" si="117"/>
        <v>179.84</v>
      </c>
      <c r="AA97" s="462">
        <f t="shared" si="118"/>
        <v>3793.56</v>
      </c>
      <c r="AB97" s="489">
        <v>1000</v>
      </c>
    </row>
    <row r="98" spans="1:28" s="507" customFormat="1" ht="12" customHeight="1">
      <c r="A98" s="456">
        <v>34</v>
      </c>
      <c r="B98" s="457" t="s">
        <v>1351</v>
      </c>
      <c r="C98" s="497">
        <v>9901451033</v>
      </c>
      <c r="D98" s="459" t="s">
        <v>1352</v>
      </c>
      <c r="E98" s="460" t="s">
        <v>38</v>
      </c>
      <c r="F98" s="461">
        <v>31</v>
      </c>
      <c r="G98" s="498">
        <v>71.400000000000006</v>
      </c>
      <c r="H98" s="462">
        <f t="shared" si="107"/>
        <v>2213.4</v>
      </c>
      <c r="I98" s="462">
        <f t="shared" si="108"/>
        <v>8568</v>
      </c>
      <c r="J98" s="463">
        <v>4</v>
      </c>
      <c r="K98" s="498"/>
      <c r="L98" s="462">
        <f t="shared" si="109"/>
        <v>1760</v>
      </c>
      <c r="M98" s="462">
        <v>1510</v>
      </c>
      <c r="N98" s="462">
        <v>250</v>
      </c>
      <c r="O98" s="462">
        <f t="shared" si="110"/>
        <v>3973.4</v>
      </c>
      <c r="P98" s="488">
        <f t="shared" si="111"/>
        <v>1217.3333333333333</v>
      </c>
      <c r="Q98" s="489">
        <f t="shared" si="112"/>
        <v>1200.6575342465753</v>
      </c>
      <c r="R98" s="489">
        <f t="shared" si="113"/>
        <v>65.753424657534239</v>
      </c>
      <c r="S98" s="490">
        <f t="shared" si="114"/>
        <v>15608</v>
      </c>
      <c r="T98" s="490">
        <f t="shared" si="115"/>
        <v>18091.744292237443</v>
      </c>
      <c r="U98" s="491">
        <f t="shared" si="116"/>
        <v>179.84</v>
      </c>
      <c r="V98" s="498"/>
      <c r="W98" s="498">
        <v>10</v>
      </c>
      <c r="X98" s="498"/>
      <c r="Y98" s="498">
        <v>1512.41</v>
      </c>
      <c r="Z98" s="462">
        <f t="shared" si="117"/>
        <v>1702.25</v>
      </c>
      <c r="AA98" s="462">
        <f t="shared" si="118"/>
        <v>2271.15</v>
      </c>
      <c r="AB98" s="489">
        <v>1000</v>
      </c>
    </row>
    <row r="99" spans="1:28" s="507" customFormat="1" ht="12" customHeight="1">
      <c r="A99" s="456">
        <v>35</v>
      </c>
      <c r="B99" s="457" t="s">
        <v>1353</v>
      </c>
      <c r="C99" s="588">
        <v>990094861</v>
      </c>
      <c r="D99" s="459" t="s">
        <v>1354</v>
      </c>
      <c r="E99" s="460" t="s">
        <v>38</v>
      </c>
      <c r="F99" s="461">
        <v>31</v>
      </c>
      <c r="G99" s="498">
        <v>71.400000000000006</v>
      </c>
      <c r="H99" s="462">
        <f t="shared" si="107"/>
        <v>2213.4</v>
      </c>
      <c r="I99" s="462">
        <f t="shared" si="108"/>
        <v>8568</v>
      </c>
      <c r="J99" s="463">
        <v>4</v>
      </c>
      <c r="K99" s="498"/>
      <c r="L99" s="462">
        <f t="shared" si="109"/>
        <v>1760</v>
      </c>
      <c r="M99" s="462">
        <v>1510</v>
      </c>
      <c r="N99" s="462">
        <v>250</v>
      </c>
      <c r="O99" s="462">
        <f t="shared" si="110"/>
        <v>3973.4</v>
      </c>
      <c r="P99" s="488">
        <f t="shared" si="111"/>
        <v>1217.3333333333333</v>
      </c>
      <c r="Q99" s="489">
        <f t="shared" si="112"/>
        <v>1200.6575342465753</v>
      </c>
      <c r="R99" s="489">
        <f t="shared" si="113"/>
        <v>65.753424657534239</v>
      </c>
      <c r="S99" s="490">
        <f t="shared" si="114"/>
        <v>15608</v>
      </c>
      <c r="T99" s="490">
        <f t="shared" si="115"/>
        <v>18091.744292237443</v>
      </c>
      <c r="U99" s="491">
        <f t="shared" si="116"/>
        <v>179.84</v>
      </c>
      <c r="V99" s="462"/>
      <c r="W99" s="498">
        <v>10</v>
      </c>
      <c r="X99" s="462"/>
      <c r="Y99" s="462"/>
      <c r="Z99" s="462">
        <f t="shared" si="117"/>
        <v>189.84</v>
      </c>
      <c r="AA99" s="462">
        <f t="shared" si="118"/>
        <v>3783.56</v>
      </c>
      <c r="AB99" s="489">
        <v>1000</v>
      </c>
    </row>
    <row r="100" spans="1:28" s="507" customFormat="1" ht="12" customHeight="1">
      <c r="A100" s="456">
        <v>36</v>
      </c>
      <c r="B100" s="517" t="s">
        <v>1355</v>
      </c>
      <c r="C100" s="521">
        <v>9901520506</v>
      </c>
      <c r="D100" s="459" t="s">
        <v>1356</v>
      </c>
      <c r="E100" s="460" t="s">
        <v>37</v>
      </c>
      <c r="F100" s="523">
        <v>31</v>
      </c>
      <c r="G100" s="560">
        <v>80.86</v>
      </c>
      <c r="H100" s="462">
        <f t="shared" si="107"/>
        <v>2506.66</v>
      </c>
      <c r="I100" s="462">
        <f t="shared" si="108"/>
        <v>9703.2000000000007</v>
      </c>
      <c r="J100" s="463">
        <v>4</v>
      </c>
      <c r="K100" s="560"/>
      <c r="L100" s="462">
        <f t="shared" si="109"/>
        <v>1760</v>
      </c>
      <c r="M100" s="462">
        <v>1510</v>
      </c>
      <c r="N100" s="462">
        <v>250</v>
      </c>
      <c r="O100" s="462">
        <f t="shared" si="110"/>
        <v>4266.66</v>
      </c>
      <c r="P100" s="488">
        <f t="shared" si="111"/>
        <v>1311.9333333333334</v>
      </c>
      <c r="Q100" s="489">
        <f t="shared" si="112"/>
        <v>1293.9616438356165</v>
      </c>
      <c r="R100" s="489">
        <f t="shared" si="113"/>
        <v>65.753424657534239</v>
      </c>
      <c r="S100" s="490">
        <f t="shared" si="114"/>
        <v>16743.2</v>
      </c>
      <c r="T100" s="490">
        <f t="shared" si="115"/>
        <v>19414.848401826486</v>
      </c>
      <c r="U100" s="491">
        <f t="shared" si="116"/>
        <v>194</v>
      </c>
      <c r="V100" s="519"/>
      <c r="W100" s="519"/>
      <c r="X100" s="519"/>
      <c r="Y100" s="519"/>
      <c r="Z100" s="462">
        <f t="shared" si="117"/>
        <v>194</v>
      </c>
      <c r="AA100" s="462">
        <f t="shared" si="118"/>
        <v>4072.66</v>
      </c>
      <c r="AB100" s="489">
        <v>1000</v>
      </c>
    </row>
    <row r="101" spans="1:28" s="507" customFormat="1" ht="12" customHeight="1">
      <c r="A101" s="456">
        <v>37</v>
      </c>
      <c r="B101" s="466" t="s">
        <v>1357</v>
      </c>
      <c r="C101" s="589">
        <v>9901337709</v>
      </c>
      <c r="D101" s="459" t="s">
        <v>1358</v>
      </c>
      <c r="E101" s="460" t="s">
        <v>37</v>
      </c>
      <c r="F101" s="523">
        <v>31</v>
      </c>
      <c r="G101" s="560">
        <v>80.86</v>
      </c>
      <c r="H101" s="462">
        <f t="shared" si="107"/>
        <v>2506.66</v>
      </c>
      <c r="I101" s="462">
        <f t="shared" si="108"/>
        <v>9703.2000000000007</v>
      </c>
      <c r="J101" s="463">
        <v>4</v>
      </c>
      <c r="K101" s="560"/>
      <c r="L101" s="462">
        <f t="shared" si="109"/>
        <v>1760</v>
      </c>
      <c r="M101" s="462">
        <v>1510</v>
      </c>
      <c r="N101" s="462">
        <v>250</v>
      </c>
      <c r="O101" s="462">
        <f t="shared" si="110"/>
        <v>4266.66</v>
      </c>
      <c r="P101" s="488">
        <f t="shared" si="111"/>
        <v>1311.9333333333334</v>
      </c>
      <c r="Q101" s="489">
        <f t="shared" si="112"/>
        <v>1293.9616438356165</v>
      </c>
      <c r="R101" s="489">
        <f t="shared" si="113"/>
        <v>65.753424657534239</v>
      </c>
      <c r="S101" s="490">
        <f t="shared" si="114"/>
        <v>16743.2</v>
      </c>
      <c r="T101" s="490">
        <f t="shared" si="115"/>
        <v>19414.848401826486</v>
      </c>
      <c r="U101" s="491">
        <f t="shared" si="116"/>
        <v>194</v>
      </c>
      <c r="V101" s="519"/>
      <c r="W101" s="519"/>
      <c r="X101" s="519"/>
      <c r="Y101" s="519"/>
      <c r="Z101" s="462">
        <f t="shared" si="117"/>
        <v>194</v>
      </c>
      <c r="AA101" s="462">
        <f t="shared" si="118"/>
        <v>4072.66</v>
      </c>
      <c r="AB101" s="489">
        <v>1000</v>
      </c>
    </row>
    <row r="102" spans="1:28" s="507" customFormat="1" ht="12" customHeight="1">
      <c r="A102" s="456">
        <v>38</v>
      </c>
      <c r="B102" s="536" t="s">
        <v>1359</v>
      </c>
      <c r="C102" s="521">
        <v>9901451106</v>
      </c>
      <c r="D102" s="459" t="s">
        <v>1360</v>
      </c>
      <c r="E102" s="460" t="s">
        <v>59</v>
      </c>
      <c r="F102" s="523">
        <v>31</v>
      </c>
      <c r="G102" s="560">
        <v>77.59</v>
      </c>
      <c r="H102" s="462">
        <f t="shared" si="107"/>
        <v>2405.29</v>
      </c>
      <c r="I102" s="462">
        <f t="shared" si="108"/>
        <v>9310.8000000000011</v>
      </c>
      <c r="J102" s="463">
        <v>4</v>
      </c>
      <c r="K102" s="464"/>
      <c r="L102" s="462">
        <f t="shared" si="109"/>
        <v>1760</v>
      </c>
      <c r="M102" s="462">
        <v>1510</v>
      </c>
      <c r="N102" s="462">
        <v>250</v>
      </c>
      <c r="O102" s="462">
        <f t="shared" si="110"/>
        <v>4165.29</v>
      </c>
      <c r="P102" s="488">
        <f t="shared" si="111"/>
        <v>1279.2333333333333</v>
      </c>
      <c r="Q102" s="489">
        <f t="shared" si="112"/>
        <v>1261.709589041096</v>
      </c>
      <c r="R102" s="489">
        <f t="shared" si="113"/>
        <v>65.753424657534239</v>
      </c>
      <c r="S102" s="490">
        <f t="shared" si="114"/>
        <v>16350.800000000001</v>
      </c>
      <c r="T102" s="490">
        <f t="shared" si="115"/>
        <v>18957.496347031967</v>
      </c>
      <c r="U102" s="491">
        <f t="shared" si="116"/>
        <v>189.11</v>
      </c>
      <c r="V102" s="519"/>
      <c r="W102" s="519"/>
      <c r="X102" s="519"/>
      <c r="Y102" s="519"/>
      <c r="Z102" s="462">
        <f t="shared" si="117"/>
        <v>189.11</v>
      </c>
      <c r="AA102" s="462">
        <f t="shared" si="118"/>
        <v>3976.18</v>
      </c>
      <c r="AB102" s="489">
        <v>1000</v>
      </c>
    </row>
    <row r="103" spans="1:28" s="507" customFormat="1" ht="12" customHeight="1">
      <c r="A103" s="456">
        <v>39</v>
      </c>
      <c r="B103" s="536" t="s">
        <v>1361</v>
      </c>
      <c r="C103" s="521">
        <v>9901468431</v>
      </c>
      <c r="D103" s="459" t="s">
        <v>1362</v>
      </c>
      <c r="E103" s="460" t="s">
        <v>59</v>
      </c>
      <c r="F103" s="523">
        <v>31</v>
      </c>
      <c r="G103" s="560">
        <v>77.59</v>
      </c>
      <c r="H103" s="462">
        <f t="shared" si="107"/>
        <v>2405.29</v>
      </c>
      <c r="I103" s="462">
        <f t="shared" si="108"/>
        <v>9310.8000000000011</v>
      </c>
      <c r="J103" s="463">
        <v>4</v>
      </c>
      <c r="K103" s="464"/>
      <c r="L103" s="462">
        <f t="shared" si="109"/>
        <v>1760</v>
      </c>
      <c r="M103" s="462">
        <v>1510</v>
      </c>
      <c r="N103" s="462">
        <v>250</v>
      </c>
      <c r="O103" s="462">
        <f t="shared" si="110"/>
        <v>4165.29</v>
      </c>
      <c r="P103" s="488">
        <f t="shared" si="111"/>
        <v>1279.2333333333333</v>
      </c>
      <c r="Q103" s="489">
        <f t="shared" si="112"/>
        <v>1261.709589041096</v>
      </c>
      <c r="R103" s="489">
        <f t="shared" si="113"/>
        <v>65.753424657534239</v>
      </c>
      <c r="S103" s="490">
        <f t="shared" si="114"/>
        <v>16350.800000000001</v>
      </c>
      <c r="T103" s="490">
        <f t="shared" si="115"/>
        <v>18957.496347031967</v>
      </c>
      <c r="U103" s="491">
        <f t="shared" si="116"/>
        <v>189.11</v>
      </c>
      <c r="V103" s="519"/>
      <c r="W103" s="519"/>
      <c r="X103" s="519"/>
      <c r="Y103" s="519"/>
      <c r="Z103" s="462">
        <f t="shared" si="117"/>
        <v>189.11</v>
      </c>
      <c r="AA103" s="462">
        <f t="shared" si="118"/>
        <v>3976.18</v>
      </c>
      <c r="AB103" s="489">
        <v>1000</v>
      </c>
    </row>
    <row r="104" spans="1:28" s="507" customFormat="1" ht="12" customHeight="1">
      <c r="A104" s="456">
        <v>40</v>
      </c>
      <c r="B104" s="536" t="s">
        <v>1363</v>
      </c>
      <c r="C104" s="521">
        <v>9901443990</v>
      </c>
      <c r="D104" s="459" t="s">
        <v>1364</v>
      </c>
      <c r="E104" s="460" t="s">
        <v>59</v>
      </c>
      <c r="F104" s="523">
        <v>31</v>
      </c>
      <c r="G104" s="560">
        <v>77.59</v>
      </c>
      <c r="H104" s="462">
        <f t="shared" si="107"/>
        <v>2405.29</v>
      </c>
      <c r="I104" s="462">
        <f t="shared" si="108"/>
        <v>9310.8000000000011</v>
      </c>
      <c r="J104" s="463">
        <v>4</v>
      </c>
      <c r="K104" s="464"/>
      <c r="L104" s="462">
        <f t="shared" si="109"/>
        <v>1760</v>
      </c>
      <c r="M104" s="462">
        <v>1510</v>
      </c>
      <c r="N104" s="462">
        <v>250</v>
      </c>
      <c r="O104" s="462">
        <f t="shared" si="110"/>
        <v>4165.29</v>
      </c>
      <c r="P104" s="488">
        <f t="shared" si="111"/>
        <v>1279.2333333333333</v>
      </c>
      <c r="Q104" s="489">
        <f t="shared" si="112"/>
        <v>1261.709589041096</v>
      </c>
      <c r="R104" s="489">
        <f t="shared" si="113"/>
        <v>65.753424657534239</v>
      </c>
      <c r="S104" s="490">
        <f t="shared" si="114"/>
        <v>16350.800000000001</v>
      </c>
      <c r="T104" s="490">
        <f t="shared" si="115"/>
        <v>18957.496347031967</v>
      </c>
      <c r="U104" s="491">
        <f t="shared" si="116"/>
        <v>189.11</v>
      </c>
      <c r="V104" s="519"/>
      <c r="W104" s="519"/>
      <c r="X104" s="519"/>
      <c r="Y104" s="519"/>
      <c r="Z104" s="462">
        <f t="shared" si="117"/>
        <v>189.11</v>
      </c>
      <c r="AA104" s="462">
        <f t="shared" si="118"/>
        <v>3976.18</v>
      </c>
      <c r="AB104" s="489">
        <v>1000</v>
      </c>
    </row>
    <row r="105" spans="1:28" s="507" customFormat="1" ht="12" customHeight="1">
      <c r="A105" s="456">
        <v>41</v>
      </c>
      <c r="B105" s="536" t="s">
        <v>1365</v>
      </c>
      <c r="C105" s="521">
        <v>9901451094</v>
      </c>
      <c r="D105" s="459" t="s">
        <v>1366</v>
      </c>
      <c r="E105" s="460" t="s">
        <v>59</v>
      </c>
      <c r="F105" s="523">
        <v>31</v>
      </c>
      <c r="G105" s="560">
        <v>77.59</v>
      </c>
      <c r="H105" s="462">
        <f t="shared" si="107"/>
        <v>2405.29</v>
      </c>
      <c r="I105" s="462">
        <f t="shared" si="108"/>
        <v>9310.8000000000011</v>
      </c>
      <c r="J105" s="463">
        <v>4</v>
      </c>
      <c r="K105" s="464"/>
      <c r="L105" s="462">
        <f t="shared" si="109"/>
        <v>1760</v>
      </c>
      <c r="M105" s="462">
        <v>1510</v>
      </c>
      <c r="N105" s="462">
        <v>250</v>
      </c>
      <c r="O105" s="462">
        <f t="shared" si="110"/>
        <v>4165.29</v>
      </c>
      <c r="P105" s="488">
        <f t="shared" si="111"/>
        <v>1279.2333333333333</v>
      </c>
      <c r="Q105" s="489">
        <f t="shared" si="112"/>
        <v>1261.709589041096</v>
      </c>
      <c r="R105" s="489">
        <f t="shared" si="113"/>
        <v>65.753424657534239</v>
      </c>
      <c r="S105" s="490">
        <f t="shared" si="114"/>
        <v>16350.800000000001</v>
      </c>
      <c r="T105" s="490">
        <f t="shared" si="115"/>
        <v>18957.496347031967</v>
      </c>
      <c r="U105" s="491">
        <f t="shared" si="116"/>
        <v>189.11</v>
      </c>
      <c r="V105" s="519"/>
      <c r="W105" s="519"/>
      <c r="X105" s="519"/>
      <c r="Y105" s="519"/>
      <c r="Z105" s="462">
        <f t="shared" si="117"/>
        <v>189.11</v>
      </c>
      <c r="AA105" s="462">
        <f t="shared" si="118"/>
        <v>3976.18</v>
      </c>
      <c r="AB105" s="489">
        <v>1000</v>
      </c>
    </row>
    <row r="106" spans="1:28" s="507" customFormat="1" ht="12" customHeight="1">
      <c r="A106" s="456">
        <v>42</v>
      </c>
      <c r="B106" s="536" t="s">
        <v>1367</v>
      </c>
      <c r="C106" s="521">
        <v>9901443287</v>
      </c>
      <c r="D106" s="459" t="s">
        <v>1368</v>
      </c>
      <c r="E106" s="460" t="s">
        <v>59</v>
      </c>
      <c r="F106" s="523">
        <v>31</v>
      </c>
      <c r="G106" s="560">
        <v>77.59</v>
      </c>
      <c r="H106" s="462">
        <f t="shared" si="107"/>
        <v>2405.29</v>
      </c>
      <c r="I106" s="462">
        <f t="shared" si="108"/>
        <v>9310.8000000000011</v>
      </c>
      <c r="J106" s="463">
        <v>4</v>
      </c>
      <c r="K106" s="464"/>
      <c r="L106" s="462">
        <f t="shared" si="109"/>
        <v>1760</v>
      </c>
      <c r="M106" s="462">
        <v>1510</v>
      </c>
      <c r="N106" s="462">
        <v>250</v>
      </c>
      <c r="O106" s="462">
        <f t="shared" si="110"/>
        <v>4165.29</v>
      </c>
      <c r="P106" s="488">
        <f t="shared" si="111"/>
        <v>1279.2333333333333</v>
      </c>
      <c r="Q106" s="489">
        <f t="shared" si="112"/>
        <v>1261.709589041096</v>
      </c>
      <c r="R106" s="489">
        <f t="shared" si="113"/>
        <v>65.753424657534239</v>
      </c>
      <c r="S106" s="490">
        <f t="shared" si="114"/>
        <v>16350.800000000001</v>
      </c>
      <c r="T106" s="490">
        <f t="shared" si="115"/>
        <v>18957.496347031967</v>
      </c>
      <c r="U106" s="491">
        <f t="shared" si="116"/>
        <v>189.11</v>
      </c>
      <c r="V106" s="519"/>
      <c r="W106" s="519"/>
      <c r="X106" s="519"/>
      <c r="Y106" s="519"/>
      <c r="Z106" s="462">
        <f t="shared" si="117"/>
        <v>189.11</v>
      </c>
      <c r="AA106" s="462">
        <f t="shared" si="118"/>
        <v>3976.18</v>
      </c>
      <c r="AB106" s="489">
        <v>1000</v>
      </c>
    </row>
    <row r="107" spans="1:28" s="507" customFormat="1" ht="12" customHeight="1">
      <c r="A107" s="456">
        <v>43</v>
      </c>
      <c r="B107" s="536" t="s">
        <v>1369</v>
      </c>
      <c r="C107" s="521">
        <v>9901442552</v>
      </c>
      <c r="D107" s="459" t="s">
        <v>1370</v>
      </c>
      <c r="E107" s="460" t="s">
        <v>59</v>
      </c>
      <c r="F107" s="523">
        <v>31</v>
      </c>
      <c r="G107" s="560">
        <v>77.59</v>
      </c>
      <c r="H107" s="462">
        <f t="shared" si="107"/>
        <v>2405.29</v>
      </c>
      <c r="I107" s="462">
        <f t="shared" si="108"/>
        <v>9310.8000000000011</v>
      </c>
      <c r="J107" s="463">
        <v>4</v>
      </c>
      <c r="K107" s="464"/>
      <c r="L107" s="462">
        <f t="shared" si="109"/>
        <v>1760</v>
      </c>
      <c r="M107" s="462">
        <v>1510</v>
      </c>
      <c r="N107" s="462">
        <v>250</v>
      </c>
      <c r="O107" s="462">
        <f t="shared" si="110"/>
        <v>4165.29</v>
      </c>
      <c r="P107" s="488">
        <f t="shared" si="111"/>
        <v>1279.2333333333333</v>
      </c>
      <c r="Q107" s="489">
        <f t="shared" si="112"/>
        <v>1261.709589041096</v>
      </c>
      <c r="R107" s="489">
        <f t="shared" si="113"/>
        <v>65.753424657534239</v>
      </c>
      <c r="S107" s="490">
        <f t="shared" si="114"/>
        <v>16350.800000000001</v>
      </c>
      <c r="T107" s="490">
        <f t="shared" si="115"/>
        <v>18957.496347031967</v>
      </c>
      <c r="U107" s="491">
        <f t="shared" si="116"/>
        <v>189.11</v>
      </c>
      <c r="V107" s="519"/>
      <c r="W107" s="519"/>
      <c r="X107" s="519"/>
      <c r="Y107" s="519"/>
      <c r="Z107" s="462">
        <f t="shared" si="117"/>
        <v>189.11</v>
      </c>
      <c r="AA107" s="462">
        <f t="shared" si="118"/>
        <v>3976.18</v>
      </c>
      <c r="AB107" s="489">
        <v>1000</v>
      </c>
    </row>
    <row r="108" spans="1:28" s="507" customFormat="1" ht="12" customHeight="1">
      <c r="A108" s="456">
        <v>44</v>
      </c>
      <c r="B108" s="536" t="s">
        <v>1371</v>
      </c>
      <c r="C108" s="521">
        <v>9901563537</v>
      </c>
      <c r="D108" s="459" t="s">
        <v>1372</v>
      </c>
      <c r="E108" s="460" t="s">
        <v>59</v>
      </c>
      <c r="F108" s="523">
        <v>31</v>
      </c>
      <c r="G108" s="560">
        <v>77.59</v>
      </c>
      <c r="H108" s="462">
        <f t="shared" si="107"/>
        <v>2405.29</v>
      </c>
      <c r="I108" s="462">
        <f t="shared" si="108"/>
        <v>9310.8000000000011</v>
      </c>
      <c r="J108" s="463">
        <v>4</v>
      </c>
      <c r="K108" s="464"/>
      <c r="L108" s="462">
        <f t="shared" si="109"/>
        <v>1760</v>
      </c>
      <c r="M108" s="462">
        <v>1510</v>
      </c>
      <c r="N108" s="462">
        <v>250</v>
      </c>
      <c r="O108" s="462">
        <f t="shared" si="110"/>
        <v>4165.29</v>
      </c>
      <c r="P108" s="488">
        <f t="shared" si="111"/>
        <v>1279.2333333333333</v>
      </c>
      <c r="Q108" s="489">
        <f t="shared" si="112"/>
        <v>1261.709589041096</v>
      </c>
      <c r="R108" s="489">
        <f t="shared" si="113"/>
        <v>65.753424657534239</v>
      </c>
      <c r="S108" s="490">
        <f t="shared" si="114"/>
        <v>16350.800000000001</v>
      </c>
      <c r="T108" s="490">
        <f t="shared" si="115"/>
        <v>18957.496347031967</v>
      </c>
      <c r="U108" s="491">
        <f t="shared" si="116"/>
        <v>189.11</v>
      </c>
      <c r="V108" s="519"/>
      <c r="W108" s="519"/>
      <c r="X108" s="519"/>
      <c r="Y108" s="519"/>
      <c r="Z108" s="462">
        <f t="shared" si="117"/>
        <v>189.11</v>
      </c>
      <c r="AA108" s="462">
        <f t="shared" si="118"/>
        <v>3976.18</v>
      </c>
      <c r="AB108" s="489">
        <v>1000</v>
      </c>
    </row>
    <row r="109" spans="1:28" s="507" customFormat="1" ht="12" customHeight="1">
      <c r="A109" s="456">
        <v>45</v>
      </c>
      <c r="B109" s="536" t="s">
        <v>1373</v>
      </c>
      <c r="C109" s="521">
        <v>9901451098</v>
      </c>
      <c r="D109" s="459" t="s">
        <v>1374</v>
      </c>
      <c r="E109" s="460" t="s">
        <v>59</v>
      </c>
      <c r="F109" s="523">
        <v>31</v>
      </c>
      <c r="G109" s="560">
        <v>77.59</v>
      </c>
      <c r="H109" s="462">
        <f t="shared" si="107"/>
        <v>2405.29</v>
      </c>
      <c r="I109" s="462">
        <f t="shared" si="108"/>
        <v>9310.8000000000011</v>
      </c>
      <c r="J109" s="463">
        <v>4</v>
      </c>
      <c r="K109" s="464"/>
      <c r="L109" s="462">
        <f t="shared" si="109"/>
        <v>1760</v>
      </c>
      <c r="M109" s="462">
        <v>1510</v>
      </c>
      <c r="N109" s="462">
        <v>250</v>
      </c>
      <c r="O109" s="462">
        <f t="shared" si="110"/>
        <v>4165.29</v>
      </c>
      <c r="P109" s="488">
        <f t="shared" si="111"/>
        <v>1279.2333333333333</v>
      </c>
      <c r="Q109" s="489">
        <f t="shared" si="112"/>
        <v>1261.709589041096</v>
      </c>
      <c r="R109" s="489">
        <f t="shared" si="113"/>
        <v>65.753424657534239</v>
      </c>
      <c r="S109" s="490">
        <f t="shared" si="114"/>
        <v>16350.800000000001</v>
      </c>
      <c r="T109" s="490">
        <f t="shared" si="115"/>
        <v>18957.496347031967</v>
      </c>
      <c r="U109" s="491">
        <f t="shared" si="116"/>
        <v>189.11</v>
      </c>
      <c r="V109" s="519"/>
      <c r="W109" s="519"/>
      <c r="X109" s="519"/>
      <c r="Y109" s="519"/>
      <c r="Z109" s="462">
        <f t="shared" si="117"/>
        <v>189.11</v>
      </c>
      <c r="AA109" s="462">
        <f t="shared" si="118"/>
        <v>3976.18</v>
      </c>
      <c r="AB109" s="489">
        <v>1000</v>
      </c>
    </row>
    <row r="110" spans="1:28" s="507" customFormat="1" ht="12" customHeight="1">
      <c r="A110" s="456">
        <v>46</v>
      </c>
      <c r="B110" s="536" t="s">
        <v>1375</v>
      </c>
      <c r="C110" s="521">
        <v>9901451024</v>
      </c>
      <c r="D110" s="459" t="s">
        <v>1376</v>
      </c>
      <c r="E110" s="460" t="s">
        <v>59</v>
      </c>
      <c r="F110" s="523">
        <v>31</v>
      </c>
      <c r="G110" s="560">
        <v>77.59</v>
      </c>
      <c r="H110" s="462">
        <f t="shared" si="107"/>
        <v>2405.29</v>
      </c>
      <c r="I110" s="462">
        <f t="shared" si="108"/>
        <v>9310.8000000000011</v>
      </c>
      <c r="J110" s="463">
        <v>4</v>
      </c>
      <c r="K110" s="464"/>
      <c r="L110" s="462">
        <f t="shared" si="109"/>
        <v>1760</v>
      </c>
      <c r="M110" s="462">
        <v>1510</v>
      </c>
      <c r="N110" s="462">
        <v>250</v>
      </c>
      <c r="O110" s="462">
        <f t="shared" si="110"/>
        <v>4165.29</v>
      </c>
      <c r="P110" s="488">
        <f t="shared" si="111"/>
        <v>1279.2333333333333</v>
      </c>
      <c r="Q110" s="489">
        <f t="shared" si="112"/>
        <v>1261.709589041096</v>
      </c>
      <c r="R110" s="489">
        <f t="shared" si="113"/>
        <v>65.753424657534239</v>
      </c>
      <c r="S110" s="490">
        <f t="shared" si="114"/>
        <v>16350.800000000001</v>
      </c>
      <c r="T110" s="490">
        <f t="shared" si="115"/>
        <v>18957.496347031967</v>
      </c>
      <c r="U110" s="491">
        <f t="shared" si="116"/>
        <v>189.11</v>
      </c>
      <c r="V110" s="519"/>
      <c r="W110" s="519"/>
      <c r="X110" s="519"/>
      <c r="Y110" s="519"/>
      <c r="Z110" s="462">
        <f t="shared" si="117"/>
        <v>189.11</v>
      </c>
      <c r="AA110" s="462">
        <f t="shared" si="118"/>
        <v>3976.18</v>
      </c>
      <c r="AB110" s="489">
        <v>1000</v>
      </c>
    </row>
    <row r="111" spans="1:28" s="507" customFormat="1" ht="12" customHeight="1">
      <c r="A111" s="456">
        <v>47</v>
      </c>
      <c r="B111" s="536" t="s">
        <v>1377</v>
      </c>
      <c r="C111" s="521">
        <v>9901443572</v>
      </c>
      <c r="D111" s="459" t="s">
        <v>1378</v>
      </c>
      <c r="E111" s="460" t="s">
        <v>59</v>
      </c>
      <c r="F111" s="523">
        <v>31</v>
      </c>
      <c r="G111" s="560">
        <v>77.59</v>
      </c>
      <c r="H111" s="462">
        <f t="shared" si="107"/>
        <v>2405.29</v>
      </c>
      <c r="I111" s="462">
        <f t="shared" si="108"/>
        <v>9310.8000000000011</v>
      </c>
      <c r="J111" s="463">
        <v>4</v>
      </c>
      <c r="K111" s="464"/>
      <c r="L111" s="462">
        <f t="shared" si="109"/>
        <v>1760</v>
      </c>
      <c r="M111" s="462">
        <v>1510</v>
      </c>
      <c r="N111" s="462">
        <v>250</v>
      </c>
      <c r="O111" s="462">
        <f t="shared" si="110"/>
        <v>4165.29</v>
      </c>
      <c r="P111" s="488">
        <f t="shared" si="111"/>
        <v>1279.2333333333333</v>
      </c>
      <c r="Q111" s="489">
        <f t="shared" si="112"/>
        <v>1261.709589041096</v>
      </c>
      <c r="R111" s="489">
        <f t="shared" si="113"/>
        <v>65.753424657534239</v>
      </c>
      <c r="S111" s="490">
        <f t="shared" si="114"/>
        <v>16350.800000000001</v>
      </c>
      <c r="T111" s="490">
        <f t="shared" si="115"/>
        <v>18957.496347031967</v>
      </c>
      <c r="U111" s="491">
        <f t="shared" si="116"/>
        <v>189.11</v>
      </c>
      <c r="V111" s="519"/>
      <c r="W111" s="519"/>
      <c r="X111" s="519"/>
      <c r="Y111" s="519"/>
      <c r="Z111" s="462">
        <f t="shared" si="117"/>
        <v>189.11</v>
      </c>
      <c r="AA111" s="462">
        <f t="shared" si="118"/>
        <v>3976.18</v>
      </c>
      <c r="AB111" s="489">
        <v>1000</v>
      </c>
    </row>
    <row r="112" spans="1:28" s="507" customFormat="1" ht="12" customHeight="1">
      <c r="A112" s="456">
        <v>48</v>
      </c>
      <c r="B112" s="536" t="s">
        <v>1379</v>
      </c>
      <c r="C112" s="521">
        <v>9901450997</v>
      </c>
      <c r="D112" s="459" t="s">
        <v>1380</v>
      </c>
      <c r="E112" s="460" t="s">
        <v>59</v>
      </c>
      <c r="F112" s="523">
        <v>31</v>
      </c>
      <c r="G112" s="560">
        <v>77.59</v>
      </c>
      <c r="H112" s="462">
        <f t="shared" si="107"/>
        <v>2405.29</v>
      </c>
      <c r="I112" s="462">
        <f t="shared" si="108"/>
        <v>9310.8000000000011</v>
      </c>
      <c r="J112" s="463">
        <v>4</v>
      </c>
      <c r="K112" s="464"/>
      <c r="L112" s="462">
        <f t="shared" si="109"/>
        <v>1760</v>
      </c>
      <c r="M112" s="462">
        <v>1510</v>
      </c>
      <c r="N112" s="462">
        <v>250</v>
      </c>
      <c r="O112" s="462">
        <f t="shared" si="110"/>
        <v>4165.29</v>
      </c>
      <c r="P112" s="488">
        <f t="shared" si="111"/>
        <v>1279.2333333333333</v>
      </c>
      <c r="Q112" s="489">
        <f t="shared" si="112"/>
        <v>1261.709589041096</v>
      </c>
      <c r="R112" s="489">
        <f t="shared" si="113"/>
        <v>65.753424657534239</v>
      </c>
      <c r="S112" s="490">
        <f t="shared" si="114"/>
        <v>16350.800000000001</v>
      </c>
      <c r="T112" s="490">
        <f t="shared" si="115"/>
        <v>18957.496347031967</v>
      </c>
      <c r="U112" s="491">
        <f t="shared" si="116"/>
        <v>189.11</v>
      </c>
      <c r="V112" s="519"/>
      <c r="W112" s="519"/>
      <c r="X112" s="519"/>
      <c r="Y112" s="519"/>
      <c r="Z112" s="462">
        <f t="shared" si="117"/>
        <v>189.11</v>
      </c>
      <c r="AA112" s="462">
        <f t="shared" si="118"/>
        <v>3976.18</v>
      </c>
      <c r="AB112" s="489">
        <v>1000</v>
      </c>
    </row>
    <row r="113" spans="1:28" s="507" customFormat="1" ht="12" customHeight="1">
      <c r="A113" s="456">
        <v>49</v>
      </c>
      <c r="B113" s="536" t="s">
        <v>1381</v>
      </c>
      <c r="C113" s="521">
        <v>9901468445</v>
      </c>
      <c r="D113" s="459" t="s">
        <v>1382</v>
      </c>
      <c r="E113" s="460" t="s">
        <v>59</v>
      </c>
      <c r="F113" s="523">
        <v>31</v>
      </c>
      <c r="G113" s="560">
        <v>77.59</v>
      </c>
      <c r="H113" s="462">
        <f t="shared" si="107"/>
        <v>2405.29</v>
      </c>
      <c r="I113" s="462">
        <f t="shared" si="108"/>
        <v>9310.8000000000011</v>
      </c>
      <c r="J113" s="463">
        <v>4</v>
      </c>
      <c r="K113" s="464"/>
      <c r="L113" s="462">
        <f t="shared" si="109"/>
        <v>1760</v>
      </c>
      <c r="M113" s="462">
        <v>1510</v>
      </c>
      <c r="N113" s="462">
        <v>250</v>
      </c>
      <c r="O113" s="462">
        <f t="shared" si="110"/>
        <v>4165.29</v>
      </c>
      <c r="P113" s="488">
        <f t="shared" si="111"/>
        <v>1279.2333333333333</v>
      </c>
      <c r="Q113" s="489">
        <f t="shared" si="112"/>
        <v>1261.709589041096</v>
      </c>
      <c r="R113" s="489">
        <f t="shared" si="113"/>
        <v>65.753424657534239</v>
      </c>
      <c r="S113" s="490">
        <f t="shared" si="114"/>
        <v>16350.800000000001</v>
      </c>
      <c r="T113" s="490">
        <f t="shared" si="115"/>
        <v>18957.496347031967</v>
      </c>
      <c r="U113" s="491">
        <f t="shared" si="116"/>
        <v>189.11</v>
      </c>
      <c r="V113" s="519"/>
      <c r="W113" s="519"/>
      <c r="X113" s="519"/>
      <c r="Y113" s="519"/>
      <c r="Z113" s="462">
        <f t="shared" si="117"/>
        <v>189.11</v>
      </c>
      <c r="AA113" s="462">
        <f t="shared" si="118"/>
        <v>3976.18</v>
      </c>
      <c r="AB113" s="489">
        <v>1000</v>
      </c>
    </row>
    <row r="114" spans="1:28" s="507" customFormat="1" ht="12" customHeight="1">
      <c r="A114" s="456">
        <v>50</v>
      </c>
      <c r="B114" s="536" t="s">
        <v>1383</v>
      </c>
      <c r="C114" s="521">
        <v>9901468439</v>
      </c>
      <c r="D114" s="459" t="s">
        <v>1384</v>
      </c>
      <c r="E114" s="460" t="s">
        <v>59</v>
      </c>
      <c r="F114" s="523">
        <v>31</v>
      </c>
      <c r="G114" s="560">
        <v>77.59</v>
      </c>
      <c r="H114" s="462">
        <f t="shared" si="107"/>
        <v>2405.29</v>
      </c>
      <c r="I114" s="462">
        <f t="shared" si="108"/>
        <v>9310.8000000000011</v>
      </c>
      <c r="J114" s="463">
        <v>4</v>
      </c>
      <c r="K114" s="464"/>
      <c r="L114" s="462">
        <f t="shared" si="109"/>
        <v>1760</v>
      </c>
      <c r="M114" s="462">
        <v>1510</v>
      </c>
      <c r="N114" s="462">
        <v>250</v>
      </c>
      <c r="O114" s="462">
        <f t="shared" si="110"/>
        <v>4165.29</v>
      </c>
      <c r="P114" s="488">
        <f t="shared" si="111"/>
        <v>1279.2333333333333</v>
      </c>
      <c r="Q114" s="489">
        <f t="shared" si="112"/>
        <v>1261.709589041096</v>
      </c>
      <c r="R114" s="489">
        <f t="shared" si="113"/>
        <v>65.753424657534239</v>
      </c>
      <c r="S114" s="490">
        <f t="shared" si="114"/>
        <v>16350.800000000001</v>
      </c>
      <c r="T114" s="490">
        <f t="shared" si="115"/>
        <v>18957.496347031967</v>
      </c>
      <c r="U114" s="491">
        <f t="shared" si="116"/>
        <v>189.11</v>
      </c>
      <c r="V114" s="519"/>
      <c r="W114" s="519"/>
      <c r="X114" s="519"/>
      <c r="Y114" s="519"/>
      <c r="Z114" s="462">
        <f t="shared" si="117"/>
        <v>189.11</v>
      </c>
      <c r="AA114" s="462">
        <f t="shared" si="118"/>
        <v>3976.18</v>
      </c>
      <c r="AB114" s="489">
        <v>1000</v>
      </c>
    </row>
    <row r="115" spans="1:28" s="507" customFormat="1" ht="12" customHeight="1">
      <c r="A115" s="456">
        <v>51</v>
      </c>
      <c r="B115" s="536" t="s">
        <v>1385</v>
      </c>
      <c r="C115" s="521">
        <v>9901443389</v>
      </c>
      <c r="D115" s="459" t="s">
        <v>1386</v>
      </c>
      <c r="E115" s="460" t="s">
        <v>59</v>
      </c>
      <c r="F115" s="523">
        <v>31</v>
      </c>
      <c r="G115" s="560">
        <v>77.59</v>
      </c>
      <c r="H115" s="462">
        <f t="shared" si="107"/>
        <v>2405.29</v>
      </c>
      <c r="I115" s="462">
        <f t="shared" si="108"/>
        <v>9310.8000000000011</v>
      </c>
      <c r="J115" s="463">
        <v>4</v>
      </c>
      <c r="K115" s="464"/>
      <c r="L115" s="462">
        <f t="shared" si="109"/>
        <v>1760</v>
      </c>
      <c r="M115" s="462">
        <v>1510</v>
      </c>
      <c r="N115" s="462">
        <v>250</v>
      </c>
      <c r="O115" s="462">
        <f t="shared" si="110"/>
        <v>4165.29</v>
      </c>
      <c r="P115" s="488">
        <f t="shared" si="111"/>
        <v>1279.2333333333333</v>
      </c>
      <c r="Q115" s="489">
        <f t="shared" si="112"/>
        <v>1261.709589041096</v>
      </c>
      <c r="R115" s="489">
        <f t="shared" si="113"/>
        <v>65.753424657534239</v>
      </c>
      <c r="S115" s="490">
        <f t="shared" si="114"/>
        <v>16350.800000000001</v>
      </c>
      <c r="T115" s="490">
        <f t="shared" si="115"/>
        <v>18957.496347031967</v>
      </c>
      <c r="U115" s="491">
        <f t="shared" si="116"/>
        <v>189.11</v>
      </c>
      <c r="V115" s="519"/>
      <c r="W115" s="519"/>
      <c r="X115" s="519"/>
      <c r="Y115" s="519"/>
      <c r="Z115" s="462">
        <f t="shared" si="117"/>
        <v>189.11</v>
      </c>
      <c r="AA115" s="462">
        <f t="shared" si="118"/>
        <v>3976.18</v>
      </c>
      <c r="AB115" s="489">
        <v>1000</v>
      </c>
    </row>
    <row r="116" spans="1:28" s="507" customFormat="1" ht="12" customHeight="1">
      <c r="A116" s="456">
        <v>52</v>
      </c>
      <c r="B116" s="536" t="s">
        <v>1387</v>
      </c>
      <c r="C116" s="521">
        <v>9901468442</v>
      </c>
      <c r="D116" s="459" t="s">
        <v>1388</v>
      </c>
      <c r="E116" s="460" t="s">
        <v>59</v>
      </c>
      <c r="F116" s="523">
        <v>31</v>
      </c>
      <c r="G116" s="560">
        <v>77.59</v>
      </c>
      <c r="H116" s="462">
        <f t="shared" si="107"/>
        <v>2405.29</v>
      </c>
      <c r="I116" s="462">
        <f t="shared" si="108"/>
        <v>9310.8000000000011</v>
      </c>
      <c r="J116" s="463">
        <v>4</v>
      </c>
      <c r="K116" s="464"/>
      <c r="L116" s="462">
        <f t="shared" si="109"/>
        <v>1760</v>
      </c>
      <c r="M116" s="462">
        <v>1510</v>
      </c>
      <c r="N116" s="462">
        <v>250</v>
      </c>
      <c r="O116" s="462">
        <f t="shared" si="110"/>
        <v>4165.29</v>
      </c>
      <c r="P116" s="488">
        <f t="shared" si="111"/>
        <v>1279.2333333333333</v>
      </c>
      <c r="Q116" s="489">
        <f t="shared" si="112"/>
        <v>1261.709589041096</v>
      </c>
      <c r="R116" s="489">
        <f t="shared" si="113"/>
        <v>65.753424657534239</v>
      </c>
      <c r="S116" s="490">
        <f t="shared" si="114"/>
        <v>16350.800000000001</v>
      </c>
      <c r="T116" s="490">
        <f t="shared" si="115"/>
        <v>18957.496347031967</v>
      </c>
      <c r="U116" s="491">
        <f t="shared" si="116"/>
        <v>189.11</v>
      </c>
      <c r="V116" s="519"/>
      <c r="W116" s="519"/>
      <c r="X116" s="519"/>
      <c r="Y116" s="519"/>
      <c r="Z116" s="462">
        <f t="shared" si="117"/>
        <v>189.11</v>
      </c>
      <c r="AA116" s="462">
        <f t="shared" si="118"/>
        <v>3976.18</v>
      </c>
      <c r="AB116" s="489">
        <v>1000</v>
      </c>
    </row>
    <row r="117" spans="1:28" s="507" customFormat="1" ht="12" customHeight="1">
      <c r="A117" s="456">
        <v>53</v>
      </c>
      <c r="B117" s="536" t="s">
        <v>1389</v>
      </c>
      <c r="C117" s="521">
        <v>9901443387</v>
      </c>
      <c r="D117" s="459" t="s">
        <v>1390</v>
      </c>
      <c r="E117" s="460" t="s">
        <v>59</v>
      </c>
      <c r="F117" s="523">
        <v>31</v>
      </c>
      <c r="G117" s="560">
        <v>77.59</v>
      </c>
      <c r="H117" s="462">
        <f t="shared" si="107"/>
        <v>2405.29</v>
      </c>
      <c r="I117" s="462">
        <f t="shared" si="108"/>
        <v>9310.8000000000011</v>
      </c>
      <c r="J117" s="463">
        <v>4</v>
      </c>
      <c r="K117" s="464"/>
      <c r="L117" s="462">
        <f t="shared" si="109"/>
        <v>1760</v>
      </c>
      <c r="M117" s="462">
        <v>1510</v>
      </c>
      <c r="N117" s="462">
        <v>250</v>
      </c>
      <c r="O117" s="462">
        <f t="shared" si="110"/>
        <v>4165.29</v>
      </c>
      <c r="P117" s="488">
        <f t="shared" si="111"/>
        <v>1279.2333333333333</v>
      </c>
      <c r="Q117" s="489">
        <f t="shared" si="112"/>
        <v>1261.709589041096</v>
      </c>
      <c r="R117" s="489">
        <f t="shared" si="113"/>
        <v>65.753424657534239</v>
      </c>
      <c r="S117" s="490">
        <f t="shared" si="114"/>
        <v>16350.800000000001</v>
      </c>
      <c r="T117" s="490">
        <f t="shared" si="115"/>
        <v>18957.496347031967</v>
      </c>
      <c r="U117" s="491">
        <f t="shared" si="116"/>
        <v>189.11</v>
      </c>
      <c r="V117" s="519"/>
      <c r="W117" s="519"/>
      <c r="X117" s="519"/>
      <c r="Y117" s="519"/>
      <c r="Z117" s="462">
        <f t="shared" si="117"/>
        <v>189.11</v>
      </c>
      <c r="AA117" s="462">
        <f t="shared" si="118"/>
        <v>3976.18</v>
      </c>
      <c r="AB117" s="489">
        <v>1000</v>
      </c>
    </row>
    <row r="118" spans="1:28" s="507" customFormat="1" ht="12" customHeight="1">
      <c r="A118" s="456">
        <v>54</v>
      </c>
      <c r="B118" s="536" t="s">
        <v>1391</v>
      </c>
      <c r="C118" s="521">
        <v>9901451077</v>
      </c>
      <c r="D118" s="459" t="s">
        <v>1392</v>
      </c>
      <c r="E118" s="460" t="s">
        <v>59</v>
      </c>
      <c r="F118" s="523">
        <v>31</v>
      </c>
      <c r="G118" s="560">
        <v>77.59</v>
      </c>
      <c r="H118" s="462">
        <f t="shared" si="107"/>
        <v>2405.29</v>
      </c>
      <c r="I118" s="462">
        <f t="shared" si="108"/>
        <v>9310.8000000000011</v>
      </c>
      <c r="J118" s="463">
        <v>4</v>
      </c>
      <c r="K118" s="464"/>
      <c r="L118" s="462">
        <f t="shared" si="109"/>
        <v>1760</v>
      </c>
      <c r="M118" s="462">
        <v>1510</v>
      </c>
      <c r="N118" s="462">
        <v>250</v>
      </c>
      <c r="O118" s="462">
        <f t="shared" si="110"/>
        <v>4165.29</v>
      </c>
      <c r="P118" s="488">
        <f t="shared" si="111"/>
        <v>1279.2333333333333</v>
      </c>
      <c r="Q118" s="489">
        <f t="shared" si="112"/>
        <v>1261.709589041096</v>
      </c>
      <c r="R118" s="489">
        <f t="shared" si="113"/>
        <v>65.753424657534239</v>
      </c>
      <c r="S118" s="490">
        <f t="shared" si="114"/>
        <v>16350.800000000001</v>
      </c>
      <c r="T118" s="490">
        <f t="shared" si="115"/>
        <v>18957.496347031967</v>
      </c>
      <c r="U118" s="491">
        <f t="shared" si="116"/>
        <v>189.11</v>
      </c>
      <c r="V118" s="519"/>
      <c r="W118" s="519"/>
      <c r="X118" s="519"/>
      <c r="Y118" s="519"/>
      <c r="Z118" s="462">
        <f t="shared" si="117"/>
        <v>189.11</v>
      </c>
      <c r="AA118" s="462">
        <f t="shared" si="118"/>
        <v>3976.18</v>
      </c>
      <c r="AB118" s="489">
        <v>1000</v>
      </c>
    </row>
    <row r="119" spans="1:28" s="507" customFormat="1" ht="12" customHeight="1">
      <c r="A119" s="456">
        <v>55</v>
      </c>
      <c r="B119" s="536" t="s">
        <v>1393</v>
      </c>
      <c r="C119" s="521">
        <v>9901451040</v>
      </c>
      <c r="D119" s="459" t="s">
        <v>1394</v>
      </c>
      <c r="E119" s="460" t="s">
        <v>61</v>
      </c>
      <c r="F119" s="523">
        <v>31</v>
      </c>
      <c r="G119" s="560">
        <v>77.59</v>
      </c>
      <c r="H119" s="462">
        <f t="shared" si="107"/>
        <v>2405.29</v>
      </c>
      <c r="I119" s="462">
        <f t="shared" si="108"/>
        <v>9310.8000000000011</v>
      </c>
      <c r="J119" s="463">
        <v>4</v>
      </c>
      <c r="K119" s="464"/>
      <c r="L119" s="462">
        <f t="shared" si="109"/>
        <v>1760</v>
      </c>
      <c r="M119" s="462">
        <v>1510</v>
      </c>
      <c r="N119" s="462">
        <v>250</v>
      </c>
      <c r="O119" s="462">
        <f t="shared" si="110"/>
        <v>4165.29</v>
      </c>
      <c r="P119" s="488">
        <f t="shared" si="111"/>
        <v>1279.2333333333333</v>
      </c>
      <c r="Q119" s="489">
        <f t="shared" si="112"/>
        <v>1261.709589041096</v>
      </c>
      <c r="R119" s="489">
        <f t="shared" si="113"/>
        <v>65.753424657534239</v>
      </c>
      <c r="S119" s="490">
        <f t="shared" si="114"/>
        <v>16350.800000000001</v>
      </c>
      <c r="T119" s="490">
        <f t="shared" si="115"/>
        <v>18957.496347031967</v>
      </c>
      <c r="U119" s="491">
        <f t="shared" si="116"/>
        <v>189.11</v>
      </c>
      <c r="V119" s="519"/>
      <c r="W119" s="519"/>
      <c r="X119" s="519"/>
      <c r="Y119" s="519"/>
      <c r="Z119" s="462">
        <f t="shared" si="117"/>
        <v>189.11</v>
      </c>
      <c r="AA119" s="462">
        <f t="shared" si="118"/>
        <v>3976.18</v>
      </c>
      <c r="AB119" s="489">
        <v>1000</v>
      </c>
    </row>
    <row r="120" spans="1:28" s="507" customFormat="1" ht="12" customHeight="1">
      <c r="A120" s="456">
        <v>56</v>
      </c>
      <c r="B120" s="536" t="s">
        <v>1395</v>
      </c>
      <c r="C120" s="521">
        <v>9901468410</v>
      </c>
      <c r="D120" s="459" t="s">
        <v>1396</v>
      </c>
      <c r="E120" s="460" t="s">
        <v>61</v>
      </c>
      <c r="F120" s="523">
        <v>31</v>
      </c>
      <c r="G120" s="560">
        <v>77.59</v>
      </c>
      <c r="H120" s="462">
        <f t="shared" si="107"/>
        <v>2405.29</v>
      </c>
      <c r="I120" s="462">
        <f t="shared" si="108"/>
        <v>9310.8000000000011</v>
      </c>
      <c r="J120" s="463">
        <v>4</v>
      </c>
      <c r="K120" s="464"/>
      <c r="L120" s="462">
        <f t="shared" si="109"/>
        <v>1760</v>
      </c>
      <c r="M120" s="462">
        <v>1510</v>
      </c>
      <c r="N120" s="462">
        <v>250</v>
      </c>
      <c r="O120" s="462">
        <f t="shared" si="110"/>
        <v>4165.29</v>
      </c>
      <c r="P120" s="488">
        <f t="shared" si="111"/>
        <v>1279.2333333333333</v>
      </c>
      <c r="Q120" s="489">
        <f t="shared" si="112"/>
        <v>1261.709589041096</v>
      </c>
      <c r="R120" s="489">
        <f t="shared" si="113"/>
        <v>65.753424657534239</v>
      </c>
      <c r="S120" s="490">
        <f t="shared" si="114"/>
        <v>16350.800000000001</v>
      </c>
      <c r="T120" s="490">
        <f t="shared" si="115"/>
        <v>18957.496347031967</v>
      </c>
      <c r="U120" s="491">
        <f t="shared" si="116"/>
        <v>189.11</v>
      </c>
      <c r="V120" s="519"/>
      <c r="W120" s="519"/>
      <c r="X120" s="519"/>
      <c r="Y120" s="519"/>
      <c r="Z120" s="462">
        <f t="shared" si="117"/>
        <v>189.11</v>
      </c>
      <c r="AA120" s="462">
        <f t="shared" si="118"/>
        <v>3976.18</v>
      </c>
      <c r="AB120" s="489">
        <v>1000</v>
      </c>
    </row>
    <row r="121" spans="1:28" s="507" customFormat="1" ht="12" customHeight="1">
      <c r="A121" s="456">
        <v>57</v>
      </c>
      <c r="B121" s="536" t="s">
        <v>1397</v>
      </c>
      <c r="C121" s="521">
        <v>9901563538</v>
      </c>
      <c r="D121" s="459" t="s">
        <v>1398</v>
      </c>
      <c r="E121" s="460" t="s">
        <v>61</v>
      </c>
      <c r="F121" s="523">
        <v>31</v>
      </c>
      <c r="G121" s="560">
        <v>77.59</v>
      </c>
      <c r="H121" s="462">
        <f t="shared" si="107"/>
        <v>2405.29</v>
      </c>
      <c r="I121" s="462">
        <f t="shared" si="108"/>
        <v>9310.8000000000011</v>
      </c>
      <c r="J121" s="463">
        <v>4</v>
      </c>
      <c r="K121" s="464"/>
      <c r="L121" s="462">
        <f t="shared" si="109"/>
        <v>1760</v>
      </c>
      <c r="M121" s="462">
        <v>1510</v>
      </c>
      <c r="N121" s="462">
        <v>250</v>
      </c>
      <c r="O121" s="462">
        <f t="shared" si="110"/>
        <v>4165.29</v>
      </c>
      <c r="P121" s="488">
        <f t="shared" si="111"/>
        <v>1279.2333333333333</v>
      </c>
      <c r="Q121" s="489">
        <f t="shared" si="112"/>
        <v>1261.709589041096</v>
      </c>
      <c r="R121" s="489">
        <f t="shared" si="113"/>
        <v>65.753424657534239</v>
      </c>
      <c r="S121" s="490">
        <f t="shared" si="114"/>
        <v>16350.800000000001</v>
      </c>
      <c r="T121" s="490">
        <f t="shared" si="115"/>
        <v>18957.496347031967</v>
      </c>
      <c r="U121" s="491">
        <f t="shared" si="116"/>
        <v>189.11</v>
      </c>
      <c r="V121" s="519"/>
      <c r="W121" s="519"/>
      <c r="X121" s="519"/>
      <c r="Y121" s="519"/>
      <c r="Z121" s="462">
        <f t="shared" si="117"/>
        <v>189.11</v>
      </c>
      <c r="AA121" s="462">
        <f t="shared" si="118"/>
        <v>3976.18</v>
      </c>
      <c r="AB121" s="489">
        <v>1000</v>
      </c>
    </row>
    <row r="122" spans="1:28" s="507" customFormat="1" ht="12" customHeight="1">
      <c r="A122" s="456">
        <v>58</v>
      </c>
      <c r="B122" s="536" t="s">
        <v>1399</v>
      </c>
      <c r="C122" s="521">
        <v>9901442500</v>
      </c>
      <c r="D122" s="459" t="s">
        <v>1400</v>
      </c>
      <c r="E122" s="460" t="s">
        <v>136</v>
      </c>
      <c r="F122" s="523">
        <v>31</v>
      </c>
      <c r="G122" s="560">
        <v>75.64</v>
      </c>
      <c r="H122" s="462">
        <f t="shared" si="107"/>
        <v>2344.84</v>
      </c>
      <c r="I122" s="462">
        <f t="shared" si="108"/>
        <v>9076.7999999999993</v>
      </c>
      <c r="J122" s="463">
        <v>4</v>
      </c>
      <c r="K122" s="464"/>
      <c r="L122" s="462">
        <f t="shared" si="109"/>
        <v>1760</v>
      </c>
      <c r="M122" s="462">
        <v>1510</v>
      </c>
      <c r="N122" s="462">
        <v>250</v>
      </c>
      <c r="O122" s="462">
        <f t="shared" si="110"/>
        <v>4104.84</v>
      </c>
      <c r="P122" s="488">
        <f t="shared" si="111"/>
        <v>1259.7333333333333</v>
      </c>
      <c r="Q122" s="489">
        <f t="shared" si="112"/>
        <v>1242.476712328767</v>
      </c>
      <c r="R122" s="489">
        <f t="shared" si="113"/>
        <v>65.753424657534239</v>
      </c>
      <c r="S122" s="490">
        <f t="shared" si="114"/>
        <v>16116.8</v>
      </c>
      <c r="T122" s="490">
        <f t="shared" si="115"/>
        <v>18684.763470319635</v>
      </c>
      <c r="U122" s="491">
        <f t="shared" si="116"/>
        <v>186.19</v>
      </c>
      <c r="V122" s="519"/>
      <c r="W122" s="519"/>
      <c r="X122" s="519"/>
      <c r="Y122" s="519"/>
      <c r="Z122" s="462">
        <f t="shared" si="117"/>
        <v>186.19</v>
      </c>
      <c r="AA122" s="462">
        <f t="shared" si="118"/>
        <v>3918.65</v>
      </c>
      <c r="AB122" s="489">
        <v>1000</v>
      </c>
    </row>
    <row r="123" spans="1:28" s="507" customFormat="1" ht="12" customHeight="1">
      <c r="A123" s="456">
        <v>59</v>
      </c>
      <c r="B123" s="536" t="s">
        <v>1401</v>
      </c>
      <c r="C123" s="521">
        <v>9901563540</v>
      </c>
      <c r="D123" s="459" t="s">
        <v>1402</v>
      </c>
      <c r="E123" s="460" t="s">
        <v>38</v>
      </c>
      <c r="F123" s="523">
        <v>31</v>
      </c>
      <c r="G123" s="560">
        <v>71.400000000000006</v>
      </c>
      <c r="H123" s="462">
        <f t="shared" si="107"/>
        <v>2213.4</v>
      </c>
      <c r="I123" s="462">
        <f t="shared" si="108"/>
        <v>8568</v>
      </c>
      <c r="J123" s="463">
        <v>4</v>
      </c>
      <c r="K123" s="464"/>
      <c r="L123" s="462">
        <f t="shared" si="109"/>
        <v>1760</v>
      </c>
      <c r="M123" s="462">
        <v>1510</v>
      </c>
      <c r="N123" s="462">
        <v>250</v>
      </c>
      <c r="O123" s="462">
        <f t="shared" si="110"/>
        <v>3973.4</v>
      </c>
      <c r="P123" s="488">
        <f t="shared" si="111"/>
        <v>1217.3333333333333</v>
      </c>
      <c r="Q123" s="489">
        <f t="shared" si="112"/>
        <v>1200.6575342465753</v>
      </c>
      <c r="R123" s="489">
        <f t="shared" si="113"/>
        <v>65.753424657534239</v>
      </c>
      <c r="S123" s="490">
        <f t="shared" si="114"/>
        <v>15608</v>
      </c>
      <c r="T123" s="490">
        <f t="shared" si="115"/>
        <v>18091.744292237443</v>
      </c>
      <c r="U123" s="491">
        <f t="shared" si="116"/>
        <v>179.84</v>
      </c>
      <c r="V123" s="519"/>
      <c r="W123" s="519"/>
      <c r="X123" s="519"/>
      <c r="Y123" s="519"/>
      <c r="Z123" s="462">
        <f t="shared" si="117"/>
        <v>179.84</v>
      </c>
      <c r="AA123" s="462">
        <f t="shared" si="118"/>
        <v>3793.56</v>
      </c>
      <c r="AB123" s="489">
        <v>1000</v>
      </c>
    </row>
    <row r="124" spans="1:28" s="507" customFormat="1" ht="12" customHeight="1">
      <c r="A124" s="456">
        <v>60</v>
      </c>
      <c r="B124" s="536" t="s">
        <v>1403</v>
      </c>
      <c r="C124" s="521">
        <v>9901563542</v>
      </c>
      <c r="D124" s="459" t="s">
        <v>1404</v>
      </c>
      <c r="E124" s="460" t="s">
        <v>38</v>
      </c>
      <c r="F124" s="523">
        <v>31</v>
      </c>
      <c r="G124" s="560">
        <v>71.400000000000006</v>
      </c>
      <c r="H124" s="462">
        <f t="shared" si="107"/>
        <v>2213.4</v>
      </c>
      <c r="I124" s="462">
        <f t="shared" si="108"/>
        <v>8568</v>
      </c>
      <c r="J124" s="463">
        <v>4</v>
      </c>
      <c r="K124" s="464"/>
      <c r="L124" s="462">
        <f t="shared" si="109"/>
        <v>1760</v>
      </c>
      <c r="M124" s="462">
        <v>1510</v>
      </c>
      <c r="N124" s="462">
        <v>250</v>
      </c>
      <c r="O124" s="462">
        <f t="shared" si="110"/>
        <v>3973.4</v>
      </c>
      <c r="P124" s="488">
        <f t="shared" si="111"/>
        <v>1217.3333333333333</v>
      </c>
      <c r="Q124" s="489">
        <f t="shared" si="112"/>
        <v>1200.6575342465753</v>
      </c>
      <c r="R124" s="489">
        <f t="shared" si="113"/>
        <v>65.753424657534239</v>
      </c>
      <c r="S124" s="490">
        <f t="shared" si="114"/>
        <v>15608</v>
      </c>
      <c r="T124" s="490">
        <f t="shared" si="115"/>
        <v>18091.744292237443</v>
      </c>
      <c r="U124" s="491">
        <f t="shared" si="116"/>
        <v>179.84</v>
      </c>
      <c r="V124" s="519"/>
      <c r="W124" s="519"/>
      <c r="X124" s="519"/>
      <c r="Y124" s="519"/>
      <c r="Z124" s="462">
        <f t="shared" si="117"/>
        <v>179.84</v>
      </c>
      <c r="AA124" s="462">
        <f t="shared" si="118"/>
        <v>3793.56</v>
      </c>
      <c r="AB124" s="489">
        <v>1000</v>
      </c>
    </row>
    <row r="125" spans="1:28" s="507" customFormat="1" ht="12" customHeight="1">
      <c r="A125" s="456">
        <v>61</v>
      </c>
      <c r="B125" s="536" t="s">
        <v>1405</v>
      </c>
      <c r="C125" s="521">
        <v>9901443562</v>
      </c>
      <c r="D125" s="459" t="s">
        <v>1406</v>
      </c>
      <c r="E125" s="460" t="s">
        <v>38</v>
      </c>
      <c r="F125" s="523">
        <v>31</v>
      </c>
      <c r="G125" s="560">
        <v>71.400000000000006</v>
      </c>
      <c r="H125" s="462">
        <f t="shared" si="107"/>
        <v>2213.4</v>
      </c>
      <c r="I125" s="462">
        <f t="shared" si="108"/>
        <v>8568</v>
      </c>
      <c r="J125" s="463">
        <v>4</v>
      </c>
      <c r="K125" s="464"/>
      <c r="L125" s="462">
        <f t="shared" si="109"/>
        <v>1760</v>
      </c>
      <c r="M125" s="462">
        <v>1510</v>
      </c>
      <c r="N125" s="462">
        <v>250</v>
      </c>
      <c r="O125" s="462">
        <f t="shared" si="110"/>
        <v>3973.4</v>
      </c>
      <c r="P125" s="488">
        <f t="shared" si="111"/>
        <v>1217.3333333333333</v>
      </c>
      <c r="Q125" s="489">
        <f t="shared" si="112"/>
        <v>1200.6575342465753</v>
      </c>
      <c r="R125" s="489">
        <f t="shared" si="113"/>
        <v>65.753424657534239</v>
      </c>
      <c r="S125" s="490">
        <f t="shared" si="114"/>
        <v>15608</v>
      </c>
      <c r="T125" s="490">
        <f t="shared" si="115"/>
        <v>18091.744292237443</v>
      </c>
      <c r="U125" s="491">
        <f t="shared" si="116"/>
        <v>179.84</v>
      </c>
      <c r="V125" s="519"/>
      <c r="W125" s="519"/>
      <c r="X125" s="519"/>
      <c r="Y125" s="519"/>
      <c r="Z125" s="462">
        <f t="shared" si="117"/>
        <v>179.84</v>
      </c>
      <c r="AA125" s="462">
        <f t="shared" si="118"/>
        <v>3793.56</v>
      </c>
      <c r="AB125" s="489">
        <v>1000</v>
      </c>
    </row>
    <row r="126" spans="1:28" s="507" customFormat="1" ht="12" customHeight="1">
      <c r="A126" s="456">
        <v>62</v>
      </c>
      <c r="B126" s="536" t="s">
        <v>1407</v>
      </c>
      <c r="C126" s="521">
        <v>9901443811</v>
      </c>
      <c r="D126" s="459" t="s">
        <v>1408</v>
      </c>
      <c r="E126" s="460" t="s">
        <v>59</v>
      </c>
      <c r="F126" s="523">
        <v>31</v>
      </c>
      <c r="G126" s="560">
        <v>77.59</v>
      </c>
      <c r="H126" s="462">
        <f t="shared" si="107"/>
        <v>2405.29</v>
      </c>
      <c r="I126" s="462">
        <f t="shared" si="108"/>
        <v>9310.8000000000011</v>
      </c>
      <c r="J126" s="463">
        <v>4</v>
      </c>
      <c r="K126" s="464"/>
      <c r="L126" s="462">
        <f t="shared" si="109"/>
        <v>1760</v>
      </c>
      <c r="M126" s="462">
        <v>1510</v>
      </c>
      <c r="N126" s="462">
        <v>250</v>
      </c>
      <c r="O126" s="462">
        <f t="shared" si="110"/>
        <v>4165.29</v>
      </c>
      <c r="P126" s="488">
        <f t="shared" si="111"/>
        <v>1279.2333333333333</v>
      </c>
      <c r="Q126" s="489">
        <f t="shared" si="112"/>
        <v>1261.709589041096</v>
      </c>
      <c r="R126" s="489">
        <f t="shared" si="113"/>
        <v>65.753424657534239</v>
      </c>
      <c r="S126" s="490">
        <f t="shared" si="114"/>
        <v>16350.800000000001</v>
      </c>
      <c r="T126" s="490">
        <f t="shared" si="115"/>
        <v>18957.496347031967</v>
      </c>
      <c r="U126" s="491">
        <f t="shared" si="116"/>
        <v>189.11</v>
      </c>
      <c r="V126" s="519"/>
      <c r="W126" s="519"/>
      <c r="X126" s="519"/>
      <c r="Y126" s="519"/>
      <c r="Z126" s="462">
        <f t="shared" si="117"/>
        <v>189.11</v>
      </c>
      <c r="AA126" s="462">
        <f t="shared" si="118"/>
        <v>3976.18</v>
      </c>
      <c r="AB126" s="489">
        <v>1000</v>
      </c>
    </row>
    <row r="127" spans="1:28" s="507" customFormat="1" ht="12" customHeight="1">
      <c r="A127" s="456">
        <v>63</v>
      </c>
      <c r="B127" s="536" t="s">
        <v>1409</v>
      </c>
      <c r="C127" s="521">
        <v>9901563545</v>
      </c>
      <c r="D127" s="459" t="s">
        <v>1410</v>
      </c>
      <c r="E127" s="460" t="s">
        <v>38</v>
      </c>
      <c r="F127" s="523">
        <v>31</v>
      </c>
      <c r="G127" s="560">
        <v>71.400000000000006</v>
      </c>
      <c r="H127" s="462">
        <f t="shared" si="107"/>
        <v>2213.4</v>
      </c>
      <c r="I127" s="462">
        <f t="shared" si="108"/>
        <v>8568</v>
      </c>
      <c r="J127" s="463">
        <v>4</v>
      </c>
      <c r="K127" s="464"/>
      <c r="L127" s="462">
        <f t="shared" si="109"/>
        <v>1760</v>
      </c>
      <c r="M127" s="462">
        <v>1510</v>
      </c>
      <c r="N127" s="462">
        <v>250</v>
      </c>
      <c r="O127" s="462">
        <f t="shared" si="110"/>
        <v>3973.4</v>
      </c>
      <c r="P127" s="488">
        <f t="shared" si="111"/>
        <v>1217.3333333333333</v>
      </c>
      <c r="Q127" s="489">
        <f t="shared" si="112"/>
        <v>1200.6575342465753</v>
      </c>
      <c r="R127" s="489">
        <f t="shared" si="113"/>
        <v>65.753424657534239</v>
      </c>
      <c r="S127" s="490">
        <f t="shared" si="114"/>
        <v>15608</v>
      </c>
      <c r="T127" s="490">
        <f t="shared" si="115"/>
        <v>18091.744292237443</v>
      </c>
      <c r="U127" s="491">
        <f t="shared" si="116"/>
        <v>179.84</v>
      </c>
      <c r="V127" s="519"/>
      <c r="W127" s="519"/>
      <c r="X127" s="519"/>
      <c r="Y127" s="519"/>
      <c r="Z127" s="462">
        <f t="shared" si="117"/>
        <v>179.84</v>
      </c>
      <c r="AA127" s="462">
        <f t="shared" si="118"/>
        <v>3793.56</v>
      </c>
      <c r="AB127" s="489">
        <v>1000</v>
      </c>
    </row>
    <row r="128" spans="1:28" s="507" customFormat="1" ht="12" customHeight="1">
      <c r="A128" s="456">
        <v>64</v>
      </c>
      <c r="B128" s="536" t="s">
        <v>1411</v>
      </c>
      <c r="C128" s="521">
        <v>9901563547</v>
      </c>
      <c r="D128" s="459" t="s">
        <v>1412</v>
      </c>
      <c r="E128" s="460" t="s">
        <v>38</v>
      </c>
      <c r="F128" s="523">
        <v>31</v>
      </c>
      <c r="G128" s="560">
        <v>71.400000000000006</v>
      </c>
      <c r="H128" s="462">
        <f t="shared" si="107"/>
        <v>2213.4</v>
      </c>
      <c r="I128" s="462">
        <f t="shared" si="108"/>
        <v>8568</v>
      </c>
      <c r="J128" s="463">
        <v>4</v>
      </c>
      <c r="K128" s="464"/>
      <c r="L128" s="462">
        <f t="shared" si="109"/>
        <v>1760</v>
      </c>
      <c r="M128" s="462">
        <v>1510</v>
      </c>
      <c r="N128" s="462">
        <v>250</v>
      </c>
      <c r="O128" s="462">
        <f t="shared" si="110"/>
        <v>3973.4</v>
      </c>
      <c r="P128" s="488">
        <f t="shared" si="111"/>
        <v>1217.3333333333333</v>
      </c>
      <c r="Q128" s="489">
        <f t="shared" si="112"/>
        <v>1200.6575342465753</v>
      </c>
      <c r="R128" s="489">
        <f t="shared" si="113"/>
        <v>65.753424657534239</v>
      </c>
      <c r="S128" s="490">
        <f t="shared" si="114"/>
        <v>15608</v>
      </c>
      <c r="T128" s="490">
        <f t="shared" si="115"/>
        <v>18091.744292237443</v>
      </c>
      <c r="U128" s="491">
        <f t="shared" si="116"/>
        <v>179.84</v>
      </c>
      <c r="V128" s="519"/>
      <c r="W128" s="519"/>
      <c r="X128" s="519"/>
      <c r="Y128" s="519"/>
      <c r="Z128" s="462">
        <f t="shared" si="117"/>
        <v>179.84</v>
      </c>
      <c r="AA128" s="462">
        <f t="shared" si="118"/>
        <v>3793.56</v>
      </c>
      <c r="AB128" s="489">
        <v>1000</v>
      </c>
    </row>
    <row r="129" spans="1:32" s="507" customFormat="1" ht="12" customHeight="1">
      <c r="A129" s="456">
        <v>65</v>
      </c>
      <c r="B129" s="536" t="s">
        <v>1413</v>
      </c>
      <c r="C129" s="521">
        <v>9901563550</v>
      </c>
      <c r="D129" s="459" t="s">
        <v>1414</v>
      </c>
      <c r="E129" s="460" t="s">
        <v>35</v>
      </c>
      <c r="F129" s="523">
        <v>31</v>
      </c>
      <c r="G129" s="560">
        <v>71.400000000000006</v>
      </c>
      <c r="H129" s="462">
        <f t="shared" ref="H129:H143" si="119">+F129*G129</f>
        <v>2213.4</v>
      </c>
      <c r="I129" s="462">
        <f t="shared" ref="I129:I143" si="120">G129*120</f>
        <v>8568</v>
      </c>
      <c r="J129" s="463">
        <v>4</v>
      </c>
      <c r="K129" s="464"/>
      <c r="L129" s="462">
        <f t="shared" ref="L129:L143" si="121">M129+N129</f>
        <v>1760</v>
      </c>
      <c r="M129" s="462">
        <v>1510</v>
      </c>
      <c r="N129" s="462">
        <v>250</v>
      </c>
      <c r="O129" s="462">
        <f t="shared" ref="O129:O143" si="122">+H129+M129+N129+K129</f>
        <v>3973.4</v>
      </c>
      <c r="P129" s="488">
        <f t="shared" ref="P129:P143" si="123">(((G129*120)+(K129+M129)*4)/12)</f>
        <v>1217.3333333333333</v>
      </c>
      <c r="Q129" s="489">
        <f t="shared" ref="Q129:Q143" si="124">(((G129*30)+M129+K129)/365*120)</f>
        <v>1200.6575342465753</v>
      </c>
      <c r="R129" s="489">
        <f t="shared" ref="R129:R143" si="125">+(200/365)*120</f>
        <v>65.753424657534239</v>
      </c>
      <c r="S129" s="490">
        <f t="shared" ref="S129:S143" si="126">(((G129*120)+((K129+M129+N129)*4)))</f>
        <v>15608</v>
      </c>
      <c r="T129" s="490">
        <f t="shared" ref="T129:T143" si="127">+S129+R129+Q129+P129</f>
        <v>18091.744292237443</v>
      </c>
      <c r="U129" s="491">
        <f t="shared" ref="U129:U143" si="128">ROUND((((H129+K129+M129)*4.83)/100),2)</f>
        <v>179.84</v>
      </c>
      <c r="V129" s="519"/>
      <c r="W129" s="519"/>
      <c r="X129" s="519"/>
      <c r="Y129" s="519"/>
      <c r="Z129" s="462">
        <f t="shared" ref="Z129:Z143" si="129">V129+W129+X129+Y129+U129</f>
        <v>179.84</v>
      </c>
      <c r="AA129" s="462">
        <f t="shared" ref="AA129:AA143" si="130">+O129-Z129</f>
        <v>3793.56</v>
      </c>
      <c r="AB129" s="489">
        <v>1000</v>
      </c>
    </row>
    <row r="130" spans="1:32" s="507" customFormat="1" ht="12" customHeight="1">
      <c r="A130" s="456">
        <v>66</v>
      </c>
      <c r="B130" s="536" t="s">
        <v>1415</v>
      </c>
      <c r="C130" s="521">
        <v>9901563552</v>
      </c>
      <c r="D130" s="459" t="s">
        <v>1416</v>
      </c>
      <c r="E130" s="460" t="s">
        <v>35</v>
      </c>
      <c r="F130" s="523">
        <v>31</v>
      </c>
      <c r="G130" s="560">
        <v>71.400000000000006</v>
      </c>
      <c r="H130" s="462">
        <f t="shared" si="119"/>
        <v>2213.4</v>
      </c>
      <c r="I130" s="462">
        <f t="shared" si="120"/>
        <v>8568</v>
      </c>
      <c r="J130" s="463">
        <v>4</v>
      </c>
      <c r="K130" s="464"/>
      <c r="L130" s="462">
        <f t="shared" si="121"/>
        <v>1760</v>
      </c>
      <c r="M130" s="462">
        <v>1510</v>
      </c>
      <c r="N130" s="462">
        <v>250</v>
      </c>
      <c r="O130" s="462">
        <f t="shared" si="122"/>
        <v>3973.4</v>
      </c>
      <c r="P130" s="488">
        <f t="shared" si="123"/>
        <v>1217.3333333333333</v>
      </c>
      <c r="Q130" s="489">
        <f t="shared" si="124"/>
        <v>1200.6575342465753</v>
      </c>
      <c r="R130" s="489">
        <f t="shared" si="125"/>
        <v>65.753424657534239</v>
      </c>
      <c r="S130" s="490">
        <f t="shared" si="126"/>
        <v>15608</v>
      </c>
      <c r="T130" s="490">
        <f t="shared" si="127"/>
        <v>18091.744292237443</v>
      </c>
      <c r="U130" s="491">
        <f t="shared" si="128"/>
        <v>179.84</v>
      </c>
      <c r="V130" s="519"/>
      <c r="W130" s="519"/>
      <c r="X130" s="519"/>
      <c r="Y130" s="519"/>
      <c r="Z130" s="462">
        <f t="shared" si="129"/>
        <v>179.84</v>
      </c>
      <c r="AA130" s="462">
        <f t="shared" si="130"/>
        <v>3793.56</v>
      </c>
      <c r="AB130" s="489">
        <v>1000</v>
      </c>
    </row>
    <row r="131" spans="1:32" s="507" customFormat="1" ht="12" customHeight="1">
      <c r="A131" s="456">
        <v>67</v>
      </c>
      <c r="B131" s="536" t="s">
        <v>1417</v>
      </c>
      <c r="C131" s="521">
        <v>9901563554</v>
      </c>
      <c r="D131" s="459" t="s">
        <v>1418</v>
      </c>
      <c r="E131" s="460" t="s">
        <v>35</v>
      </c>
      <c r="F131" s="523">
        <v>31</v>
      </c>
      <c r="G131" s="560">
        <v>71.400000000000006</v>
      </c>
      <c r="H131" s="462">
        <f t="shared" si="119"/>
        <v>2213.4</v>
      </c>
      <c r="I131" s="462">
        <f t="shared" si="120"/>
        <v>8568</v>
      </c>
      <c r="J131" s="463">
        <v>4</v>
      </c>
      <c r="K131" s="464"/>
      <c r="L131" s="462">
        <f t="shared" si="121"/>
        <v>1760</v>
      </c>
      <c r="M131" s="462">
        <v>1510</v>
      </c>
      <c r="N131" s="462">
        <v>250</v>
      </c>
      <c r="O131" s="462">
        <f t="shared" si="122"/>
        <v>3973.4</v>
      </c>
      <c r="P131" s="488">
        <f t="shared" si="123"/>
        <v>1217.3333333333333</v>
      </c>
      <c r="Q131" s="489">
        <f t="shared" si="124"/>
        <v>1200.6575342465753</v>
      </c>
      <c r="R131" s="489">
        <f t="shared" si="125"/>
        <v>65.753424657534239</v>
      </c>
      <c r="S131" s="490">
        <f t="shared" si="126"/>
        <v>15608</v>
      </c>
      <c r="T131" s="490">
        <f t="shared" si="127"/>
        <v>18091.744292237443</v>
      </c>
      <c r="U131" s="491">
        <f t="shared" si="128"/>
        <v>179.84</v>
      </c>
      <c r="V131" s="519"/>
      <c r="W131" s="519"/>
      <c r="X131" s="519"/>
      <c r="Y131" s="519"/>
      <c r="Z131" s="462">
        <f t="shared" si="129"/>
        <v>179.84</v>
      </c>
      <c r="AA131" s="462">
        <f t="shared" si="130"/>
        <v>3793.56</v>
      </c>
      <c r="AB131" s="489">
        <v>1000</v>
      </c>
    </row>
    <row r="132" spans="1:32" s="507" customFormat="1" ht="12" customHeight="1">
      <c r="A132" s="456">
        <v>68</v>
      </c>
      <c r="B132" s="536" t="s">
        <v>1419</v>
      </c>
      <c r="C132" s="521">
        <v>9901563555</v>
      </c>
      <c r="D132" s="459" t="s">
        <v>1420</v>
      </c>
      <c r="E132" s="460" t="s">
        <v>35</v>
      </c>
      <c r="F132" s="523">
        <v>31</v>
      </c>
      <c r="G132" s="560">
        <v>71.400000000000006</v>
      </c>
      <c r="H132" s="462">
        <f t="shared" si="119"/>
        <v>2213.4</v>
      </c>
      <c r="I132" s="462">
        <f t="shared" si="120"/>
        <v>8568</v>
      </c>
      <c r="J132" s="463">
        <v>4</v>
      </c>
      <c r="K132" s="464"/>
      <c r="L132" s="462">
        <f t="shared" si="121"/>
        <v>1760</v>
      </c>
      <c r="M132" s="462">
        <v>1510</v>
      </c>
      <c r="N132" s="462">
        <v>250</v>
      </c>
      <c r="O132" s="462">
        <f t="shared" si="122"/>
        <v>3973.4</v>
      </c>
      <c r="P132" s="488">
        <f t="shared" si="123"/>
        <v>1217.3333333333333</v>
      </c>
      <c r="Q132" s="489">
        <f t="shared" si="124"/>
        <v>1200.6575342465753</v>
      </c>
      <c r="R132" s="489">
        <f t="shared" si="125"/>
        <v>65.753424657534239</v>
      </c>
      <c r="S132" s="490">
        <f t="shared" si="126"/>
        <v>15608</v>
      </c>
      <c r="T132" s="490">
        <f t="shared" si="127"/>
        <v>18091.744292237443</v>
      </c>
      <c r="U132" s="491">
        <f t="shared" si="128"/>
        <v>179.84</v>
      </c>
      <c r="V132" s="519"/>
      <c r="W132" s="519"/>
      <c r="X132" s="519"/>
      <c r="Y132" s="519"/>
      <c r="Z132" s="462">
        <f t="shared" si="129"/>
        <v>179.84</v>
      </c>
      <c r="AA132" s="462">
        <f t="shared" si="130"/>
        <v>3793.56</v>
      </c>
      <c r="AB132" s="489">
        <v>1000</v>
      </c>
    </row>
    <row r="133" spans="1:32" s="507" customFormat="1" ht="12" customHeight="1">
      <c r="A133" s="456">
        <v>69</v>
      </c>
      <c r="B133" s="536" t="s">
        <v>1421</v>
      </c>
      <c r="C133" s="521">
        <v>9901563556</v>
      </c>
      <c r="D133" s="459" t="s">
        <v>1422</v>
      </c>
      <c r="E133" s="460" t="s">
        <v>35</v>
      </c>
      <c r="F133" s="523">
        <v>31</v>
      </c>
      <c r="G133" s="560">
        <v>71.400000000000006</v>
      </c>
      <c r="H133" s="462">
        <f t="shared" si="119"/>
        <v>2213.4</v>
      </c>
      <c r="I133" s="462">
        <f t="shared" si="120"/>
        <v>8568</v>
      </c>
      <c r="J133" s="463">
        <v>4</v>
      </c>
      <c r="K133" s="464"/>
      <c r="L133" s="462">
        <f t="shared" si="121"/>
        <v>1760</v>
      </c>
      <c r="M133" s="462">
        <v>1510</v>
      </c>
      <c r="N133" s="462">
        <v>250</v>
      </c>
      <c r="O133" s="462">
        <f t="shared" si="122"/>
        <v>3973.4</v>
      </c>
      <c r="P133" s="488">
        <f t="shared" si="123"/>
        <v>1217.3333333333333</v>
      </c>
      <c r="Q133" s="489">
        <f t="shared" si="124"/>
        <v>1200.6575342465753</v>
      </c>
      <c r="R133" s="489">
        <f t="shared" si="125"/>
        <v>65.753424657534239</v>
      </c>
      <c r="S133" s="490">
        <f t="shared" si="126"/>
        <v>15608</v>
      </c>
      <c r="T133" s="490">
        <f t="shared" si="127"/>
        <v>18091.744292237443</v>
      </c>
      <c r="U133" s="491">
        <f t="shared" si="128"/>
        <v>179.84</v>
      </c>
      <c r="V133" s="519"/>
      <c r="W133" s="519"/>
      <c r="X133" s="519"/>
      <c r="Y133" s="519"/>
      <c r="Z133" s="462">
        <f t="shared" si="129"/>
        <v>179.84</v>
      </c>
      <c r="AA133" s="462">
        <f t="shared" si="130"/>
        <v>3793.56</v>
      </c>
      <c r="AB133" s="489">
        <v>1000</v>
      </c>
    </row>
    <row r="134" spans="1:32" s="507" customFormat="1" ht="12" customHeight="1">
      <c r="A134" s="456">
        <v>70</v>
      </c>
      <c r="B134" s="536" t="s">
        <v>1423</v>
      </c>
      <c r="C134" s="521">
        <v>9901563557</v>
      </c>
      <c r="D134" s="459" t="s">
        <v>1424</v>
      </c>
      <c r="E134" s="460" t="s">
        <v>35</v>
      </c>
      <c r="F134" s="523">
        <v>31</v>
      </c>
      <c r="G134" s="560">
        <v>71.400000000000006</v>
      </c>
      <c r="H134" s="462">
        <f t="shared" si="119"/>
        <v>2213.4</v>
      </c>
      <c r="I134" s="462">
        <f t="shared" si="120"/>
        <v>8568</v>
      </c>
      <c r="J134" s="463">
        <v>4</v>
      </c>
      <c r="K134" s="464"/>
      <c r="L134" s="462">
        <f t="shared" si="121"/>
        <v>1760</v>
      </c>
      <c r="M134" s="462">
        <v>1510</v>
      </c>
      <c r="N134" s="462">
        <v>250</v>
      </c>
      <c r="O134" s="462">
        <f t="shared" si="122"/>
        <v>3973.4</v>
      </c>
      <c r="P134" s="488">
        <f t="shared" si="123"/>
        <v>1217.3333333333333</v>
      </c>
      <c r="Q134" s="489">
        <f t="shared" si="124"/>
        <v>1200.6575342465753</v>
      </c>
      <c r="R134" s="489">
        <f t="shared" si="125"/>
        <v>65.753424657534239</v>
      </c>
      <c r="S134" s="490">
        <f t="shared" si="126"/>
        <v>15608</v>
      </c>
      <c r="T134" s="490">
        <f t="shared" si="127"/>
        <v>18091.744292237443</v>
      </c>
      <c r="U134" s="491">
        <f t="shared" si="128"/>
        <v>179.84</v>
      </c>
      <c r="V134" s="519"/>
      <c r="W134" s="519"/>
      <c r="X134" s="519"/>
      <c r="Y134" s="519"/>
      <c r="Z134" s="462">
        <f t="shared" si="129"/>
        <v>179.84</v>
      </c>
      <c r="AA134" s="462">
        <f t="shared" si="130"/>
        <v>3793.56</v>
      </c>
      <c r="AB134" s="489">
        <v>1000</v>
      </c>
    </row>
    <row r="135" spans="1:32" s="507" customFormat="1" ht="12" customHeight="1">
      <c r="A135" s="456">
        <v>71</v>
      </c>
      <c r="B135" s="536" t="s">
        <v>1425</v>
      </c>
      <c r="C135" s="521">
        <v>9901443792</v>
      </c>
      <c r="D135" s="459" t="s">
        <v>1426</v>
      </c>
      <c r="E135" s="460" t="s">
        <v>137</v>
      </c>
      <c r="F135" s="523">
        <v>31</v>
      </c>
      <c r="G135" s="560">
        <v>75.64</v>
      </c>
      <c r="H135" s="462">
        <f t="shared" si="119"/>
        <v>2344.84</v>
      </c>
      <c r="I135" s="462">
        <f t="shared" si="120"/>
        <v>9076.7999999999993</v>
      </c>
      <c r="J135" s="463">
        <v>4</v>
      </c>
      <c r="K135" s="464"/>
      <c r="L135" s="462">
        <f t="shared" si="121"/>
        <v>1760</v>
      </c>
      <c r="M135" s="462">
        <v>1510</v>
      </c>
      <c r="N135" s="462">
        <v>250</v>
      </c>
      <c r="O135" s="462">
        <f t="shared" si="122"/>
        <v>4104.84</v>
      </c>
      <c r="P135" s="488">
        <f t="shared" si="123"/>
        <v>1259.7333333333333</v>
      </c>
      <c r="Q135" s="489">
        <f t="shared" si="124"/>
        <v>1242.476712328767</v>
      </c>
      <c r="R135" s="489">
        <f t="shared" si="125"/>
        <v>65.753424657534239</v>
      </c>
      <c r="S135" s="490">
        <f t="shared" si="126"/>
        <v>16116.8</v>
      </c>
      <c r="T135" s="490">
        <f t="shared" si="127"/>
        <v>18684.763470319635</v>
      </c>
      <c r="U135" s="491">
        <f t="shared" si="128"/>
        <v>186.19</v>
      </c>
      <c r="V135" s="519"/>
      <c r="W135" s="519"/>
      <c r="X135" s="519"/>
      <c r="Y135" s="519"/>
      <c r="Z135" s="462">
        <f t="shared" si="129"/>
        <v>186.19</v>
      </c>
      <c r="AA135" s="462">
        <f t="shared" si="130"/>
        <v>3918.65</v>
      </c>
      <c r="AB135" s="489">
        <v>1000</v>
      </c>
    </row>
    <row r="136" spans="1:32" s="507" customFormat="1" ht="12" customHeight="1">
      <c r="A136" s="456">
        <v>72</v>
      </c>
      <c r="B136" s="536" t="s">
        <v>1427</v>
      </c>
      <c r="C136" s="521">
        <v>9901563582</v>
      </c>
      <c r="D136" s="459" t="s">
        <v>1428</v>
      </c>
      <c r="E136" s="460" t="s">
        <v>59</v>
      </c>
      <c r="F136" s="523">
        <v>31</v>
      </c>
      <c r="G136" s="560">
        <v>77.59</v>
      </c>
      <c r="H136" s="462">
        <f t="shared" si="119"/>
        <v>2405.29</v>
      </c>
      <c r="I136" s="462">
        <f t="shared" si="120"/>
        <v>9310.8000000000011</v>
      </c>
      <c r="J136" s="463">
        <v>4</v>
      </c>
      <c r="K136" s="464"/>
      <c r="L136" s="462">
        <f t="shared" si="121"/>
        <v>1760</v>
      </c>
      <c r="M136" s="462">
        <v>1510</v>
      </c>
      <c r="N136" s="462">
        <v>250</v>
      </c>
      <c r="O136" s="462">
        <f t="shared" si="122"/>
        <v>4165.29</v>
      </c>
      <c r="P136" s="488">
        <f t="shared" si="123"/>
        <v>1279.2333333333333</v>
      </c>
      <c r="Q136" s="489">
        <f t="shared" si="124"/>
        <v>1261.709589041096</v>
      </c>
      <c r="R136" s="489">
        <f t="shared" si="125"/>
        <v>65.753424657534239</v>
      </c>
      <c r="S136" s="490">
        <f t="shared" si="126"/>
        <v>16350.800000000001</v>
      </c>
      <c r="T136" s="490">
        <f t="shared" si="127"/>
        <v>18957.496347031967</v>
      </c>
      <c r="U136" s="491">
        <f t="shared" si="128"/>
        <v>189.11</v>
      </c>
      <c r="V136" s="519"/>
      <c r="W136" s="519"/>
      <c r="X136" s="519"/>
      <c r="Y136" s="519"/>
      <c r="Z136" s="462">
        <f t="shared" si="129"/>
        <v>189.11</v>
      </c>
      <c r="AA136" s="462">
        <f t="shared" si="130"/>
        <v>3976.18</v>
      </c>
      <c r="AB136" s="489">
        <v>1000</v>
      </c>
    </row>
    <row r="137" spans="1:32" s="507" customFormat="1" ht="12" customHeight="1">
      <c r="A137" s="456">
        <v>73</v>
      </c>
      <c r="B137" s="536" t="s">
        <v>1429</v>
      </c>
      <c r="C137" s="521">
        <v>9901563585</v>
      </c>
      <c r="D137" s="459" t="s">
        <v>1430</v>
      </c>
      <c r="E137" s="460" t="s">
        <v>37</v>
      </c>
      <c r="F137" s="523">
        <v>31</v>
      </c>
      <c r="G137" s="560">
        <v>80.86</v>
      </c>
      <c r="H137" s="462">
        <f t="shared" si="119"/>
        <v>2506.66</v>
      </c>
      <c r="I137" s="462">
        <f t="shared" si="120"/>
        <v>9703.2000000000007</v>
      </c>
      <c r="J137" s="463">
        <v>4</v>
      </c>
      <c r="K137" s="464"/>
      <c r="L137" s="462">
        <f t="shared" si="121"/>
        <v>1760</v>
      </c>
      <c r="M137" s="462">
        <v>1510</v>
      </c>
      <c r="N137" s="462">
        <v>250</v>
      </c>
      <c r="O137" s="462">
        <f t="shared" si="122"/>
        <v>4266.66</v>
      </c>
      <c r="P137" s="488">
        <f t="shared" si="123"/>
        <v>1311.9333333333334</v>
      </c>
      <c r="Q137" s="489">
        <f t="shared" si="124"/>
        <v>1293.9616438356165</v>
      </c>
      <c r="R137" s="489">
        <f t="shared" si="125"/>
        <v>65.753424657534239</v>
      </c>
      <c r="S137" s="490">
        <f t="shared" si="126"/>
        <v>16743.2</v>
      </c>
      <c r="T137" s="490">
        <f t="shared" si="127"/>
        <v>19414.848401826486</v>
      </c>
      <c r="U137" s="491">
        <f t="shared" si="128"/>
        <v>194</v>
      </c>
      <c r="V137" s="519"/>
      <c r="W137" s="519"/>
      <c r="X137" s="519"/>
      <c r="Y137" s="519"/>
      <c r="Z137" s="462">
        <f t="shared" si="129"/>
        <v>194</v>
      </c>
      <c r="AA137" s="462">
        <f t="shared" si="130"/>
        <v>4072.66</v>
      </c>
      <c r="AB137" s="489">
        <v>1000</v>
      </c>
    </row>
    <row r="138" spans="1:32" s="507" customFormat="1" ht="12" customHeight="1">
      <c r="A138" s="456">
        <v>74</v>
      </c>
      <c r="B138" s="536" t="s">
        <v>1431</v>
      </c>
      <c r="C138" s="521">
        <v>9901563588</v>
      </c>
      <c r="D138" s="459" t="s">
        <v>1432</v>
      </c>
      <c r="E138" s="460" t="s">
        <v>37</v>
      </c>
      <c r="F138" s="523">
        <v>31</v>
      </c>
      <c r="G138" s="560">
        <v>80.86</v>
      </c>
      <c r="H138" s="462">
        <f t="shared" si="119"/>
        <v>2506.66</v>
      </c>
      <c r="I138" s="462">
        <f t="shared" si="120"/>
        <v>9703.2000000000007</v>
      </c>
      <c r="J138" s="463">
        <v>4</v>
      </c>
      <c r="K138" s="464"/>
      <c r="L138" s="462">
        <f t="shared" si="121"/>
        <v>1760</v>
      </c>
      <c r="M138" s="462">
        <v>1510</v>
      </c>
      <c r="N138" s="462">
        <v>250</v>
      </c>
      <c r="O138" s="462">
        <f t="shared" si="122"/>
        <v>4266.66</v>
      </c>
      <c r="P138" s="488">
        <f t="shared" si="123"/>
        <v>1311.9333333333334</v>
      </c>
      <c r="Q138" s="489">
        <f t="shared" si="124"/>
        <v>1293.9616438356165</v>
      </c>
      <c r="R138" s="489">
        <f t="shared" si="125"/>
        <v>65.753424657534239</v>
      </c>
      <c r="S138" s="490">
        <f t="shared" si="126"/>
        <v>16743.2</v>
      </c>
      <c r="T138" s="490">
        <f t="shared" si="127"/>
        <v>19414.848401826486</v>
      </c>
      <c r="U138" s="491">
        <f t="shared" si="128"/>
        <v>194</v>
      </c>
      <c r="V138" s="519"/>
      <c r="W138" s="519"/>
      <c r="X138" s="519"/>
      <c r="Y138" s="519"/>
      <c r="Z138" s="462">
        <f t="shared" si="129"/>
        <v>194</v>
      </c>
      <c r="AA138" s="462">
        <f t="shared" si="130"/>
        <v>4072.66</v>
      </c>
      <c r="AB138" s="489">
        <v>1000</v>
      </c>
    </row>
    <row r="139" spans="1:32" s="507" customFormat="1" ht="12" customHeight="1">
      <c r="A139" s="456">
        <v>75</v>
      </c>
      <c r="B139" s="536"/>
      <c r="C139" s="521">
        <v>9901570884</v>
      </c>
      <c r="D139" s="459" t="s">
        <v>1433</v>
      </c>
      <c r="E139" s="460" t="s">
        <v>59</v>
      </c>
      <c r="F139" s="523">
        <v>31</v>
      </c>
      <c r="G139" s="560">
        <v>77.59</v>
      </c>
      <c r="H139" s="462">
        <f t="shared" si="119"/>
        <v>2405.29</v>
      </c>
      <c r="I139" s="462">
        <f t="shared" si="120"/>
        <v>9310.8000000000011</v>
      </c>
      <c r="J139" s="463">
        <v>4</v>
      </c>
      <c r="K139" s="520"/>
      <c r="L139" s="462">
        <f t="shared" si="121"/>
        <v>1760</v>
      </c>
      <c r="M139" s="462">
        <v>1510</v>
      </c>
      <c r="N139" s="462">
        <v>250</v>
      </c>
      <c r="O139" s="462">
        <f t="shared" si="122"/>
        <v>4165.29</v>
      </c>
      <c r="P139" s="488">
        <f t="shared" si="123"/>
        <v>1279.2333333333333</v>
      </c>
      <c r="Q139" s="489">
        <f t="shared" si="124"/>
        <v>1261.709589041096</v>
      </c>
      <c r="R139" s="489">
        <f t="shared" si="125"/>
        <v>65.753424657534239</v>
      </c>
      <c r="S139" s="490">
        <f t="shared" si="126"/>
        <v>16350.800000000001</v>
      </c>
      <c r="T139" s="490">
        <f t="shared" si="127"/>
        <v>18957.496347031967</v>
      </c>
      <c r="U139" s="491">
        <f t="shared" si="128"/>
        <v>189.11</v>
      </c>
      <c r="V139" s="519"/>
      <c r="W139" s="519"/>
      <c r="X139" s="519"/>
      <c r="Y139" s="519"/>
      <c r="Z139" s="462">
        <f t="shared" si="129"/>
        <v>189.11</v>
      </c>
      <c r="AA139" s="462">
        <f t="shared" si="130"/>
        <v>3976.18</v>
      </c>
      <c r="AB139" s="489">
        <v>1000</v>
      </c>
    </row>
    <row r="140" spans="1:32" s="507" customFormat="1" ht="12" customHeight="1">
      <c r="A140" s="456">
        <v>76</v>
      </c>
      <c r="B140" s="536"/>
      <c r="C140" s="521">
        <v>9901570894</v>
      </c>
      <c r="D140" s="459" t="s">
        <v>1434</v>
      </c>
      <c r="E140" s="460" t="s">
        <v>38</v>
      </c>
      <c r="F140" s="523">
        <v>31</v>
      </c>
      <c r="G140" s="560">
        <v>71.400000000000006</v>
      </c>
      <c r="H140" s="462">
        <f t="shared" si="119"/>
        <v>2213.4</v>
      </c>
      <c r="I140" s="462">
        <f t="shared" si="120"/>
        <v>8568</v>
      </c>
      <c r="J140" s="463">
        <v>4</v>
      </c>
      <c r="K140" s="520"/>
      <c r="L140" s="462">
        <f t="shared" si="121"/>
        <v>1760</v>
      </c>
      <c r="M140" s="462">
        <v>1510</v>
      </c>
      <c r="N140" s="462">
        <v>250</v>
      </c>
      <c r="O140" s="462">
        <f t="shared" si="122"/>
        <v>3973.4</v>
      </c>
      <c r="P140" s="488">
        <f t="shared" si="123"/>
        <v>1217.3333333333333</v>
      </c>
      <c r="Q140" s="489">
        <f t="shared" si="124"/>
        <v>1200.6575342465753</v>
      </c>
      <c r="R140" s="489">
        <f t="shared" si="125"/>
        <v>65.753424657534239</v>
      </c>
      <c r="S140" s="490">
        <f t="shared" si="126"/>
        <v>15608</v>
      </c>
      <c r="T140" s="490">
        <f t="shared" si="127"/>
        <v>18091.744292237443</v>
      </c>
      <c r="U140" s="491">
        <f t="shared" si="128"/>
        <v>179.84</v>
      </c>
      <c r="V140" s="519"/>
      <c r="W140" s="519"/>
      <c r="X140" s="519"/>
      <c r="Y140" s="519"/>
      <c r="Z140" s="462">
        <f t="shared" si="129"/>
        <v>179.84</v>
      </c>
      <c r="AA140" s="462">
        <f t="shared" si="130"/>
        <v>3793.56</v>
      </c>
      <c r="AB140" s="489">
        <v>1000</v>
      </c>
    </row>
    <row r="141" spans="1:32" s="507" customFormat="1" ht="12" customHeight="1">
      <c r="A141" s="456">
        <v>77</v>
      </c>
      <c r="B141" s="536"/>
      <c r="C141" s="521">
        <v>9901443501</v>
      </c>
      <c r="D141" s="459" t="s">
        <v>1435</v>
      </c>
      <c r="E141" s="460" t="s">
        <v>40</v>
      </c>
      <c r="F141" s="523">
        <v>31</v>
      </c>
      <c r="G141" s="486">
        <v>73.59</v>
      </c>
      <c r="H141" s="462">
        <f t="shared" si="119"/>
        <v>2281.29</v>
      </c>
      <c r="I141" s="462">
        <f t="shared" si="120"/>
        <v>8830.8000000000011</v>
      </c>
      <c r="J141" s="463">
        <v>4</v>
      </c>
      <c r="K141" s="520"/>
      <c r="L141" s="462">
        <f t="shared" si="121"/>
        <v>1760</v>
      </c>
      <c r="M141" s="462">
        <v>1510</v>
      </c>
      <c r="N141" s="462">
        <v>250</v>
      </c>
      <c r="O141" s="462">
        <f t="shared" si="122"/>
        <v>4041.29</v>
      </c>
      <c r="P141" s="488">
        <f t="shared" si="123"/>
        <v>1239.2333333333333</v>
      </c>
      <c r="Q141" s="489">
        <f t="shared" si="124"/>
        <v>1222.2575342465752</v>
      </c>
      <c r="R141" s="489">
        <f t="shared" si="125"/>
        <v>65.753424657534239</v>
      </c>
      <c r="S141" s="490">
        <f t="shared" si="126"/>
        <v>15870.800000000001</v>
      </c>
      <c r="T141" s="490">
        <f t="shared" si="127"/>
        <v>18398.044292237446</v>
      </c>
      <c r="U141" s="491">
        <f t="shared" si="128"/>
        <v>183.12</v>
      </c>
      <c r="V141" s="519"/>
      <c r="W141" s="519"/>
      <c r="X141" s="519"/>
      <c r="Y141" s="519"/>
      <c r="Z141" s="462">
        <f t="shared" si="129"/>
        <v>183.12</v>
      </c>
      <c r="AA141" s="462">
        <f t="shared" si="130"/>
        <v>3858.17</v>
      </c>
      <c r="AB141" s="489">
        <v>1000</v>
      </c>
    </row>
    <row r="142" spans="1:32" s="507" customFormat="1" ht="12" customHeight="1">
      <c r="A142" s="456">
        <v>78</v>
      </c>
      <c r="B142" s="536"/>
      <c r="C142" s="521">
        <v>9901575955</v>
      </c>
      <c r="D142" s="459" t="s">
        <v>1436</v>
      </c>
      <c r="E142" s="460" t="s">
        <v>61</v>
      </c>
      <c r="F142" s="461">
        <v>31</v>
      </c>
      <c r="G142" s="486">
        <v>77.59</v>
      </c>
      <c r="H142" s="519">
        <f t="shared" si="119"/>
        <v>2405.29</v>
      </c>
      <c r="I142" s="462">
        <f t="shared" si="120"/>
        <v>9310.8000000000011</v>
      </c>
      <c r="J142" s="463">
        <v>4</v>
      </c>
      <c r="K142" s="520"/>
      <c r="L142" s="462">
        <f t="shared" si="121"/>
        <v>1760</v>
      </c>
      <c r="M142" s="462">
        <v>1510</v>
      </c>
      <c r="N142" s="462">
        <v>250</v>
      </c>
      <c r="O142" s="462">
        <f t="shared" si="122"/>
        <v>4165.29</v>
      </c>
      <c r="P142" s="488">
        <f t="shared" si="123"/>
        <v>1279.2333333333333</v>
      </c>
      <c r="Q142" s="489">
        <f t="shared" si="124"/>
        <v>1261.709589041096</v>
      </c>
      <c r="R142" s="489">
        <f t="shared" si="125"/>
        <v>65.753424657534239</v>
      </c>
      <c r="S142" s="490">
        <f t="shared" si="126"/>
        <v>16350.800000000001</v>
      </c>
      <c r="T142" s="490">
        <f t="shared" si="127"/>
        <v>18957.496347031967</v>
      </c>
      <c r="U142" s="491">
        <f t="shared" si="128"/>
        <v>189.11</v>
      </c>
      <c r="V142" s="519"/>
      <c r="W142" s="519"/>
      <c r="X142" s="519"/>
      <c r="Y142" s="519"/>
      <c r="Z142" s="462">
        <f t="shared" si="129"/>
        <v>189.11</v>
      </c>
      <c r="AA142" s="462">
        <f t="shared" si="130"/>
        <v>3976.18</v>
      </c>
      <c r="AB142" s="489">
        <v>1000</v>
      </c>
    </row>
    <row r="143" spans="1:32" s="507" customFormat="1" ht="12" customHeight="1">
      <c r="A143" s="456">
        <v>79</v>
      </c>
      <c r="B143" s="536"/>
      <c r="C143" s="521">
        <v>9901576037</v>
      </c>
      <c r="D143" s="459" t="s">
        <v>1437</v>
      </c>
      <c r="E143" s="460" t="s">
        <v>61</v>
      </c>
      <c r="F143" s="461">
        <v>31</v>
      </c>
      <c r="G143" s="486">
        <v>77.59</v>
      </c>
      <c r="H143" s="519">
        <f t="shared" si="119"/>
        <v>2405.29</v>
      </c>
      <c r="I143" s="462">
        <f t="shared" si="120"/>
        <v>9310.8000000000011</v>
      </c>
      <c r="J143" s="463">
        <v>4</v>
      </c>
      <c r="K143" s="520"/>
      <c r="L143" s="462">
        <f t="shared" si="121"/>
        <v>1760</v>
      </c>
      <c r="M143" s="462">
        <v>1510</v>
      </c>
      <c r="N143" s="462">
        <v>250</v>
      </c>
      <c r="O143" s="462">
        <f t="shared" si="122"/>
        <v>4165.29</v>
      </c>
      <c r="P143" s="488">
        <f t="shared" si="123"/>
        <v>1279.2333333333333</v>
      </c>
      <c r="Q143" s="489">
        <f t="shared" si="124"/>
        <v>1261.709589041096</v>
      </c>
      <c r="R143" s="489">
        <f t="shared" si="125"/>
        <v>65.753424657534239</v>
      </c>
      <c r="S143" s="490">
        <f t="shared" si="126"/>
        <v>16350.800000000001</v>
      </c>
      <c r="T143" s="490">
        <f t="shared" si="127"/>
        <v>18957.496347031967</v>
      </c>
      <c r="U143" s="491">
        <f t="shared" si="128"/>
        <v>189.11</v>
      </c>
      <c r="V143" s="519"/>
      <c r="W143" s="519"/>
      <c r="X143" s="519"/>
      <c r="Y143" s="519"/>
      <c r="Z143" s="462">
        <f t="shared" si="129"/>
        <v>189.11</v>
      </c>
      <c r="AA143" s="462">
        <f t="shared" si="130"/>
        <v>3976.18</v>
      </c>
      <c r="AB143" s="489">
        <v>1000</v>
      </c>
    </row>
    <row r="144" spans="1:32" s="507" customFormat="1" ht="15" customHeight="1">
      <c r="A144" s="456"/>
      <c r="B144" s="500"/>
      <c r="C144" s="501"/>
      <c r="D144" s="456"/>
      <c r="E144" s="456"/>
      <c r="F144" s="538"/>
      <c r="G144" s="539">
        <f>SUM(G65:G143)</f>
        <v>5892.170000000001</v>
      </c>
      <c r="H144" s="539">
        <f>SUM(H5:H143)</f>
        <v>316345.7</v>
      </c>
      <c r="I144" s="539">
        <f t="shared" ref="I144:AB144" si="131">SUM(I65:I143)</f>
        <v>707060.39999999991</v>
      </c>
      <c r="J144" s="539">
        <f t="shared" si="131"/>
        <v>316</v>
      </c>
      <c r="K144" s="539">
        <f>SUM(K65:K143)</f>
        <v>210</v>
      </c>
      <c r="L144" s="539">
        <f t="shared" si="131"/>
        <v>139040</v>
      </c>
      <c r="M144" s="539">
        <f>SUM(M65:M143)</f>
        <v>119290</v>
      </c>
      <c r="N144" s="539">
        <f>SUM(N65:N143)</f>
        <v>19750</v>
      </c>
      <c r="O144" s="540">
        <f t="shared" si="131"/>
        <v>321907.27000000008</v>
      </c>
      <c r="P144" s="539">
        <f t="shared" si="131"/>
        <v>98755.033333333282</v>
      </c>
      <c r="Q144" s="539">
        <f t="shared" si="131"/>
        <v>97402.224657534272</v>
      </c>
      <c r="R144" s="539">
        <f t="shared" si="131"/>
        <v>5194.5205479452025</v>
      </c>
      <c r="S144" s="539">
        <f t="shared" si="131"/>
        <v>1264060.4000000011</v>
      </c>
      <c r="T144" s="539">
        <f t="shared" si="131"/>
        <v>1465412.1785388128</v>
      </c>
      <c r="U144" s="539">
        <f t="shared" si="131"/>
        <v>14594.240000000013</v>
      </c>
      <c r="V144" s="539">
        <f t="shared" si="131"/>
        <v>0</v>
      </c>
      <c r="W144" s="539">
        <f t="shared" si="131"/>
        <v>240</v>
      </c>
      <c r="X144" s="539">
        <f t="shared" si="131"/>
        <v>0</v>
      </c>
      <c r="Y144" s="539">
        <f t="shared" si="131"/>
        <v>16901.73</v>
      </c>
      <c r="Z144" s="539">
        <f t="shared" si="131"/>
        <v>31735.970000000012</v>
      </c>
      <c r="AA144" s="539">
        <f t="shared" si="131"/>
        <v>290171.2999999997</v>
      </c>
      <c r="AB144" s="539">
        <f t="shared" si="131"/>
        <v>79000</v>
      </c>
      <c r="AC144" s="547"/>
      <c r="AF144" s="507">
        <v>6</v>
      </c>
    </row>
  </sheetData>
  <mergeCells count="2">
    <mergeCell ref="A1:N1"/>
    <mergeCell ref="A3:N3"/>
  </mergeCells>
  <conditionalFormatting sqref="D76">
    <cfRule type="duplicateValues" dxfId="116" priority="39" stopIfTrue="1"/>
  </conditionalFormatting>
  <conditionalFormatting sqref="D76">
    <cfRule type="duplicateValues" dxfId="115" priority="40"/>
  </conditionalFormatting>
  <conditionalFormatting sqref="D67">
    <cfRule type="duplicateValues" dxfId="114" priority="41" stopIfTrue="1"/>
  </conditionalFormatting>
  <conditionalFormatting sqref="D67">
    <cfRule type="duplicateValues" dxfId="113" priority="42"/>
  </conditionalFormatting>
  <conditionalFormatting sqref="D48">
    <cfRule type="duplicateValues" dxfId="112" priority="43" stopIfTrue="1"/>
  </conditionalFormatting>
  <conditionalFormatting sqref="D37">
    <cfRule type="duplicateValues" dxfId="111" priority="44" stopIfTrue="1"/>
  </conditionalFormatting>
  <conditionalFormatting sqref="D38">
    <cfRule type="duplicateValues" dxfId="110" priority="45" stopIfTrue="1"/>
  </conditionalFormatting>
  <conditionalFormatting sqref="D31:D32">
    <cfRule type="duplicateValues" dxfId="109" priority="46" stopIfTrue="1"/>
  </conditionalFormatting>
  <conditionalFormatting sqref="D15">
    <cfRule type="duplicateValues" dxfId="108" priority="47" stopIfTrue="1"/>
  </conditionalFormatting>
  <conditionalFormatting sqref="D11">
    <cfRule type="duplicateValues" dxfId="107" priority="48" stopIfTrue="1"/>
  </conditionalFormatting>
  <conditionalFormatting sqref="D11">
    <cfRule type="duplicateValues" dxfId="106" priority="49"/>
  </conditionalFormatting>
  <conditionalFormatting sqref="D12:D13">
    <cfRule type="duplicateValues" dxfId="105" priority="50" stopIfTrue="1"/>
  </conditionalFormatting>
  <conditionalFormatting sqref="D12:D13">
    <cfRule type="duplicateValues" dxfId="104" priority="51"/>
  </conditionalFormatting>
  <conditionalFormatting sqref="D4">
    <cfRule type="duplicateValues" dxfId="103" priority="52"/>
  </conditionalFormatting>
  <conditionalFormatting sqref="D4">
    <cfRule type="duplicateValues" dxfId="102" priority="53" stopIfTrue="1"/>
  </conditionalFormatting>
  <conditionalFormatting sqref="D4">
    <cfRule type="duplicateValues" dxfId="101" priority="54"/>
  </conditionalFormatting>
  <conditionalFormatting sqref="A3">
    <cfRule type="duplicateValues" dxfId="100" priority="91"/>
  </conditionalFormatting>
  <conditionalFormatting sqref="D18">
    <cfRule type="duplicateValues" dxfId="99" priority="103" stopIfTrue="1"/>
  </conditionalFormatting>
  <conditionalFormatting sqref="D23:D29">
    <cfRule type="duplicateValues" dxfId="98" priority="104" stopIfTrue="1"/>
  </conditionalFormatting>
  <conditionalFormatting sqref="D19">
    <cfRule type="duplicateValues" dxfId="97" priority="105" stopIfTrue="1"/>
  </conditionalFormatting>
  <conditionalFormatting sqref="D10">
    <cfRule type="duplicateValues" dxfId="96" priority="106" stopIfTrue="1"/>
  </conditionalFormatting>
  <conditionalFormatting sqref="D72:D75 D65">
    <cfRule type="duplicateValues" dxfId="95" priority="107" stopIfTrue="1"/>
  </conditionalFormatting>
  <conditionalFormatting sqref="D6">
    <cfRule type="duplicateValues" dxfId="94" priority="33" stopIfTrue="1"/>
  </conditionalFormatting>
  <conditionalFormatting sqref="D6">
    <cfRule type="duplicateValues" dxfId="93" priority="34"/>
  </conditionalFormatting>
  <conditionalFormatting sqref="D6">
    <cfRule type="duplicateValues" dxfId="92" priority="35"/>
  </conditionalFormatting>
  <conditionalFormatting sqref="D7">
    <cfRule type="duplicateValues" dxfId="91" priority="36" stopIfTrue="1"/>
  </conditionalFormatting>
  <conditionalFormatting sqref="D7">
    <cfRule type="duplicateValues" dxfId="90" priority="37"/>
  </conditionalFormatting>
  <conditionalFormatting sqref="D7">
    <cfRule type="duplicateValues" dxfId="89" priority="38"/>
  </conditionalFormatting>
  <conditionalFormatting sqref="D56:D58">
    <cfRule type="duplicateValues" dxfId="88" priority="30" stopIfTrue="1"/>
  </conditionalFormatting>
  <conditionalFormatting sqref="D60">
    <cfRule type="duplicateValues" dxfId="87" priority="27" stopIfTrue="1"/>
  </conditionalFormatting>
  <conditionalFormatting sqref="D60">
    <cfRule type="duplicateValues" dxfId="86" priority="28"/>
  </conditionalFormatting>
  <conditionalFormatting sqref="D60">
    <cfRule type="duplicateValues" dxfId="85" priority="29"/>
  </conditionalFormatting>
  <conditionalFormatting sqref="D56:D58">
    <cfRule type="duplicateValues" dxfId="84" priority="31"/>
  </conditionalFormatting>
  <conditionalFormatting sqref="D56:D58">
    <cfRule type="duplicateValues" dxfId="83" priority="32"/>
  </conditionalFormatting>
  <conditionalFormatting sqref="D51">
    <cfRule type="duplicateValues" dxfId="82" priority="24" stopIfTrue="1"/>
  </conditionalFormatting>
  <conditionalFormatting sqref="D51">
    <cfRule type="duplicateValues" dxfId="81" priority="25"/>
  </conditionalFormatting>
  <conditionalFormatting sqref="D51">
    <cfRule type="duplicateValues" dxfId="80" priority="26"/>
  </conditionalFormatting>
  <conditionalFormatting sqref="D16:D17 D14">
    <cfRule type="duplicateValues" dxfId="79" priority="108" stopIfTrue="1"/>
  </conditionalFormatting>
  <conditionalFormatting sqref="D36">
    <cfRule type="duplicateValues" dxfId="78" priority="109" stopIfTrue="1"/>
  </conditionalFormatting>
  <conditionalFormatting sqref="D53">
    <cfRule type="duplicateValues" dxfId="77" priority="110" stopIfTrue="1"/>
  </conditionalFormatting>
  <conditionalFormatting sqref="D53">
    <cfRule type="duplicateValues" dxfId="76" priority="111"/>
  </conditionalFormatting>
  <conditionalFormatting sqref="D53">
    <cfRule type="duplicateValues" dxfId="75" priority="112"/>
  </conditionalFormatting>
  <conditionalFormatting sqref="B3">
    <cfRule type="duplicateValues" dxfId="74" priority="12"/>
  </conditionalFormatting>
  <conditionalFormatting sqref="D39:D46 D8">
    <cfRule type="duplicateValues" dxfId="73" priority="113" stopIfTrue="1"/>
  </conditionalFormatting>
  <conditionalFormatting sqref="D99:D100 D77:D81 D68:D71 D66 D83:D97">
    <cfRule type="duplicateValues" dxfId="72" priority="114" stopIfTrue="1"/>
  </conditionalFormatting>
  <conditionalFormatting sqref="D99:D100 D76:D81 D68:D71 D66 D83:D97">
    <cfRule type="duplicateValues" dxfId="71" priority="115"/>
  </conditionalFormatting>
  <conditionalFormatting sqref="D99:D100 D77:D81 D68:D71 D66 D83:D97">
    <cfRule type="duplicateValues" dxfId="70" priority="116"/>
  </conditionalFormatting>
  <conditionalFormatting sqref="D82">
    <cfRule type="duplicateValues" dxfId="69" priority="9" stopIfTrue="1"/>
  </conditionalFormatting>
  <conditionalFormatting sqref="D82">
    <cfRule type="duplicateValues" dxfId="68" priority="10"/>
  </conditionalFormatting>
  <conditionalFormatting sqref="D82">
    <cfRule type="duplicateValues" dxfId="67" priority="11"/>
  </conditionalFormatting>
  <conditionalFormatting sqref="D98">
    <cfRule type="duplicateValues" dxfId="66" priority="6" stopIfTrue="1"/>
  </conditionalFormatting>
  <conditionalFormatting sqref="D98">
    <cfRule type="duplicateValues" dxfId="65" priority="7"/>
  </conditionalFormatting>
  <conditionalFormatting sqref="D98">
    <cfRule type="duplicateValues" dxfId="64" priority="8"/>
  </conditionalFormatting>
  <conditionalFormatting sqref="D49">
    <cfRule type="duplicateValues" dxfId="63" priority="117" stopIfTrue="1"/>
  </conditionalFormatting>
  <conditionalFormatting sqref="D49">
    <cfRule type="duplicateValues" dxfId="62" priority="118"/>
  </conditionalFormatting>
  <conditionalFormatting sqref="D49">
    <cfRule type="duplicateValues" dxfId="61" priority="119"/>
  </conditionalFormatting>
  <conditionalFormatting sqref="D30">
    <cfRule type="duplicateValues" dxfId="60" priority="3" stopIfTrue="1"/>
  </conditionalFormatting>
  <conditionalFormatting sqref="D30">
    <cfRule type="duplicateValues" dxfId="59" priority="4"/>
  </conditionalFormatting>
  <conditionalFormatting sqref="D30">
    <cfRule type="duplicateValues" dxfId="58" priority="5"/>
  </conditionalFormatting>
  <conditionalFormatting sqref="D101:D143">
    <cfRule type="duplicateValues" dxfId="57" priority="120" stopIfTrue="1"/>
  </conditionalFormatting>
  <conditionalFormatting sqref="D101:D143">
    <cfRule type="duplicateValues" dxfId="56" priority="121"/>
  </conditionalFormatting>
  <conditionalFormatting sqref="D101:D143">
    <cfRule type="duplicateValues" dxfId="55" priority="122"/>
  </conditionalFormatting>
  <conditionalFormatting sqref="D20:D22">
    <cfRule type="duplicateValues" dxfId="54" priority="123" stopIfTrue="1"/>
  </conditionalFormatting>
  <conditionalFormatting sqref="D9 D5">
    <cfRule type="duplicateValues" dxfId="53" priority="124" stopIfTrue="1"/>
  </conditionalFormatting>
  <conditionalFormatting sqref="D61 D59 D52">
    <cfRule type="duplicateValues" dxfId="52" priority="125" stopIfTrue="1"/>
  </conditionalFormatting>
  <conditionalFormatting sqref="D61 D59 D52">
    <cfRule type="duplicateValues" dxfId="51" priority="126"/>
  </conditionalFormatting>
  <conditionalFormatting sqref="D61 D59 D52">
    <cfRule type="duplicateValues" dxfId="50" priority="127"/>
  </conditionalFormatting>
  <conditionalFormatting sqref="D50">
    <cfRule type="duplicateValues" dxfId="49" priority="128" stopIfTrue="1"/>
  </conditionalFormatting>
  <conditionalFormatting sqref="D65 D50 D31:D46 D14:D29 D48 D8:D10 D5 D72:D75">
    <cfRule type="duplicateValues" dxfId="48" priority="129"/>
  </conditionalFormatting>
  <conditionalFormatting sqref="D65 D50 D31:D46 D14:D29 D48 D8:D11 D5 D72:D75">
    <cfRule type="duplicateValues" dxfId="47" priority="130"/>
  </conditionalFormatting>
  <conditionalFormatting sqref="D33:D35">
    <cfRule type="duplicateValues" dxfId="46" priority="131" stopIfTrue="1"/>
  </conditionalFormatting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36"/>
  <sheetViews>
    <sheetView topLeftCell="S1" workbookViewId="0">
      <selection activeCell="AH6" sqref="AH6:AH14"/>
    </sheetView>
  </sheetViews>
  <sheetFormatPr baseColWidth="10" defaultRowHeight="15"/>
  <cols>
    <col min="31" max="31" width="21.28515625" customWidth="1"/>
    <col min="32" max="32" width="27.140625" bestFit="1" customWidth="1"/>
    <col min="33" max="33" width="19" customWidth="1"/>
    <col min="34" max="34" width="17.85546875" customWidth="1"/>
  </cols>
  <sheetData>
    <row r="1" spans="1:34" s="486" customFormat="1" ht="20.25">
      <c r="A1" s="732" t="s">
        <v>1438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505"/>
      <c r="P1" s="505"/>
      <c r="Q1" s="505"/>
      <c r="R1" s="505"/>
      <c r="S1" s="506"/>
      <c r="T1" s="506"/>
      <c r="U1" s="505"/>
      <c r="V1" s="505"/>
      <c r="W1" s="505"/>
      <c r="X1" s="505"/>
      <c r="Y1" s="505"/>
      <c r="Z1" s="505"/>
      <c r="AA1" s="505"/>
    </row>
    <row r="2" spans="1:34" s="486" customFormat="1" ht="12.75" thickBot="1">
      <c r="C2" s="494"/>
      <c r="F2" s="509"/>
      <c r="S2" s="508"/>
      <c r="T2" s="508"/>
    </row>
    <row r="3" spans="1:34" s="486" customFormat="1" ht="18">
      <c r="A3" s="735" t="s">
        <v>1439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495"/>
      <c r="P3" s="495"/>
      <c r="Q3" s="495"/>
      <c r="R3" s="495"/>
      <c r="S3" s="496"/>
      <c r="T3" s="496"/>
      <c r="U3" s="495"/>
      <c r="V3" s="495"/>
      <c r="W3" s="495"/>
      <c r="X3" s="495"/>
      <c r="Y3" s="495"/>
      <c r="Z3" s="495"/>
      <c r="AA3" s="495"/>
    </row>
    <row r="4" spans="1:34" s="486" customFormat="1" ht="36.75">
      <c r="A4" s="543" t="s">
        <v>149</v>
      </c>
      <c r="B4" s="449" t="s">
        <v>150</v>
      </c>
      <c r="C4" s="450" t="s">
        <v>151</v>
      </c>
      <c r="D4" s="544" t="s">
        <v>152</v>
      </c>
      <c r="E4" s="544" t="s">
        <v>153</v>
      </c>
      <c r="F4" s="545" t="s">
        <v>269</v>
      </c>
      <c r="G4" s="546" t="s">
        <v>155</v>
      </c>
      <c r="H4" s="454" t="s">
        <v>156</v>
      </c>
      <c r="I4" s="454" t="s">
        <v>157</v>
      </c>
      <c r="J4" s="454" t="s">
        <v>158</v>
      </c>
      <c r="K4" s="485" t="s">
        <v>159</v>
      </c>
      <c r="L4" s="485" t="s">
        <v>225</v>
      </c>
      <c r="M4" s="485" t="s">
        <v>160</v>
      </c>
      <c r="N4" s="485" t="s">
        <v>161</v>
      </c>
      <c r="O4" s="485" t="s">
        <v>162</v>
      </c>
      <c r="P4" s="485" t="s">
        <v>232</v>
      </c>
      <c r="Q4" s="485" t="s">
        <v>233</v>
      </c>
      <c r="R4" s="455" t="s">
        <v>234</v>
      </c>
      <c r="S4" s="531" t="s">
        <v>235</v>
      </c>
      <c r="T4" s="531" t="s">
        <v>236</v>
      </c>
      <c r="U4" s="485" t="s">
        <v>237</v>
      </c>
      <c r="V4" s="485" t="s">
        <v>238</v>
      </c>
      <c r="W4" s="485" t="s">
        <v>239</v>
      </c>
      <c r="X4" s="485" t="s">
        <v>267</v>
      </c>
      <c r="Y4" s="485" t="s">
        <v>1176</v>
      </c>
      <c r="Z4" s="485" t="s">
        <v>240</v>
      </c>
      <c r="AA4" s="485" t="s">
        <v>241</v>
      </c>
      <c r="AB4" s="455" t="s">
        <v>242</v>
      </c>
      <c r="AE4"/>
      <c r="AF4"/>
      <c r="AG4"/>
      <c r="AH4" s="480"/>
    </row>
    <row r="5" spans="1:34" s="507" customFormat="1">
      <c r="A5" s="456">
        <v>1</v>
      </c>
      <c r="B5" s="466" t="s">
        <v>1440</v>
      </c>
      <c r="C5" s="497">
        <v>9901443854</v>
      </c>
      <c r="D5" s="459" t="s">
        <v>1441</v>
      </c>
      <c r="E5" s="460" t="s">
        <v>38</v>
      </c>
      <c r="F5" s="461">
        <v>31</v>
      </c>
      <c r="G5" s="498">
        <v>71.400000000000006</v>
      </c>
      <c r="H5" s="462">
        <f t="shared" ref="H5:H11" si="0">+F5*G5</f>
        <v>2213.4</v>
      </c>
      <c r="I5" s="462">
        <f t="shared" ref="I5:I11" si="1">G5*120</f>
        <v>8568</v>
      </c>
      <c r="J5" s="463">
        <v>4</v>
      </c>
      <c r="K5" s="534"/>
      <c r="L5" s="462">
        <f t="shared" ref="L5:L11" si="2">M5+N5</f>
        <v>1760</v>
      </c>
      <c r="M5" s="462">
        <v>1510</v>
      </c>
      <c r="N5" s="462">
        <v>250</v>
      </c>
      <c r="O5" s="462">
        <f t="shared" ref="O5:O11" si="3">+H5+M5+N5+K5</f>
        <v>3973.4</v>
      </c>
      <c r="P5" s="488">
        <f t="shared" ref="P5:P11" si="4">(((G5*120)+(K5+M5)*4)/12)</f>
        <v>1217.3333333333333</v>
      </c>
      <c r="Q5" s="489">
        <f t="shared" ref="Q5:Q11" si="5">(((G5*30)+M5+K5)/365*120)</f>
        <v>1200.6575342465753</v>
      </c>
      <c r="R5" s="489">
        <f t="shared" ref="R5:R11" si="6">+(200/365)*120</f>
        <v>65.753424657534239</v>
      </c>
      <c r="S5" s="490">
        <f t="shared" ref="S5:S11" si="7">(((G5*120)+((K5+M5+N5)*4)))</f>
        <v>15608</v>
      </c>
      <c r="T5" s="490">
        <f t="shared" ref="T5:T11" si="8">+S5+R5+Q5+P5</f>
        <v>18091.744292237443</v>
      </c>
      <c r="U5" s="491">
        <f t="shared" ref="U5:U11" si="9">ROUND((((H5+K5+M5)*4.83)/100),2)</f>
        <v>179.84</v>
      </c>
      <c r="V5" s="498"/>
      <c r="W5" s="498"/>
      <c r="X5" s="498"/>
      <c r="Y5" s="498">
        <v>690.08</v>
      </c>
      <c r="Z5" s="462">
        <f t="shared" ref="Z5:Z11" si="10">V5+W5+X5+Y5+U5</f>
        <v>869.92000000000007</v>
      </c>
      <c r="AA5" s="462">
        <f t="shared" ref="AA5:AA11" si="11">+O5-Z5</f>
        <v>3103.48</v>
      </c>
      <c r="AB5" s="489">
        <v>1000</v>
      </c>
      <c r="AE5" s="479" t="s">
        <v>226</v>
      </c>
      <c r="AF5" t="s">
        <v>228</v>
      </c>
      <c r="AG5" t="s">
        <v>229</v>
      </c>
      <c r="AH5" t="s">
        <v>231</v>
      </c>
    </row>
    <row r="6" spans="1:34" s="507" customFormat="1">
      <c r="A6" s="456">
        <v>2</v>
      </c>
      <c r="B6" s="466" t="s">
        <v>1442</v>
      </c>
      <c r="C6" s="528">
        <v>9901443817</v>
      </c>
      <c r="D6" s="459" t="s">
        <v>1443</v>
      </c>
      <c r="E6" s="460" t="s">
        <v>37</v>
      </c>
      <c r="F6" s="461">
        <v>31</v>
      </c>
      <c r="G6" s="498">
        <v>80.86</v>
      </c>
      <c r="H6" s="462">
        <f t="shared" si="0"/>
        <v>2506.66</v>
      </c>
      <c r="I6" s="462">
        <f t="shared" si="1"/>
        <v>9703.2000000000007</v>
      </c>
      <c r="J6" s="463">
        <v>4</v>
      </c>
      <c r="K6" s="534"/>
      <c r="L6" s="462">
        <f t="shared" si="2"/>
        <v>1760</v>
      </c>
      <c r="M6" s="462">
        <v>1510</v>
      </c>
      <c r="N6" s="462">
        <v>250</v>
      </c>
      <c r="O6" s="462">
        <f t="shared" si="3"/>
        <v>4266.66</v>
      </c>
      <c r="P6" s="488">
        <f t="shared" si="4"/>
        <v>1311.9333333333334</v>
      </c>
      <c r="Q6" s="489">
        <f t="shared" si="5"/>
        <v>1293.9616438356165</v>
      </c>
      <c r="R6" s="489">
        <f t="shared" si="6"/>
        <v>65.753424657534239</v>
      </c>
      <c r="S6" s="490">
        <f t="shared" si="7"/>
        <v>16743.2</v>
      </c>
      <c r="T6" s="490">
        <f t="shared" si="8"/>
        <v>19414.848401826486</v>
      </c>
      <c r="U6" s="491">
        <f t="shared" si="9"/>
        <v>194</v>
      </c>
      <c r="V6" s="498"/>
      <c r="W6" s="462">
        <v>10</v>
      </c>
      <c r="X6" s="498"/>
      <c r="Y6" s="498">
        <v>1477.63</v>
      </c>
      <c r="Z6" s="462">
        <f t="shared" si="10"/>
        <v>1681.63</v>
      </c>
      <c r="AA6" s="462">
        <f t="shared" si="11"/>
        <v>2585.0299999999997</v>
      </c>
      <c r="AB6" s="489">
        <v>1000</v>
      </c>
      <c r="AE6" s="480" t="s">
        <v>35</v>
      </c>
      <c r="AF6" s="481">
        <v>9</v>
      </c>
      <c r="AG6" s="481">
        <v>71.400000000000006</v>
      </c>
      <c r="AH6" s="481">
        <v>235</v>
      </c>
    </row>
    <row r="7" spans="1:34" s="507" customFormat="1">
      <c r="A7" s="456">
        <v>3</v>
      </c>
      <c r="B7" s="457" t="s">
        <v>1444</v>
      </c>
      <c r="C7" s="497">
        <v>9901451047</v>
      </c>
      <c r="D7" s="459" t="s">
        <v>1445</v>
      </c>
      <c r="E7" s="460" t="s">
        <v>35</v>
      </c>
      <c r="F7" s="461">
        <v>31</v>
      </c>
      <c r="G7" s="498">
        <v>71.400000000000006</v>
      </c>
      <c r="H7" s="462">
        <f t="shared" si="0"/>
        <v>2213.4</v>
      </c>
      <c r="I7" s="462">
        <f t="shared" si="1"/>
        <v>8568</v>
      </c>
      <c r="J7" s="463">
        <v>4</v>
      </c>
      <c r="K7" s="534"/>
      <c r="L7" s="462">
        <f t="shared" si="2"/>
        <v>1760</v>
      </c>
      <c r="M7" s="462">
        <v>1510</v>
      </c>
      <c r="N7" s="462">
        <v>250</v>
      </c>
      <c r="O7" s="462">
        <f t="shared" si="3"/>
        <v>3973.4</v>
      </c>
      <c r="P7" s="488">
        <f t="shared" si="4"/>
        <v>1217.3333333333333</v>
      </c>
      <c r="Q7" s="489">
        <f t="shared" si="5"/>
        <v>1200.6575342465753</v>
      </c>
      <c r="R7" s="489">
        <f t="shared" si="6"/>
        <v>65.753424657534239</v>
      </c>
      <c r="S7" s="490">
        <f t="shared" si="7"/>
        <v>15608</v>
      </c>
      <c r="T7" s="490">
        <f t="shared" si="8"/>
        <v>18091.744292237443</v>
      </c>
      <c r="U7" s="491">
        <f t="shared" si="9"/>
        <v>179.84</v>
      </c>
      <c r="V7" s="498"/>
      <c r="W7" s="498"/>
      <c r="X7" s="498"/>
      <c r="Y7" s="498"/>
      <c r="Z7" s="462">
        <f t="shared" si="10"/>
        <v>179.84</v>
      </c>
      <c r="AA7" s="462">
        <f t="shared" si="11"/>
        <v>3793.56</v>
      </c>
      <c r="AB7" s="489">
        <v>1000</v>
      </c>
      <c r="AE7" s="480" t="s">
        <v>67</v>
      </c>
      <c r="AF7" s="481">
        <v>1</v>
      </c>
      <c r="AG7" s="481">
        <v>73.59</v>
      </c>
      <c r="AH7" s="481">
        <v>50</v>
      </c>
    </row>
    <row r="8" spans="1:34" s="507" customFormat="1">
      <c r="A8" s="456">
        <v>4</v>
      </c>
      <c r="B8" s="466" t="s">
        <v>1446</v>
      </c>
      <c r="C8" s="497">
        <v>9901443544</v>
      </c>
      <c r="D8" s="459" t="s">
        <v>1447</v>
      </c>
      <c r="E8" s="460" t="s">
        <v>67</v>
      </c>
      <c r="F8" s="461">
        <v>31</v>
      </c>
      <c r="G8" s="498">
        <v>73.59</v>
      </c>
      <c r="H8" s="462">
        <f t="shared" si="0"/>
        <v>2281.29</v>
      </c>
      <c r="I8" s="462">
        <f t="shared" si="1"/>
        <v>8830.8000000000011</v>
      </c>
      <c r="J8" s="463">
        <v>4</v>
      </c>
      <c r="K8" s="534">
        <v>50</v>
      </c>
      <c r="L8" s="462">
        <f t="shared" si="2"/>
        <v>1760</v>
      </c>
      <c r="M8" s="462">
        <v>1510</v>
      </c>
      <c r="N8" s="462">
        <v>250</v>
      </c>
      <c r="O8" s="462">
        <f t="shared" si="3"/>
        <v>4091.29</v>
      </c>
      <c r="P8" s="488">
        <f t="shared" si="4"/>
        <v>1255.9000000000001</v>
      </c>
      <c r="Q8" s="489">
        <f t="shared" si="5"/>
        <v>1238.695890410959</v>
      </c>
      <c r="R8" s="489">
        <f t="shared" si="6"/>
        <v>65.753424657534239</v>
      </c>
      <c r="S8" s="490">
        <f t="shared" si="7"/>
        <v>16070.800000000001</v>
      </c>
      <c r="T8" s="490">
        <f t="shared" si="8"/>
        <v>18631.149315068495</v>
      </c>
      <c r="U8" s="491">
        <f t="shared" si="9"/>
        <v>185.53</v>
      </c>
      <c r="V8" s="498"/>
      <c r="W8" s="498"/>
      <c r="X8" s="498"/>
      <c r="Y8" s="498"/>
      <c r="Z8" s="462">
        <f t="shared" si="10"/>
        <v>185.53</v>
      </c>
      <c r="AA8" s="462">
        <f t="shared" si="11"/>
        <v>3905.7599999999998</v>
      </c>
      <c r="AB8" s="489">
        <v>1000</v>
      </c>
      <c r="AE8" s="480" t="s">
        <v>50</v>
      </c>
      <c r="AF8" s="481">
        <v>1</v>
      </c>
      <c r="AG8" s="481">
        <v>74.63</v>
      </c>
      <c r="AH8" s="481">
        <v>75</v>
      </c>
    </row>
    <row r="9" spans="1:34" s="507" customFormat="1">
      <c r="A9" s="456">
        <v>5</v>
      </c>
      <c r="B9" s="457" t="s">
        <v>1448</v>
      </c>
      <c r="C9" s="497">
        <v>9901443657</v>
      </c>
      <c r="D9" s="459" t="s">
        <v>1449</v>
      </c>
      <c r="E9" s="460" t="s">
        <v>35</v>
      </c>
      <c r="F9" s="461">
        <v>31</v>
      </c>
      <c r="G9" s="498">
        <v>71.400000000000006</v>
      </c>
      <c r="H9" s="462">
        <f t="shared" si="0"/>
        <v>2213.4</v>
      </c>
      <c r="I9" s="462">
        <f t="shared" si="1"/>
        <v>8568</v>
      </c>
      <c r="J9" s="463">
        <v>4</v>
      </c>
      <c r="K9" s="534">
        <v>75</v>
      </c>
      <c r="L9" s="462">
        <f t="shared" si="2"/>
        <v>1760</v>
      </c>
      <c r="M9" s="462">
        <v>1510</v>
      </c>
      <c r="N9" s="462">
        <v>250</v>
      </c>
      <c r="O9" s="462">
        <f t="shared" si="3"/>
        <v>4048.4</v>
      </c>
      <c r="P9" s="488">
        <f t="shared" si="4"/>
        <v>1242.3333333333333</v>
      </c>
      <c r="Q9" s="489">
        <f t="shared" si="5"/>
        <v>1225.3150684931506</v>
      </c>
      <c r="R9" s="489">
        <f t="shared" si="6"/>
        <v>65.753424657534239</v>
      </c>
      <c r="S9" s="490">
        <f t="shared" si="7"/>
        <v>15908</v>
      </c>
      <c r="T9" s="490">
        <f t="shared" si="8"/>
        <v>18441.401826484016</v>
      </c>
      <c r="U9" s="491">
        <f t="shared" si="9"/>
        <v>183.46</v>
      </c>
      <c r="V9" s="498"/>
      <c r="W9" s="498">
        <v>10</v>
      </c>
      <c r="X9" s="498"/>
      <c r="Y9" s="498">
        <v>2781.02</v>
      </c>
      <c r="Z9" s="462">
        <f t="shared" si="10"/>
        <v>2974.48</v>
      </c>
      <c r="AA9" s="462">
        <f t="shared" si="11"/>
        <v>1073.92</v>
      </c>
      <c r="AB9" s="489">
        <v>1000</v>
      </c>
      <c r="AE9" s="480" t="s">
        <v>38</v>
      </c>
      <c r="AF9" s="481">
        <v>7</v>
      </c>
      <c r="AG9" s="481">
        <v>71.400000000000006</v>
      </c>
      <c r="AH9" s="481">
        <v>0</v>
      </c>
    </row>
    <row r="10" spans="1:34" s="507" customFormat="1">
      <c r="A10" s="456">
        <v>6</v>
      </c>
      <c r="B10" s="466" t="s">
        <v>1450</v>
      </c>
      <c r="C10" s="497">
        <v>9901442595</v>
      </c>
      <c r="D10" s="459" t="s">
        <v>1451</v>
      </c>
      <c r="E10" s="460" t="s">
        <v>38</v>
      </c>
      <c r="F10" s="461">
        <v>31</v>
      </c>
      <c r="G10" s="498">
        <v>71.400000000000006</v>
      </c>
      <c r="H10" s="462">
        <f t="shared" si="0"/>
        <v>2213.4</v>
      </c>
      <c r="I10" s="462">
        <f t="shared" si="1"/>
        <v>8568</v>
      </c>
      <c r="J10" s="463">
        <v>4</v>
      </c>
      <c r="K10" s="534"/>
      <c r="L10" s="462">
        <f t="shared" si="2"/>
        <v>1760</v>
      </c>
      <c r="M10" s="462">
        <v>1510</v>
      </c>
      <c r="N10" s="462">
        <v>250</v>
      </c>
      <c r="O10" s="462">
        <f t="shared" si="3"/>
        <v>3973.4</v>
      </c>
      <c r="P10" s="488">
        <f t="shared" si="4"/>
        <v>1217.3333333333333</v>
      </c>
      <c r="Q10" s="489">
        <f t="shared" si="5"/>
        <v>1200.6575342465753</v>
      </c>
      <c r="R10" s="489">
        <f t="shared" si="6"/>
        <v>65.753424657534239</v>
      </c>
      <c r="S10" s="490">
        <f t="shared" si="7"/>
        <v>15608</v>
      </c>
      <c r="T10" s="490">
        <f t="shared" si="8"/>
        <v>18091.744292237443</v>
      </c>
      <c r="U10" s="491">
        <f t="shared" si="9"/>
        <v>179.84</v>
      </c>
      <c r="V10" s="498"/>
      <c r="W10" s="498">
        <v>10</v>
      </c>
      <c r="X10" s="498"/>
      <c r="Y10" s="498"/>
      <c r="Z10" s="462">
        <f t="shared" si="10"/>
        <v>189.84</v>
      </c>
      <c r="AA10" s="462">
        <f t="shared" si="11"/>
        <v>3783.56</v>
      </c>
      <c r="AB10" s="489">
        <v>1000</v>
      </c>
      <c r="AE10" s="480" t="s">
        <v>68</v>
      </c>
      <c r="AF10" s="481">
        <v>2</v>
      </c>
      <c r="AG10" s="481">
        <v>72.540000000000006</v>
      </c>
      <c r="AH10" s="481">
        <v>100</v>
      </c>
    </row>
    <row r="11" spans="1:34" s="507" customFormat="1">
      <c r="A11" s="456">
        <v>7</v>
      </c>
      <c r="B11" s="457" t="s">
        <v>1452</v>
      </c>
      <c r="C11" s="497">
        <v>9901484074</v>
      </c>
      <c r="D11" s="459" t="s">
        <v>1453</v>
      </c>
      <c r="E11" s="460" t="s">
        <v>38</v>
      </c>
      <c r="F11" s="461">
        <v>31</v>
      </c>
      <c r="G11" s="498">
        <v>71.400000000000006</v>
      </c>
      <c r="H11" s="462">
        <f t="shared" si="0"/>
        <v>2213.4</v>
      </c>
      <c r="I11" s="462">
        <f t="shared" si="1"/>
        <v>8568</v>
      </c>
      <c r="J11" s="463">
        <v>4</v>
      </c>
      <c r="K11" s="534"/>
      <c r="L11" s="462">
        <f t="shared" si="2"/>
        <v>1760</v>
      </c>
      <c r="M11" s="462">
        <v>1510</v>
      </c>
      <c r="N11" s="462">
        <v>250</v>
      </c>
      <c r="O11" s="462">
        <f t="shared" si="3"/>
        <v>3973.4</v>
      </c>
      <c r="P11" s="488">
        <f t="shared" si="4"/>
        <v>1217.3333333333333</v>
      </c>
      <c r="Q11" s="489">
        <f t="shared" si="5"/>
        <v>1200.6575342465753</v>
      </c>
      <c r="R11" s="489">
        <f t="shared" si="6"/>
        <v>65.753424657534239</v>
      </c>
      <c r="S11" s="490">
        <f t="shared" si="7"/>
        <v>15608</v>
      </c>
      <c r="T11" s="490">
        <f t="shared" si="8"/>
        <v>18091.744292237443</v>
      </c>
      <c r="U11" s="491">
        <f t="shared" si="9"/>
        <v>179.84</v>
      </c>
      <c r="V11" s="498"/>
      <c r="W11" s="498"/>
      <c r="X11" s="498"/>
      <c r="Y11" s="498"/>
      <c r="Z11" s="462">
        <f t="shared" si="10"/>
        <v>179.84</v>
      </c>
      <c r="AA11" s="462">
        <f t="shared" si="11"/>
        <v>3793.56</v>
      </c>
      <c r="AB11" s="489">
        <v>1000</v>
      </c>
      <c r="AE11" s="480" t="s">
        <v>39</v>
      </c>
      <c r="AF11" s="481">
        <v>2</v>
      </c>
      <c r="AG11" s="481">
        <v>78.25</v>
      </c>
      <c r="AH11" s="481">
        <v>150</v>
      </c>
    </row>
    <row r="12" spans="1:34" s="507" customFormat="1">
      <c r="A12" s="456">
        <v>1</v>
      </c>
      <c r="B12" s="457" t="s">
        <v>1454</v>
      </c>
      <c r="C12" s="497">
        <v>9901443606</v>
      </c>
      <c r="D12" s="459" t="s">
        <v>1455</v>
      </c>
      <c r="E12" s="460" t="s">
        <v>39</v>
      </c>
      <c r="F12" s="461">
        <v>31</v>
      </c>
      <c r="G12" s="498">
        <v>78.25</v>
      </c>
      <c r="H12" s="462">
        <f t="shared" ref="H12:H22" si="12">+F12*G12</f>
        <v>2425.75</v>
      </c>
      <c r="I12" s="462">
        <f t="shared" ref="I12:I22" si="13">G12*120</f>
        <v>9390</v>
      </c>
      <c r="J12" s="463">
        <v>4</v>
      </c>
      <c r="K12" s="534">
        <v>75</v>
      </c>
      <c r="L12" s="462">
        <f t="shared" ref="L12:L22" si="14">M12+N12</f>
        <v>1760</v>
      </c>
      <c r="M12" s="462">
        <v>1510</v>
      </c>
      <c r="N12" s="462">
        <v>250</v>
      </c>
      <c r="O12" s="462">
        <f t="shared" ref="O12:O22" si="15">+H12+M12+N12+K12</f>
        <v>4260.75</v>
      </c>
      <c r="P12" s="488">
        <f t="shared" ref="P12:P22" si="16">(((G12*120)+(K12+M12)*4)/12)</f>
        <v>1310.8333333333333</v>
      </c>
      <c r="Q12" s="489">
        <f t="shared" ref="Q12:Q22" si="17">(((G12*30)+M12+K12)/365*120)</f>
        <v>1292.8767123287671</v>
      </c>
      <c r="R12" s="489">
        <f t="shared" ref="R12:R22" si="18">+(200/365)*120</f>
        <v>65.753424657534239</v>
      </c>
      <c r="S12" s="490">
        <f t="shared" ref="S12:S22" si="19">(((G12*120)+((K12+M12+N12)*4)))</f>
        <v>16730</v>
      </c>
      <c r="T12" s="490">
        <f t="shared" ref="T12:T22" si="20">+S12+R12+Q12+P12</f>
        <v>19399.463470319632</v>
      </c>
      <c r="U12" s="491">
        <f t="shared" ref="U12:U22" si="21">ROUND((((H12+K12+M12)*4.83)/100),2)</f>
        <v>193.72</v>
      </c>
      <c r="V12" s="498"/>
      <c r="W12" s="498">
        <v>10</v>
      </c>
      <c r="X12" s="512">
        <v>1002.69</v>
      </c>
      <c r="Y12" s="498">
        <v>2006.26</v>
      </c>
      <c r="Z12" s="462">
        <f t="shared" ref="Z12:Z22" si="22">V12+W12+X12+Y12+U12</f>
        <v>3212.6699999999996</v>
      </c>
      <c r="AA12" s="462">
        <f t="shared" ref="AA12:AA22" si="23">+O12-Z12</f>
        <v>1048.0800000000004</v>
      </c>
      <c r="AB12" s="489">
        <v>1000</v>
      </c>
      <c r="AE12" s="480" t="s">
        <v>31</v>
      </c>
      <c r="AF12" s="481">
        <v>1</v>
      </c>
      <c r="AG12" s="481">
        <v>72.540000000000006</v>
      </c>
      <c r="AH12" s="481">
        <v>0</v>
      </c>
    </row>
    <row r="13" spans="1:34" s="507" customFormat="1">
      <c r="A13" s="456">
        <v>2</v>
      </c>
      <c r="B13" s="457" t="s">
        <v>1456</v>
      </c>
      <c r="C13" s="497">
        <v>9901443324</v>
      </c>
      <c r="D13" s="459" t="s">
        <v>1457</v>
      </c>
      <c r="E13" s="460" t="s">
        <v>35</v>
      </c>
      <c r="F13" s="461">
        <v>31</v>
      </c>
      <c r="G13" s="498">
        <v>71.400000000000006</v>
      </c>
      <c r="H13" s="462">
        <f t="shared" si="12"/>
        <v>2213.4</v>
      </c>
      <c r="I13" s="462">
        <f t="shared" si="13"/>
        <v>8568</v>
      </c>
      <c r="J13" s="463">
        <v>4</v>
      </c>
      <c r="K13" s="534"/>
      <c r="L13" s="462">
        <f t="shared" si="14"/>
        <v>1760</v>
      </c>
      <c r="M13" s="462">
        <v>1510</v>
      </c>
      <c r="N13" s="462">
        <v>250</v>
      </c>
      <c r="O13" s="462">
        <f t="shared" si="15"/>
        <v>3973.4</v>
      </c>
      <c r="P13" s="488">
        <f t="shared" si="16"/>
        <v>1217.3333333333333</v>
      </c>
      <c r="Q13" s="489">
        <f t="shared" si="17"/>
        <v>1200.6575342465753</v>
      </c>
      <c r="R13" s="489">
        <f t="shared" si="18"/>
        <v>65.753424657534239</v>
      </c>
      <c r="S13" s="490">
        <f t="shared" si="19"/>
        <v>15608</v>
      </c>
      <c r="T13" s="490">
        <f t="shared" si="20"/>
        <v>18091.744292237443</v>
      </c>
      <c r="U13" s="491">
        <f t="shared" si="21"/>
        <v>179.84</v>
      </c>
      <c r="V13" s="498"/>
      <c r="W13" s="498">
        <v>10</v>
      </c>
      <c r="X13" s="498"/>
      <c r="Y13" s="498">
        <v>1155.75</v>
      </c>
      <c r="Z13" s="462">
        <f t="shared" si="22"/>
        <v>1345.59</v>
      </c>
      <c r="AA13" s="462">
        <f t="shared" si="23"/>
        <v>2627.8100000000004</v>
      </c>
      <c r="AB13" s="489">
        <v>1000</v>
      </c>
      <c r="AE13" s="480" t="s">
        <v>69</v>
      </c>
      <c r="AF13" s="481">
        <v>4</v>
      </c>
      <c r="AG13" s="481">
        <v>71.400000000000006</v>
      </c>
      <c r="AH13" s="481">
        <v>0</v>
      </c>
    </row>
    <row r="14" spans="1:34" s="486" customFormat="1">
      <c r="A14" s="456">
        <v>3</v>
      </c>
      <c r="B14" s="466" t="s">
        <v>1458</v>
      </c>
      <c r="C14" s="497">
        <v>9901443627</v>
      </c>
      <c r="D14" s="459" t="s">
        <v>1459</v>
      </c>
      <c r="E14" s="460" t="s">
        <v>35</v>
      </c>
      <c r="F14" s="461">
        <v>31</v>
      </c>
      <c r="G14" s="498">
        <v>71.400000000000006</v>
      </c>
      <c r="H14" s="462">
        <f t="shared" si="12"/>
        <v>2213.4</v>
      </c>
      <c r="I14" s="462">
        <f t="shared" si="13"/>
        <v>8568</v>
      </c>
      <c r="J14" s="463">
        <v>4</v>
      </c>
      <c r="K14" s="465">
        <v>50</v>
      </c>
      <c r="L14" s="462">
        <f t="shared" si="14"/>
        <v>1760</v>
      </c>
      <c r="M14" s="462">
        <v>1510</v>
      </c>
      <c r="N14" s="462">
        <v>250</v>
      </c>
      <c r="O14" s="462">
        <f t="shared" si="15"/>
        <v>4023.4</v>
      </c>
      <c r="P14" s="488">
        <f t="shared" si="16"/>
        <v>1234</v>
      </c>
      <c r="Q14" s="489">
        <f t="shared" si="17"/>
        <v>1217.0958904109589</v>
      </c>
      <c r="R14" s="489">
        <f t="shared" si="18"/>
        <v>65.753424657534239</v>
      </c>
      <c r="S14" s="490">
        <f t="shared" si="19"/>
        <v>15808</v>
      </c>
      <c r="T14" s="490">
        <f t="shared" si="20"/>
        <v>18324.849315068492</v>
      </c>
      <c r="U14" s="491">
        <f t="shared" si="21"/>
        <v>182.26</v>
      </c>
      <c r="V14" s="462"/>
      <c r="W14" s="462">
        <v>10</v>
      </c>
      <c r="X14" s="512">
        <v>930.85</v>
      </c>
      <c r="Y14" s="462">
        <v>2727.71</v>
      </c>
      <c r="Z14" s="462">
        <f t="shared" si="22"/>
        <v>3850.8199999999997</v>
      </c>
      <c r="AA14" s="462">
        <f t="shared" si="23"/>
        <v>172.58000000000038</v>
      </c>
      <c r="AB14" s="489">
        <v>1000</v>
      </c>
      <c r="AE14" s="480" t="s">
        <v>37</v>
      </c>
      <c r="AF14" s="481">
        <v>4</v>
      </c>
      <c r="AG14" s="481">
        <v>80.86</v>
      </c>
      <c r="AH14" s="481">
        <v>0</v>
      </c>
    </row>
    <row r="15" spans="1:34" s="507" customFormat="1">
      <c r="A15" s="456">
        <v>4</v>
      </c>
      <c r="B15" s="457" t="s">
        <v>1460</v>
      </c>
      <c r="C15" s="497">
        <v>9901468701</v>
      </c>
      <c r="D15" s="459" t="s">
        <v>1461</v>
      </c>
      <c r="E15" s="460" t="s">
        <v>35</v>
      </c>
      <c r="F15" s="461">
        <v>31</v>
      </c>
      <c r="G15" s="498">
        <v>71.400000000000006</v>
      </c>
      <c r="H15" s="462">
        <f t="shared" si="12"/>
        <v>2213.4</v>
      </c>
      <c r="I15" s="462">
        <f t="shared" si="13"/>
        <v>8568</v>
      </c>
      <c r="J15" s="463">
        <v>4</v>
      </c>
      <c r="K15" s="534"/>
      <c r="L15" s="462">
        <f t="shared" si="14"/>
        <v>1760</v>
      </c>
      <c r="M15" s="462">
        <v>1510</v>
      </c>
      <c r="N15" s="462">
        <v>250</v>
      </c>
      <c r="O15" s="462">
        <f t="shared" si="15"/>
        <v>3973.4</v>
      </c>
      <c r="P15" s="488">
        <f t="shared" si="16"/>
        <v>1217.3333333333333</v>
      </c>
      <c r="Q15" s="489">
        <f t="shared" si="17"/>
        <v>1200.6575342465753</v>
      </c>
      <c r="R15" s="489">
        <f t="shared" si="18"/>
        <v>65.753424657534239</v>
      </c>
      <c r="S15" s="490">
        <f t="shared" si="19"/>
        <v>15608</v>
      </c>
      <c r="T15" s="490">
        <f t="shared" si="20"/>
        <v>18091.744292237443</v>
      </c>
      <c r="U15" s="491">
        <f t="shared" si="21"/>
        <v>179.84</v>
      </c>
      <c r="V15" s="498"/>
      <c r="W15" s="498"/>
      <c r="X15" s="498"/>
      <c r="Y15" s="498">
        <v>1820.55</v>
      </c>
      <c r="Z15" s="462">
        <f t="shared" si="22"/>
        <v>2000.3899999999999</v>
      </c>
      <c r="AA15" s="462">
        <f t="shared" si="23"/>
        <v>1973.0100000000002</v>
      </c>
      <c r="AB15" s="489">
        <v>1000</v>
      </c>
      <c r="AE15" s="480" t="s">
        <v>227</v>
      </c>
      <c r="AF15" s="481">
        <v>31</v>
      </c>
      <c r="AG15" s="481">
        <v>80.86</v>
      </c>
      <c r="AH15" s="481">
        <v>610</v>
      </c>
    </row>
    <row r="16" spans="1:34" s="507" customFormat="1">
      <c r="A16" s="456">
        <v>5</v>
      </c>
      <c r="B16" s="457" t="s">
        <v>1462</v>
      </c>
      <c r="C16" s="497">
        <v>9901442465</v>
      </c>
      <c r="D16" s="459" t="s">
        <v>1463</v>
      </c>
      <c r="E16" s="460" t="s">
        <v>50</v>
      </c>
      <c r="F16" s="461">
        <v>31</v>
      </c>
      <c r="G16" s="498">
        <v>74.63</v>
      </c>
      <c r="H16" s="462">
        <f t="shared" si="12"/>
        <v>2313.5299999999997</v>
      </c>
      <c r="I16" s="462">
        <f t="shared" si="13"/>
        <v>8955.5999999999985</v>
      </c>
      <c r="J16" s="463">
        <v>4</v>
      </c>
      <c r="K16" s="534">
        <v>75</v>
      </c>
      <c r="L16" s="462">
        <f t="shared" si="14"/>
        <v>1760</v>
      </c>
      <c r="M16" s="462">
        <v>1510</v>
      </c>
      <c r="N16" s="462">
        <v>250</v>
      </c>
      <c r="O16" s="462">
        <f t="shared" si="15"/>
        <v>4148.53</v>
      </c>
      <c r="P16" s="488">
        <f t="shared" si="16"/>
        <v>1274.6333333333332</v>
      </c>
      <c r="Q16" s="489">
        <f t="shared" si="17"/>
        <v>1257.172602739726</v>
      </c>
      <c r="R16" s="489">
        <f t="shared" si="18"/>
        <v>65.753424657534239</v>
      </c>
      <c r="S16" s="490">
        <f t="shared" si="19"/>
        <v>16295.599999999999</v>
      </c>
      <c r="T16" s="490">
        <f t="shared" si="20"/>
        <v>18893.159360730591</v>
      </c>
      <c r="U16" s="491">
        <f t="shared" si="21"/>
        <v>188.3</v>
      </c>
      <c r="V16" s="498">
        <f>(O16-N16)*11%</f>
        <v>428.83829999999995</v>
      </c>
      <c r="W16" s="498">
        <v>10</v>
      </c>
      <c r="X16" s="498"/>
      <c r="Y16" s="498"/>
      <c r="Z16" s="462">
        <f t="shared" si="22"/>
        <v>627.13829999999996</v>
      </c>
      <c r="AA16" s="462">
        <f t="shared" si="23"/>
        <v>3521.3916999999997</v>
      </c>
      <c r="AB16" s="489">
        <v>1000</v>
      </c>
      <c r="AE16"/>
      <c r="AF16"/>
      <c r="AG16"/>
    </row>
    <row r="17" spans="1:33" s="507" customFormat="1">
      <c r="A17" s="456">
        <v>6</v>
      </c>
      <c r="B17" s="466" t="s">
        <v>1464</v>
      </c>
      <c r="C17" s="528">
        <v>9901442338</v>
      </c>
      <c r="D17" s="459" t="s">
        <v>1465</v>
      </c>
      <c r="E17" s="460" t="s">
        <v>39</v>
      </c>
      <c r="F17" s="461">
        <v>31</v>
      </c>
      <c r="G17" s="498">
        <v>78.25</v>
      </c>
      <c r="H17" s="462">
        <f t="shared" si="12"/>
        <v>2425.75</v>
      </c>
      <c r="I17" s="462">
        <f t="shared" si="13"/>
        <v>9390</v>
      </c>
      <c r="J17" s="463">
        <v>4</v>
      </c>
      <c r="K17" s="534">
        <v>75</v>
      </c>
      <c r="L17" s="462">
        <f t="shared" si="14"/>
        <v>1760</v>
      </c>
      <c r="M17" s="462">
        <v>1510</v>
      </c>
      <c r="N17" s="462">
        <v>250</v>
      </c>
      <c r="O17" s="462">
        <f t="shared" si="15"/>
        <v>4260.75</v>
      </c>
      <c r="P17" s="488">
        <f t="shared" si="16"/>
        <v>1310.8333333333333</v>
      </c>
      <c r="Q17" s="489">
        <f t="shared" si="17"/>
        <v>1292.8767123287671</v>
      </c>
      <c r="R17" s="489">
        <f t="shared" si="18"/>
        <v>65.753424657534239</v>
      </c>
      <c r="S17" s="490">
        <f t="shared" si="19"/>
        <v>16730</v>
      </c>
      <c r="T17" s="490">
        <f t="shared" si="20"/>
        <v>19399.463470319632</v>
      </c>
      <c r="U17" s="491">
        <f t="shared" si="21"/>
        <v>193.72</v>
      </c>
      <c r="V17" s="590"/>
      <c r="W17" s="498">
        <v>10</v>
      </c>
      <c r="X17" s="498"/>
      <c r="Y17" s="498"/>
      <c r="Z17" s="462">
        <f t="shared" si="22"/>
        <v>203.72</v>
      </c>
      <c r="AA17" s="462">
        <f t="shared" si="23"/>
        <v>4057.03</v>
      </c>
      <c r="AB17" s="489">
        <v>1000</v>
      </c>
      <c r="AC17" s="591" t="s">
        <v>1466</v>
      </c>
      <c r="AE17"/>
      <c r="AF17"/>
      <c r="AG17"/>
    </row>
    <row r="18" spans="1:33" s="507" customFormat="1">
      <c r="A18" s="456">
        <v>7</v>
      </c>
      <c r="B18" s="466" t="s">
        <v>1467</v>
      </c>
      <c r="C18" s="497">
        <v>9901443545</v>
      </c>
      <c r="D18" s="459" t="s">
        <v>1468</v>
      </c>
      <c r="E18" s="460" t="s">
        <v>35</v>
      </c>
      <c r="F18" s="461">
        <v>31</v>
      </c>
      <c r="G18" s="498">
        <v>71.400000000000006</v>
      </c>
      <c r="H18" s="462">
        <f t="shared" si="12"/>
        <v>2213.4</v>
      </c>
      <c r="I18" s="462">
        <f t="shared" si="13"/>
        <v>8568</v>
      </c>
      <c r="J18" s="463">
        <v>4</v>
      </c>
      <c r="K18" s="533">
        <v>35</v>
      </c>
      <c r="L18" s="462">
        <f t="shared" si="14"/>
        <v>1760</v>
      </c>
      <c r="M18" s="462">
        <v>1510</v>
      </c>
      <c r="N18" s="462">
        <v>250</v>
      </c>
      <c r="O18" s="462">
        <f t="shared" si="15"/>
        <v>4008.4</v>
      </c>
      <c r="P18" s="488">
        <f t="shared" si="16"/>
        <v>1229</v>
      </c>
      <c r="Q18" s="489">
        <f t="shared" si="17"/>
        <v>1212.1643835616437</v>
      </c>
      <c r="R18" s="489">
        <f t="shared" si="18"/>
        <v>65.753424657534239</v>
      </c>
      <c r="S18" s="490">
        <f t="shared" si="19"/>
        <v>15748</v>
      </c>
      <c r="T18" s="490">
        <f t="shared" si="20"/>
        <v>18254.917808219179</v>
      </c>
      <c r="U18" s="491">
        <f t="shared" si="21"/>
        <v>181.53</v>
      </c>
      <c r="V18" s="498"/>
      <c r="W18" s="498">
        <v>10</v>
      </c>
      <c r="X18" s="498"/>
      <c r="Y18" s="498"/>
      <c r="Z18" s="462">
        <f t="shared" si="22"/>
        <v>191.53</v>
      </c>
      <c r="AA18" s="462">
        <f t="shared" si="23"/>
        <v>3816.87</v>
      </c>
      <c r="AB18" s="489">
        <v>1000</v>
      </c>
      <c r="AE18"/>
      <c r="AF18"/>
      <c r="AG18"/>
    </row>
    <row r="19" spans="1:33" s="507" customFormat="1">
      <c r="A19" s="456">
        <v>8</v>
      </c>
      <c r="B19" s="457" t="s">
        <v>1469</v>
      </c>
      <c r="C19" s="497">
        <v>9901443794</v>
      </c>
      <c r="D19" s="459" t="s">
        <v>1470</v>
      </c>
      <c r="E19" s="460" t="s">
        <v>35</v>
      </c>
      <c r="F19" s="461">
        <v>31</v>
      </c>
      <c r="G19" s="498">
        <v>71.400000000000006</v>
      </c>
      <c r="H19" s="462">
        <f t="shared" si="12"/>
        <v>2213.4</v>
      </c>
      <c r="I19" s="462">
        <f t="shared" si="13"/>
        <v>8568</v>
      </c>
      <c r="J19" s="463">
        <v>4</v>
      </c>
      <c r="K19" s="534">
        <v>75</v>
      </c>
      <c r="L19" s="462">
        <f t="shared" si="14"/>
        <v>1760</v>
      </c>
      <c r="M19" s="462">
        <v>1510</v>
      </c>
      <c r="N19" s="462">
        <v>250</v>
      </c>
      <c r="O19" s="462">
        <f t="shared" si="15"/>
        <v>4048.4</v>
      </c>
      <c r="P19" s="488">
        <f t="shared" si="16"/>
        <v>1242.3333333333333</v>
      </c>
      <c r="Q19" s="489">
        <f t="shared" si="17"/>
        <v>1225.3150684931506</v>
      </c>
      <c r="R19" s="489">
        <f t="shared" si="18"/>
        <v>65.753424657534239</v>
      </c>
      <c r="S19" s="490">
        <f t="shared" si="19"/>
        <v>15908</v>
      </c>
      <c r="T19" s="490">
        <f t="shared" si="20"/>
        <v>18441.401826484016</v>
      </c>
      <c r="U19" s="491">
        <f t="shared" si="21"/>
        <v>183.46</v>
      </c>
      <c r="V19" s="498"/>
      <c r="W19" s="498">
        <v>10</v>
      </c>
      <c r="X19" s="498"/>
      <c r="Y19" s="498"/>
      <c r="Z19" s="462">
        <f t="shared" si="22"/>
        <v>193.46</v>
      </c>
      <c r="AA19" s="462">
        <f t="shared" si="23"/>
        <v>3854.94</v>
      </c>
      <c r="AB19" s="489">
        <v>1000</v>
      </c>
      <c r="AE19"/>
      <c r="AF19"/>
      <c r="AG19"/>
    </row>
    <row r="20" spans="1:33" s="507" customFormat="1">
      <c r="A20" s="456">
        <v>9</v>
      </c>
      <c r="B20" s="457" t="s">
        <v>1471</v>
      </c>
      <c r="C20" s="497">
        <v>9901442504</v>
      </c>
      <c r="D20" s="459" t="s">
        <v>1472</v>
      </c>
      <c r="E20" s="460" t="s">
        <v>68</v>
      </c>
      <c r="F20" s="461">
        <v>31</v>
      </c>
      <c r="G20" s="498">
        <v>72.540000000000006</v>
      </c>
      <c r="H20" s="462">
        <f t="shared" si="12"/>
        <v>2248.7400000000002</v>
      </c>
      <c r="I20" s="462">
        <f t="shared" si="13"/>
        <v>8704.8000000000011</v>
      </c>
      <c r="J20" s="463">
        <v>4</v>
      </c>
      <c r="K20" s="534">
        <f>50</f>
        <v>50</v>
      </c>
      <c r="L20" s="462">
        <f t="shared" si="14"/>
        <v>1760</v>
      </c>
      <c r="M20" s="462">
        <v>1510</v>
      </c>
      <c r="N20" s="462">
        <v>250</v>
      </c>
      <c r="O20" s="462">
        <f t="shared" si="15"/>
        <v>4058.7400000000002</v>
      </c>
      <c r="P20" s="488">
        <f t="shared" si="16"/>
        <v>1245.4000000000001</v>
      </c>
      <c r="Q20" s="489">
        <f t="shared" si="17"/>
        <v>1228.3397260273973</v>
      </c>
      <c r="R20" s="489">
        <f t="shared" si="18"/>
        <v>65.753424657534239</v>
      </c>
      <c r="S20" s="490">
        <f t="shared" si="19"/>
        <v>15944.800000000001</v>
      </c>
      <c r="T20" s="490">
        <f t="shared" si="20"/>
        <v>18484.293150684935</v>
      </c>
      <c r="U20" s="491">
        <f t="shared" si="21"/>
        <v>183.96</v>
      </c>
      <c r="V20" s="498">
        <f>(O20-N20)*11%</f>
        <v>418.96140000000003</v>
      </c>
      <c r="W20" s="498">
        <v>10</v>
      </c>
      <c r="X20" s="498"/>
      <c r="Y20" s="498">
        <v>1254.5999999999999</v>
      </c>
      <c r="Z20" s="462">
        <f t="shared" si="22"/>
        <v>1867.5214000000001</v>
      </c>
      <c r="AA20" s="462">
        <f t="shared" si="23"/>
        <v>2191.2186000000002</v>
      </c>
      <c r="AB20" s="489">
        <v>1000</v>
      </c>
      <c r="AE20"/>
      <c r="AF20"/>
      <c r="AG20"/>
    </row>
    <row r="21" spans="1:33" s="507" customFormat="1">
      <c r="A21" s="456">
        <v>10</v>
      </c>
      <c r="B21" s="466" t="s">
        <v>1473</v>
      </c>
      <c r="C21" s="497">
        <v>9901443447</v>
      </c>
      <c r="D21" s="459" t="s">
        <v>1474</v>
      </c>
      <c r="E21" s="460" t="s">
        <v>68</v>
      </c>
      <c r="F21" s="461">
        <v>31</v>
      </c>
      <c r="G21" s="498">
        <v>72.540000000000006</v>
      </c>
      <c r="H21" s="462">
        <f t="shared" si="12"/>
        <v>2248.7400000000002</v>
      </c>
      <c r="I21" s="462">
        <f t="shared" si="13"/>
        <v>8704.8000000000011</v>
      </c>
      <c r="J21" s="463">
        <v>4</v>
      </c>
      <c r="K21" s="534">
        <f>50</f>
        <v>50</v>
      </c>
      <c r="L21" s="462">
        <f t="shared" si="14"/>
        <v>1760</v>
      </c>
      <c r="M21" s="462">
        <v>1510</v>
      </c>
      <c r="N21" s="462">
        <v>250</v>
      </c>
      <c r="O21" s="462">
        <f t="shared" si="15"/>
        <v>4058.7400000000002</v>
      </c>
      <c r="P21" s="488">
        <f t="shared" si="16"/>
        <v>1245.4000000000001</v>
      </c>
      <c r="Q21" s="489">
        <f t="shared" si="17"/>
        <v>1228.3397260273973</v>
      </c>
      <c r="R21" s="489">
        <f t="shared" si="18"/>
        <v>65.753424657534239</v>
      </c>
      <c r="S21" s="490">
        <f t="shared" si="19"/>
        <v>15944.800000000001</v>
      </c>
      <c r="T21" s="490">
        <f t="shared" si="20"/>
        <v>18484.293150684935</v>
      </c>
      <c r="U21" s="491">
        <f t="shared" si="21"/>
        <v>183.96</v>
      </c>
      <c r="V21" s="498">
        <f>(O21-N21)*11%</f>
        <v>418.96140000000003</v>
      </c>
      <c r="W21" s="498">
        <v>10</v>
      </c>
      <c r="X21" s="498"/>
      <c r="Y21" s="498"/>
      <c r="Z21" s="462">
        <f t="shared" si="22"/>
        <v>612.92140000000006</v>
      </c>
      <c r="AA21" s="462">
        <f t="shared" si="23"/>
        <v>3445.8186000000001</v>
      </c>
      <c r="AB21" s="489">
        <v>1000</v>
      </c>
      <c r="AE21"/>
      <c r="AF21"/>
      <c r="AG21"/>
    </row>
    <row r="22" spans="1:33" s="507" customFormat="1">
      <c r="A22" s="456">
        <v>11</v>
      </c>
      <c r="B22" s="457" t="s">
        <v>1475</v>
      </c>
      <c r="C22" s="497">
        <v>9901451055</v>
      </c>
      <c r="D22" s="459" t="s">
        <v>1476</v>
      </c>
      <c r="E22" s="460" t="s">
        <v>35</v>
      </c>
      <c r="F22" s="461">
        <v>31</v>
      </c>
      <c r="G22" s="498">
        <v>71.400000000000006</v>
      </c>
      <c r="H22" s="462">
        <f t="shared" si="12"/>
        <v>2213.4</v>
      </c>
      <c r="I22" s="462">
        <f t="shared" si="13"/>
        <v>8568</v>
      </c>
      <c r="J22" s="463">
        <v>4</v>
      </c>
      <c r="K22" s="534"/>
      <c r="L22" s="462">
        <f t="shared" si="14"/>
        <v>1760</v>
      </c>
      <c r="M22" s="462">
        <v>1510</v>
      </c>
      <c r="N22" s="462">
        <v>250</v>
      </c>
      <c r="O22" s="462">
        <f t="shared" si="15"/>
        <v>3973.4</v>
      </c>
      <c r="P22" s="488">
        <f t="shared" si="16"/>
        <v>1217.3333333333333</v>
      </c>
      <c r="Q22" s="489">
        <f t="shared" si="17"/>
        <v>1200.6575342465753</v>
      </c>
      <c r="R22" s="489">
        <f t="shared" si="18"/>
        <v>65.753424657534239</v>
      </c>
      <c r="S22" s="490">
        <f t="shared" si="19"/>
        <v>15608</v>
      </c>
      <c r="T22" s="490">
        <f t="shared" si="20"/>
        <v>18091.744292237443</v>
      </c>
      <c r="U22" s="491">
        <f t="shared" si="21"/>
        <v>179.84</v>
      </c>
      <c r="V22" s="498"/>
      <c r="W22" s="498">
        <v>10</v>
      </c>
      <c r="X22" s="498"/>
      <c r="Y22" s="498">
        <v>1158.03</v>
      </c>
      <c r="Z22" s="462">
        <f t="shared" si="22"/>
        <v>1347.87</v>
      </c>
      <c r="AA22" s="462">
        <f t="shared" si="23"/>
        <v>2625.53</v>
      </c>
      <c r="AB22" s="489">
        <v>1000</v>
      </c>
      <c r="AC22" s="567"/>
      <c r="AE22"/>
      <c r="AF22"/>
      <c r="AG22"/>
    </row>
    <row r="23" spans="1:33" s="486" customFormat="1">
      <c r="A23" s="456">
        <v>1</v>
      </c>
      <c r="B23" s="457" t="s">
        <v>1477</v>
      </c>
      <c r="C23" s="497">
        <v>9901482991</v>
      </c>
      <c r="D23" s="471" t="s">
        <v>1478</v>
      </c>
      <c r="E23" s="471" t="s">
        <v>38</v>
      </c>
      <c r="F23" s="461">
        <v>31</v>
      </c>
      <c r="G23" s="462">
        <v>71.400000000000006</v>
      </c>
      <c r="H23" s="462">
        <f t="shared" ref="H23:H35" si="24">+F23*G23</f>
        <v>2213.4</v>
      </c>
      <c r="I23" s="462">
        <f t="shared" ref="I23:I35" si="25">G23*120</f>
        <v>8568</v>
      </c>
      <c r="J23" s="463">
        <v>4</v>
      </c>
      <c r="K23" s="462">
        <v>0</v>
      </c>
      <c r="L23" s="462">
        <f t="shared" ref="L23:L35" si="26">M23+N23</f>
        <v>1760</v>
      </c>
      <c r="M23" s="462">
        <v>1510</v>
      </c>
      <c r="N23" s="462">
        <v>250</v>
      </c>
      <c r="O23" s="462">
        <f t="shared" ref="O23:O35" si="27">+H23+M23+N23+K23</f>
        <v>3973.4</v>
      </c>
      <c r="P23" s="488">
        <f t="shared" ref="P23:P35" si="28">(((G23*120)+(K23+M23)*4)/12)</f>
        <v>1217.3333333333333</v>
      </c>
      <c r="Q23" s="489">
        <f t="shared" ref="Q23:Q35" si="29">(((G23*30)+M23+K23)/365*120)</f>
        <v>1200.6575342465753</v>
      </c>
      <c r="R23" s="489">
        <f t="shared" ref="R23:R35" si="30">+(200/365)*120</f>
        <v>65.753424657534239</v>
      </c>
      <c r="S23" s="490">
        <f t="shared" ref="S23:S35" si="31">(((G23*120)+((K23+M23+N23)*4)))</f>
        <v>15608</v>
      </c>
      <c r="T23" s="490">
        <f t="shared" ref="T23:T35" si="32">+S23+R23+Q23+P23</f>
        <v>18091.744292237443</v>
      </c>
      <c r="U23" s="491">
        <f t="shared" ref="U23:U35" si="33">ROUND((((H23+K23+M23)*4.83)/100),2)</f>
        <v>179.84</v>
      </c>
      <c r="V23" s="462"/>
      <c r="W23" s="498">
        <v>10</v>
      </c>
      <c r="X23" s="462"/>
      <c r="Y23" s="462"/>
      <c r="Z23" s="462">
        <f t="shared" ref="Z23:Z35" si="34">V23+W23+X23+Y23+U23</f>
        <v>189.84</v>
      </c>
      <c r="AA23" s="462">
        <f t="shared" ref="AA23:AA35" si="35">+O23-Z23</f>
        <v>3783.56</v>
      </c>
      <c r="AB23" s="489">
        <v>1000</v>
      </c>
      <c r="AE23"/>
      <c r="AF23"/>
      <c r="AG23"/>
    </row>
    <row r="24" spans="1:33" s="486" customFormat="1">
      <c r="A24" s="456">
        <v>2</v>
      </c>
      <c r="B24" s="457" t="s">
        <v>1479</v>
      </c>
      <c r="C24" s="497">
        <v>9901483019</v>
      </c>
      <c r="D24" s="471" t="s">
        <v>1480</v>
      </c>
      <c r="E24" s="471" t="s">
        <v>38</v>
      </c>
      <c r="F24" s="461">
        <v>31</v>
      </c>
      <c r="G24" s="462">
        <v>71.400000000000006</v>
      </c>
      <c r="H24" s="462">
        <f t="shared" si="24"/>
        <v>2213.4</v>
      </c>
      <c r="I24" s="462">
        <f t="shared" si="25"/>
        <v>8568</v>
      </c>
      <c r="J24" s="463">
        <v>4</v>
      </c>
      <c r="K24" s="462">
        <v>0</v>
      </c>
      <c r="L24" s="462">
        <f t="shared" si="26"/>
        <v>1760</v>
      </c>
      <c r="M24" s="462">
        <v>1510</v>
      </c>
      <c r="N24" s="462">
        <v>250</v>
      </c>
      <c r="O24" s="462">
        <f t="shared" si="27"/>
        <v>3973.4</v>
      </c>
      <c r="P24" s="488">
        <f t="shared" si="28"/>
        <v>1217.3333333333333</v>
      </c>
      <c r="Q24" s="489">
        <f t="shared" si="29"/>
        <v>1200.6575342465753</v>
      </c>
      <c r="R24" s="489">
        <f t="shared" si="30"/>
        <v>65.753424657534239</v>
      </c>
      <c r="S24" s="490">
        <f t="shared" si="31"/>
        <v>15608</v>
      </c>
      <c r="T24" s="490">
        <f t="shared" si="32"/>
        <v>18091.744292237443</v>
      </c>
      <c r="U24" s="491">
        <f t="shared" si="33"/>
        <v>179.84</v>
      </c>
      <c r="W24" s="462">
        <v>10</v>
      </c>
      <c r="X24" s="462"/>
      <c r="Y24" s="462"/>
      <c r="Z24" s="462">
        <f t="shared" si="34"/>
        <v>189.84</v>
      </c>
      <c r="AA24" s="462">
        <f t="shared" si="35"/>
        <v>3783.56</v>
      </c>
      <c r="AB24" s="489">
        <v>1000</v>
      </c>
      <c r="AE24"/>
      <c r="AF24"/>
      <c r="AG24"/>
    </row>
    <row r="25" spans="1:33" s="486" customFormat="1">
      <c r="A25" s="456">
        <v>3</v>
      </c>
      <c r="B25" s="466" t="s">
        <v>1481</v>
      </c>
      <c r="C25" s="497">
        <v>9901482989</v>
      </c>
      <c r="D25" s="471" t="s">
        <v>1482</v>
      </c>
      <c r="E25" s="471" t="s">
        <v>38</v>
      </c>
      <c r="F25" s="461">
        <v>31</v>
      </c>
      <c r="G25" s="462">
        <v>71.400000000000006</v>
      </c>
      <c r="H25" s="462">
        <f t="shared" si="24"/>
        <v>2213.4</v>
      </c>
      <c r="I25" s="462">
        <f t="shared" si="25"/>
        <v>8568</v>
      </c>
      <c r="J25" s="463">
        <v>4</v>
      </c>
      <c r="K25" s="462">
        <v>0</v>
      </c>
      <c r="L25" s="462">
        <f t="shared" si="26"/>
        <v>1760</v>
      </c>
      <c r="M25" s="462">
        <v>1510</v>
      </c>
      <c r="N25" s="462">
        <v>250</v>
      </c>
      <c r="O25" s="462">
        <f t="shared" si="27"/>
        <v>3973.4</v>
      </c>
      <c r="P25" s="488">
        <f t="shared" si="28"/>
        <v>1217.3333333333333</v>
      </c>
      <c r="Q25" s="489">
        <f t="shared" si="29"/>
        <v>1200.6575342465753</v>
      </c>
      <c r="R25" s="489">
        <f t="shared" si="30"/>
        <v>65.753424657534239</v>
      </c>
      <c r="S25" s="490">
        <f t="shared" si="31"/>
        <v>15608</v>
      </c>
      <c r="T25" s="490">
        <f t="shared" si="32"/>
        <v>18091.744292237443</v>
      </c>
      <c r="U25" s="491">
        <f t="shared" si="33"/>
        <v>179.84</v>
      </c>
      <c r="V25" s="462"/>
      <c r="W25" s="462"/>
      <c r="X25" s="462"/>
      <c r="Y25" s="462"/>
      <c r="Z25" s="462">
        <f t="shared" si="34"/>
        <v>179.84</v>
      </c>
      <c r="AA25" s="462">
        <f t="shared" si="35"/>
        <v>3793.56</v>
      </c>
      <c r="AB25" s="489">
        <v>1000</v>
      </c>
      <c r="AE25"/>
      <c r="AF25"/>
      <c r="AG25"/>
    </row>
    <row r="26" spans="1:33" s="486" customFormat="1">
      <c r="A26" s="456">
        <v>4</v>
      </c>
      <c r="B26" s="457" t="s">
        <v>1483</v>
      </c>
      <c r="C26" s="497">
        <v>9901484117</v>
      </c>
      <c r="D26" s="471" t="s">
        <v>1484</v>
      </c>
      <c r="E26" s="471" t="s">
        <v>31</v>
      </c>
      <c r="F26" s="461">
        <v>31</v>
      </c>
      <c r="G26" s="462">
        <v>72.540000000000006</v>
      </c>
      <c r="H26" s="462">
        <f t="shared" si="24"/>
        <v>2248.7400000000002</v>
      </c>
      <c r="I26" s="462">
        <f t="shared" si="25"/>
        <v>8704.8000000000011</v>
      </c>
      <c r="J26" s="463">
        <v>4</v>
      </c>
      <c r="K26" s="462">
        <v>0</v>
      </c>
      <c r="L26" s="462">
        <f t="shared" si="26"/>
        <v>1760</v>
      </c>
      <c r="M26" s="462">
        <v>1510</v>
      </c>
      <c r="N26" s="462">
        <v>250</v>
      </c>
      <c r="O26" s="462">
        <f t="shared" si="27"/>
        <v>4008.7400000000002</v>
      </c>
      <c r="P26" s="488">
        <f t="shared" si="28"/>
        <v>1228.7333333333333</v>
      </c>
      <c r="Q26" s="489">
        <f t="shared" si="29"/>
        <v>1211.9013698630138</v>
      </c>
      <c r="R26" s="489">
        <f t="shared" si="30"/>
        <v>65.753424657534239</v>
      </c>
      <c r="S26" s="490">
        <f t="shared" si="31"/>
        <v>15744.800000000001</v>
      </c>
      <c r="T26" s="490">
        <f t="shared" si="32"/>
        <v>18251.188127853882</v>
      </c>
      <c r="U26" s="491">
        <f t="shared" si="33"/>
        <v>181.55</v>
      </c>
      <c r="V26" s="462"/>
      <c r="W26" s="498">
        <v>10</v>
      </c>
      <c r="X26" s="462"/>
      <c r="Y26" s="462"/>
      <c r="Z26" s="462">
        <f t="shared" si="34"/>
        <v>191.55</v>
      </c>
      <c r="AA26" s="462">
        <f t="shared" si="35"/>
        <v>3817.19</v>
      </c>
      <c r="AB26" s="489">
        <v>1000</v>
      </c>
      <c r="AE26"/>
      <c r="AF26"/>
      <c r="AG26"/>
    </row>
    <row r="27" spans="1:33" s="486" customFormat="1">
      <c r="A27" s="456">
        <v>5</v>
      </c>
      <c r="B27" s="466" t="s">
        <v>1485</v>
      </c>
      <c r="C27" s="497">
        <v>9901483044</v>
      </c>
      <c r="D27" s="471" t="s">
        <v>1486</v>
      </c>
      <c r="E27" s="471" t="s">
        <v>69</v>
      </c>
      <c r="F27" s="461">
        <v>31</v>
      </c>
      <c r="G27" s="462">
        <v>71.400000000000006</v>
      </c>
      <c r="H27" s="462">
        <f t="shared" si="24"/>
        <v>2213.4</v>
      </c>
      <c r="I27" s="462">
        <f t="shared" si="25"/>
        <v>8568</v>
      </c>
      <c r="J27" s="463">
        <v>4</v>
      </c>
      <c r="K27" s="462">
        <v>0</v>
      </c>
      <c r="L27" s="462">
        <f t="shared" si="26"/>
        <v>1760</v>
      </c>
      <c r="M27" s="462">
        <v>1510</v>
      </c>
      <c r="N27" s="462">
        <v>250</v>
      </c>
      <c r="O27" s="462">
        <f t="shared" si="27"/>
        <v>3973.4</v>
      </c>
      <c r="P27" s="488">
        <f t="shared" si="28"/>
        <v>1217.3333333333333</v>
      </c>
      <c r="Q27" s="489">
        <f t="shared" si="29"/>
        <v>1200.6575342465753</v>
      </c>
      <c r="R27" s="489">
        <f t="shared" si="30"/>
        <v>65.753424657534239</v>
      </c>
      <c r="S27" s="490">
        <f t="shared" si="31"/>
        <v>15608</v>
      </c>
      <c r="T27" s="490">
        <f t="shared" si="32"/>
        <v>18091.744292237443</v>
      </c>
      <c r="U27" s="491">
        <f t="shared" si="33"/>
        <v>179.84</v>
      </c>
      <c r="V27" s="462"/>
      <c r="W27" s="462">
        <v>10</v>
      </c>
      <c r="X27" s="462"/>
      <c r="Y27" s="462"/>
      <c r="Z27" s="462">
        <f t="shared" si="34"/>
        <v>189.84</v>
      </c>
      <c r="AA27" s="462">
        <f t="shared" si="35"/>
        <v>3783.56</v>
      </c>
      <c r="AB27" s="489">
        <v>1000</v>
      </c>
      <c r="AE27"/>
      <c r="AF27"/>
      <c r="AG27"/>
    </row>
    <row r="28" spans="1:33" s="486" customFormat="1">
      <c r="A28" s="456">
        <v>6</v>
      </c>
      <c r="B28" s="457" t="s">
        <v>1487</v>
      </c>
      <c r="C28" s="497">
        <v>9901483024</v>
      </c>
      <c r="D28" s="471" t="s">
        <v>1488</v>
      </c>
      <c r="E28" s="471" t="s">
        <v>69</v>
      </c>
      <c r="F28" s="461">
        <v>31</v>
      </c>
      <c r="G28" s="462">
        <v>71.400000000000006</v>
      </c>
      <c r="H28" s="462">
        <f t="shared" si="24"/>
        <v>2213.4</v>
      </c>
      <c r="I28" s="462">
        <f t="shared" si="25"/>
        <v>8568</v>
      </c>
      <c r="J28" s="463">
        <v>4</v>
      </c>
      <c r="K28" s="462">
        <v>0</v>
      </c>
      <c r="L28" s="462">
        <f t="shared" si="26"/>
        <v>1760</v>
      </c>
      <c r="M28" s="462">
        <v>1510</v>
      </c>
      <c r="N28" s="462">
        <v>250</v>
      </c>
      <c r="O28" s="462">
        <f t="shared" si="27"/>
        <v>3973.4</v>
      </c>
      <c r="P28" s="488">
        <f t="shared" si="28"/>
        <v>1217.3333333333333</v>
      </c>
      <c r="Q28" s="489">
        <f t="shared" si="29"/>
        <v>1200.6575342465753</v>
      </c>
      <c r="R28" s="489">
        <f t="shared" si="30"/>
        <v>65.753424657534239</v>
      </c>
      <c r="S28" s="490">
        <f t="shared" si="31"/>
        <v>15608</v>
      </c>
      <c r="T28" s="490">
        <f t="shared" si="32"/>
        <v>18091.744292237443</v>
      </c>
      <c r="U28" s="491">
        <f t="shared" si="33"/>
        <v>179.84</v>
      </c>
      <c r="V28" s="462"/>
      <c r="W28" s="462">
        <v>10</v>
      </c>
      <c r="X28" s="462"/>
      <c r="Y28" s="462"/>
      <c r="Z28" s="462">
        <f t="shared" si="34"/>
        <v>189.84</v>
      </c>
      <c r="AA28" s="462">
        <f t="shared" si="35"/>
        <v>3783.56</v>
      </c>
      <c r="AB28" s="489">
        <v>1000</v>
      </c>
      <c r="AE28"/>
      <c r="AF28"/>
      <c r="AG28"/>
    </row>
    <row r="29" spans="1:33" s="486" customFormat="1">
      <c r="A29" s="456">
        <v>7</v>
      </c>
      <c r="B29" s="457" t="s">
        <v>1489</v>
      </c>
      <c r="C29" s="497">
        <v>9901482995</v>
      </c>
      <c r="D29" s="471" t="s">
        <v>1490</v>
      </c>
      <c r="E29" s="471" t="s">
        <v>69</v>
      </c>
      <c r="F29" s="461">
        <v>31</v>
      </c>
      <c r="G29" s="462">
        <v>71.400000000000006</v>
      </c>
      <c r="H29" s="462">
        <f t="shared" si="24"/>
        <v>2213.4</v>
      </c>
      <c r="I29" s="462">
        <f t="shared" si="25"/>
        <v>8568</v>
      </c>
      <c r="J29" s="463">
        <v>4</v>
      </c>
      <c r="K29" s="462">
        <v>0</v>
      </c>
      <c r="L29" s="462">
        <f t="shared" si="26"/>
        <v>1760</v>
      </c>
      <c r="M29" s="462">
        <v>1510</v>
      </c>
      <c r="N29" s="462">
        <v>250</v>
      </c>
      <c r="O29" s="462">
        <f t="shared" si="27"/>
        <v>3973.4</v>
      </c>
      <c r="P29" s="488">
        <f t="shared" si="28"/>
        <v>1217.3333333333333</v>
      </c>
      <c r="Q29" s="489">
        <f t="shared" si="29"/>
        <v>1200.6575342465753</v>
      </c>
      <c r="R29" s="489">
        <f t="shared" si="30"/>
        <v>65.753424657534239</v>
      </c>
      <c r="S29" s="490">
        <f t="shared" si="31"/>
        <v>15608</v>
      </c>
      <c r="T29" s="490">
        <f t="shared" si="32"/>
        <v>18091.744292237443</v>
      </c>
      <c r="U29" s="491">
        <f t="shared" si="33"/>
        <v>179.84</v>
      </c>
      <c r="V29" s="462"/>
      <c r="W29" s="462"/>
      <c r="X29" s="462"/>
      <c r="Y29" s="462"/>
      <c r="Z29" s="462">
        <f t="shared" si="34"/>
        <v>179.84</v>
      </c>
      <c r="AA29" s="462">
        <f t="shared" si="35"/>
        <v>3793.56</v>
      </c>
      <c r="AB29" s="489">
        <v>1000</v>
      </c>
      <c r="AE29"/>
      <c r="AF29"/>
      <c r="AG29"/>
    </row>
    <row r="30" spans="1:33" s="486" customFormat="1" ht="12">
      <c r="A30" s="456">
        <v>8</v>
      </c>
      <c r="B30" s="466" t="s">
        <v>1491</v>
      </c>
      <c r="C30" s="528">
        <v>9901483023</v>
      </c>
      <c r="D30" s="471" t="s">
        <v>1492</v>
      </c>
      <c r="E30" s="471" t="s">
        <v>69</v>
      </c>
      <c r="F30" s="461">
        <v>31</v>
      </c>
      <c r="G30" s="462">
        <v>71.400000000000006</v>
      </c>
      <c r="H30" s="462">
        <f t="shared" si="24"/>
        <v>2213.4</v>
      </c>
      <c r="I30" s="462">
        <f t="shared" si="25"/>
        <v>8568</v>
      </c>
      <c r="J30" s="463">
        <v>4</v>
      </c>
      <c r="K30" s="462">
        <v>0</v>
      </c>
      <c r="L30" s="462">
        <f t="shared" si="26"/>
        <v>1760</v>
      </c>
      <c r="M30" s="462">
        <v>1510</v>
      </c>
      <c r="N30" s="462">
        <v>250</v>
      </c>
      <c r="O30" s="462">
        <f t="shared" si="27"/>
        <v>3973.4</v>
      </c>
      <c r="P30" s="488">
        <f t="shared" si="28"/>
        <v>1217.3333333333333</v>
      </c>
      <c r="Q30" s="489">
        <f t="shared" si="29"/>
        <v>1200.6575342465753</v>
      </c>
      <c r="R30" s="489">
        <f t="shared" si="30"/>
        <v>65.753424657534239</v>
      </c>
      <c r="S30" s="490">
        <f t="shared" si="31"/>
        <v>15608</v>
      </c>
      <c r="T30" s="490">
        <f t="shared" si="32"/>
        <v>18091.744292237443</v>
      </c>
      <c r="U30" s="491">
        <f t="shared" si="33"/>
        <v>179.84</v>
      </c>
      <c r="V30" s="462"/>
      <c r="W30" s="462"/>
      <c r="X30" s="462"/>
      <c r="Y30" s="462"/>
      <c r="Z30" s="462">
        <f t="shared" si="34"/>
        <v>179.84</v>
      </c>
      <c r="AA30" s="462">
        <f t="shared" si="35"/>
        <v>3793.56</v>
      </c>
      <c r="AB30" s="489">
        <v>1000</v>
      </c>
    </row>
    <row r="31" spans="1:33" s="486" customFormat="1" ht="12">
      <c r="A31" s="456">
        <v>9</v>
      </c>
      <c r="B31" s="457" t="s">
        <v>1493</v>
      </c>
      <c r="C31" s="497">
        <v>9901484071</v>
      </c>
      <c r="D31" s="471" t="s">
        <v>1494</v>
      </c>
      <c r="E31" s="471" t="s">
        <v>38</v>
      </c>
      <c r="F31" s="461">
        <v>31</v>
      </c>
      <c r="G31" s="462">
        <v>71.400000000000006</v>
      </c>
      <c r="H31" s="462">
        <f t="shared" si="24"/>
        <v>2213.4</v>
      </c>
      <c r="I31" s="462">
        <f t="shared" si="25"/>
        <v>8568</v>
      </c>
      <c r="J31" s="463">
        <v>4</v>
      </c>
      <c r="K31" s="462">
        <v>0</v>
      </c>
      <c r="L31" s="462">
        <f t="shared" si="26"/>
        <v>1760</v>
      </c>
      <c r="M31" s="462">
        <v>1510</v>
      </c>
      <c r="N31" s="462">
        <v>250</v>
      </c>
      <c r="O31" s="462">
        <f t="shared" si="27"/>
        <v>3973.4</v>
      </c>
      <c r="P31" s="488">
        <f t="shared" si="28"/>
        <v>1217.3333333333333</v>
      </c>
      <c r="Q31" s="489">
        <f t="shared" si="29"/>
        <v>1200.6575342465753</v>
      </c>
      <c r="R31" s="489">
        <f t="shared" si="30"/>
        <v>65.753424657534239</v>
      </c>
      <c r="S31" s="490">
        <f t="shared" si="31"/>
        <v>15608</v>
      </c>
      <c r="T31" s="490">
        <f t="shared" si="32"/>
        <v>18091.744292237443</v>
      </c>
      <c r="U31" s="491">
        <f t="shared" si="33"/>
        <v>179.84</v>
      </c>
      <c r="V31" s="462"/>
      <c r="W31" s="462">
        <v>10</v>
      </c>
      <c r="X31" s="462"/>
      <c r="Y31" s="462"/>
      <c r="Z31" s="462">
        <f t="shared" si="34"/>
        <v>189.84</v>
      </c>
      <c r="AA31" s="462">
        <f t="shared" si="35"/>
        <v>3783.56</v>
      </c>
      <c r="AB31" s="489">
        <v>1000</v>
      </c>
    </row>
    <row r="32" spans="1:33" s="486" customFormat="1">
      <c r="A32" s="456">
        <v>10</v>
      </c>
      <c r="B32" s="592" t="s">
        <v>1495</v>
      </c>
      <c r="C32" s="571">
        <v>9901483344</v>
      </c>
      <c r="D32" s="471" t="s">
        <v>1496</v>
      </c>
      <c r="E32" s="471" t="s">
        <v>37</v>
      </c>
      <c r="F32" s="461">
        <v>31</v>
      </c>
      <c r="G32" s="462">
        <v>80.86</v>
      </c>
      <c r="H32" s="462">
        <f t="shared" si="24"/>
        <v>2506.66</v>
      </c>
      <c r="I32" s="462">
        <f t="shared" si="25"/>
        <v>9703.2000000000007</v>
      </c>
      <c r="J32" s="463">
        <v>4</v>
      </c>
      <c r="K32" s="464">
        <v>0</v>
      </c>
      <c r="L32" s="462">
        <f t="shared" si="26"/>
        <v>1760</v>
      </c>
      <c r="M32" s="462">
        <v>1510</v>
      </c>
      <c r="N32" s="462">
        <v>250</v>
      </c>
      <c r="O32" s="462">
        <f t="shared" si="27"/>
        <v>4266.66</v>
      </c>
      <c r="P32" s="488">
        <f t="shared" si="28"/>
        <v>1311.9333333333334</v>
      </c>
      <c r="Q32" s="489">
        <f t="shared" si="29"/>
        <v>1293.9616438356165</v>
      </c>
      <c r="R32" s="489">
        <f t="shared" si="30"/>
        <v>65.753424657534239</v>
      </c>
      <c r="S32" s="490">
        <f t="shared" si="31"/>
        <v>16743.2</v>
      </c>
      <c r="T32" s="490">
        <f t="shared" si="32"/>
        <v>19414.848401826486</v>
      </c>
      <c r="U32" s="491">
        <f t="shared" si="33"/>
        <v>194</v>
      </c>
      <c r="V32" s="462"/>
      <c r="W32" s="462"/>
      <c r="X32" s="462"/>
      <c r="Y32" s="462"/>
      <c r="Z32" s="462">
        <f t="shared" si="34"/>
        <v>194</v>
      </c>
      <c r="AA32" s="462">
        <f t="shared" si="35"/>
        <v>4072.66</v>
      </c>
      <c r="AB32" s="489">
        <v>1000</v>
      </c>
    </row>
    <row r="33" spans="1:29" s="486" customFormat="1">
      <c r="A33" s="456">
        <v>11</v>
      </c>
      <c r="B33" s="592" t="s">
        <v>1497</v>
      </c>
      <c r="C33" s="571">
        <v>9901483305</v>
      </c>
      <c r="D33" s="471" t="s">
        <v>1498</v>
      </c>
      <c r="E33" s="471" t="s">
        <v>37</v>
      </c>
      <c r="F33" s="461">
        <v>31</v>
      </c>
      <c r="G33" s="462">
        <v>80.86</v>
      </c>
      <c r="H33" s="462">
        <f t="shared" si="24"/>
        <v>2506.66</v>
      </c>
      <c r="I33" s="462">
        <f t="shared" si="25"/>
        <v>9703.2000000000007</v>
      </c>
      <c r="J33" s="463">
        <v>4</v>
      </c>
      <c r="K33" s="464">
        <v>0</v>
      </c>
      <c r="L33" s="462">
        <f t="shared" si="26"/>
        <v>1760</v>
      </c>
      <c r="M33" s="462">
        <v>1510</v>
      </c>
      <c r="N33" s="462">
        <v>250</v>
      </c>
      <c r="O33" s="462">
        <f t="shared" si="27"/>
        <v>4266.66</v>
      </c>
      <c r="P33" s="488">
        <f t="shared" si="28"/>
        <v>1311.9333333333334</v>
      </c>
      <c r="Q33" s="489">
        <f t="shared" si="29"/>
        <v>1293.9616438356165</v>
      </c>
      <c r="R33" s="489">
        <f t="shared" si="30"/>
        <v>65.753424657534239</v>
      </c>
      <c r="S33" s="490">
        <f t="shared" si="31"/>
        <v>16743.2</v>
      </c>
      <c r="T33" s="490">
        <f t="shared" si="32"/>
        <v>19414.848401826486</v>
      </c>
      <c r="U33" s="491">
        <f t="shared" si="33"/>
        <v>194</v>
      </c>
      <c r="V33" s="462"/>
      <c r="W33" s="462"/>
      <c r="X33" s="462"/>
      <c r="Y33" s="462"/>
      <c r="Z33" s="462">
        <f t="shared" si="34"/>
        <v>194</v>
      </c>
      <c r="AA33" s="462">
        <f t="shared" si="35"/>
        <v>4072.66</v>
      </c>
      <c r="AB33" s="489">
        <v>1000</v>
      </c>
    </row>
    <row r="34" spans="1:29" s="486" customFormat="1" ht="15" customHeight="1">
      <c r="A34" s="456">
        <v>12</v>
      </c>
      <c r="B34" s="593" t="s">
        <v>1499</v>
      </c>
      <c r="C34" s="10">
        <v>9901546113</v>
      </c>
      <c r="D34" s="486" t="s">
        <v>1500</v>
      </c>
      <c r="E34" s="486" t="s">
        <v>37</v>
      </c>
      <c r="F34" s="461">
        <v>31</v>
      </c>
      <c r="G34" s="462">
        <v>80.86</v>
      </c>
      <c r="H34" s="462">
        <f t="shared" si="24"/>
        <v>2506.66</v>
      </c>
      <c r="I34" s="462">
        <f t="shared" si="25"/>
        <v>9703.2000000000007</v>
      </c>
      <c r="J34" s="463">
        <v>4</v>
      </c>
      <c r="K34" s="464">
        <v>0</v>
      </c>
      <c r="L34" s="462">
        <f t="shared" si="26"/>
        <v>1760</v>
      </c>
      <c r="M34" s="462">
        <v>1510</v>
      </c>
      <c r="N34" s="462">
        <v>250</v>
      </c>
      <c r="O34" s="462">
        <f t="shared" si="27"/>
        <v>4266.66</v>
      </c>
      <c r="P34" s="488">
        <f t="shared" si="28"/>
        <v>1311.9333333333334</v>
      </c>
      <c r="Q34" s="489">
        <f t="shared" si="29"/>
        <v>1293.9616438356165</v>
      </c>
      <c r="R34" s="489">
        <f t="shared" si="30"/>
        <v>65.753424657534239</v>
      </c>
      <c r="S34" s="490">
        <f t="shared" si="31"/>
        <v>16743.2</v>
      </c>
      <c r="T34" s="490">
        <f t="shared" si="32"/>
        <v>19414.848401826486</v>
      </c>
      <c r="U34" s="491">
        <f t="shared" si="33"/>
        <v>194</v>
      </c>
      <c r="Z34" s="462">
        <f t="shared" si="34"/>
        <v>194</v>
      </c>
      <c r="AA34" s="462">
        <f t="shared" si="35"/>
        <v>4072.66</v>
      </c>
      <c r="AB34" s="489">
        <v>1000</v>
      </c>
    </row>
    <row r="35" spans="1:29" s="486" customFormat="1" ht="15" customHeight="1">
      <c r="A35" s="456">
        <v>13</v>
      </c>
      <c r="B35" s="593"/>
      <c r="C35">
        <v>9901563353</v>
      </c>
      <c r="D35" s="486" t="s">
        <v>1501</v>
      </c>
      <c r="E35" s="486" t="s">
        <v>35</v>
      </c>
      <c r="F35" s="538">
        <v>31</v>
      </c>
      <c r="G35" s="462">
        <v>71.400000000000006</v>
      </c>
      <c r="H35" s="462">
        <f t="shared" si="24"/>
        <v>2213.4</v>
      </c>
      <c r="I35" s="462">
        <f t="shared" si="25"/>
        <v>8568</v>
      </c>
      <c r="J35" s="463">
        <v>4</v>
      </c>
      <c r="K35" s="464"/>
      <c r="L35" s="462">
        <f t="shared" si="26"/>
        <v>1760</v>
      </c>
      <c r="M35" s="462">
        <v>1510</v>
      </c>
      <c r="N35" s="462">
        <v>250</v>
      </c>
      <c r="O35" s="462">
        <f t="shared" si="27"/>
        <v>3973.4</v>
      </c>
      <c r="P35" s="488">
        <f t="shared" si="28"/>
        <v>1217.3333333333333</v>
      </c>
      <c r="Q35" s="489">
        <f t="shared" si="29"/>
        <v>1200.6575342465753</v>
      </c>
      <c r="R35" s="489">
        <f t="shared" si="30"/>
        <v>65.753424657534239</v>
      </c>
      <c r="S35" s="490">
        <f t="shared" si="31"/>
        <v>15608</v>
      </c>
      <c r="T35" s="490">
        <f t="shared" si="32"/>
        <v>18091.744292237443</v>
      </c>
      <c r="U35" s="491">
        <f t="shared" si="33"/>
        <v>179.84</v>
      </c>
      <c r="Z35" s="462">
        <f t="shared" si="34"/>
        <v>179.84</v>
      </c>
      <c r="AA35" s="462">
        <f t="shared" si="35"/>
        <v>3793.56</v>
      </c>
      <c r="AB35" s="489">
        <v>1000</v>
      </c>
    </row>
    <row r="36" spans="1:29" s="507" customFormat="1" ht="15" customHeight="1">
      <c r="A36" s="456"/>
      <c r="B36" s="456"/>
      <c r="C36" s="476"/>
      <c r="D36" s="456"/>
      <c r="E36" s="456"/>
      <c r="F36" s="502"/>
      <c r="G36" s="548">
        <f t="shared" ref="G36:AB36" si="36">SUM(G23:G35)</f>
        <v>957.71999999999991</v>
      </c>
      <c r="H36" s="548">
        <f>SUM(H5:H35)</f>
        <v>70487.180000000008</v>
      </c>
      <c r="I36" s="548">
        <f t="shared" si="36"/>
        <v>114926.39999999999</v>
      </c>
      <c r="J36" s="548">
        <f t="shared" si="36"/>
        <v>52</v>
      </c>
      <c r="K36" s="548">
        <f>SUM(K23:K35)</f>
        <v>0</v>
      </c>
      <c r="L36" s="548">
        <f t="shared" si="36"/>
        <v>22880</v>
      </c>
      <c r="M36" s="548">
        <f>SUM(M23:M35)</f>
        <v>19630</v>
      </c>
      <c r="N36" s="548">
        <f>SUM(N23:N35)</f>
        <v>3250</v>
      </c>
      <c r="O36" s="549">
        <f t="shared" si="36"/>
        <v>52569.320000000014</v>
      </c>
      <c r="P36" s="548">
        <f t="shared" si="36"/>
        <v>16120.533333333338</v>
      </c>
      <c r="Q36" s="548">
        <f t="shared" si="36"/>
        <v>15899.70410958904</v>
      </c>
      <c r="R36" s="548">
        <f t="shared" si="36"/>
        <v>854.7945205479449</v>
      </c>
      <c r="S36" s="548">
        <f t="shared" si="36"/>
        <v>206446.40000000002</v>
      </c>
      <c r="T36" s="548">
        <f t="shared" si="36"/>
        <v>239321.43196347033</v>
      </c>
      <c r="U36" s="548">
        <f t="shared" si="36"/>
        <v>2382.1099999999997</v>
      </c>
      <c r="V36" s="548">
        <f t="shared" si="36"/>
        <v>0</v>
      </c>
      <c r="W36" s="548">
        <f t="shared" si="36"/>
        <v>60</v>
      </c>
      <c r="X36" s="548">
        <f t="shared" si="36"/>
        <v>0</v>
      </c>
      <c r="Y36" s="548">
        <f t="shared" si="36"/>
        <v>0</v>
      </c>
      <c r="Z36" s="548">
        <f t="shared" si="36"/>
        <v>2442.1099999999997</v>
      </c>
      <c r="AA36" s="548">
        <f t="shared" si="36"/>
        <v>50127.210000000006</v>
      </c>
      <c r="AB36" s="548">
        <f t="shared" si="36"/>
        <v>13000</v>
      </c>
      <c r="AC36" s="547"/>
    </row>
  </sheetData>
  <mergeCells count="2">
    <mergeCell ref="A1:N1"/>
    <mergeCell ref="A3:N3"/>
  </mergeCells>
  <conditionalFormatting sqref="D20">
    <cfRule type="duplicateValues" dxfId="45" priority="8" stopIfTrue="1"/>
  </conditionalFormatting>
  <conditionalFormatting sqref="D20">
    <cfRule type="duplicateValues" dxfId="44" priority="9"/>
  </conditionalFormatting>
  <conditionalFormatting sqref="A3">
    <cfRule type="duplicateValues" dxfId="43" priority="13"/>
  </conditionalFormatting>
  <conditionalFormatting sqref="D4">
    <cfRule type="duplicateValues" dxfId="42" priority="15"/>
  </conditionalFormatting>
  <conditionalFormatting sqref="D4">
    <cfRule type="duplicateValues" dxfId="41" priority="16" stopIfTrue="1"/>
  </conditionalFormatting>
  <conditionalFormatting sqref="D4">
    <cfRule type="duplicateValues" dxfId="40" priority="17"/>
  </conditionalFormatting>
  <conditionalFormatting sqref="B3">
    <cfRule type="duplicateValues" dxfId="39" priority="2"/>
  </conditionalFormatting>
  <conditionalFormatting sqref="D5:D19 D21:D22">
    <cfRule type="duplicateValues" dxfId="38" priority="18" stopIfTrue="1"/>
  </conditionalFormatting>
  <conditionalFormatting sqref="D23:D33">
    <cfRule type="duplicateValues" dxfId="37" priority="19"/>
  </conditionalFormatting>
  <conditionalFormatting sqref="D23:D33">
    <cfRule type="duplicateValues" dxfId="36" priority="20"/>
  </conditionalFormatting>
  <conditionalFormatting sqref="D23:D33">
    <cfRule type="duplicateValues" dxfId="35" priority="21" stopIfTrue="1"/>
  </conditionalFormatting>
  <conditionalFormatting sqref="D5:D19 D21:D22">
    <cfRule type="duplicateValues" dxfId="34" priority="22"/>
  </conditionalFormatting>
  <conditionalFormatting sqref="D5:D19 D21:D22">
    <cfRule type="duplicateValues" dxfId="33" priority="23"/>
  </conditionalFormatting>
  <pageMargins left="0.7" right="0.7" top="0.75" bottom="0.75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04"/>
  <sheetViews>
    <sheetView topLeftCell="S1" workbookViewId="0">
      <selection activeCell="AG6" sqref="AG6:AG19"/>
    </sheetView>
  </sheetViews>
  <sheetFormatPr baseColWidth="10" defaultRowHeight="15"/>
  <cols>
    <col min="30" max="30" width="31" customWidth="1"/>
    <col min="31" max="31" width="27.140625" bestFit="1" customWidth="1"/>
    <col min="32" max="32" width="19" customWidth="1"/>
    <col min="33" max="33" width="17.85546875" customWidth="1"/>
  </cols>
  <sheetData>
    <row r="1" spans="1:33" s="486" customFormat="1" ht="18">
      <c r="A1" s="737" t="s">
        <v>1502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495"/>
      <c r="P1" s="495"/>
      <c r="Q1" s="495"/>
      <c r="R1" s="495"/>
      <c r="S1" s="496"/>
      <c r="T1" s="496"/>
      <c r="U1" s="495"/>
      <c r="V1" s="495"/>
      <c r="W1" s="495"/>
      <c r="X1" s="495"/>
      <c r="Y1" s="495"/>
      <c r="Z1" s="495"/>
      <c r="AA1" s="495"/>
    </row>
    <row r="2" spans="1:33" s="486" customFormat="1" ht="18">
      <c r="A2" s="594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6"/>
      <c r="T2" s="496"/>
      <c r="U2" s="495"/>
      <c r="V2" s="495"/>
      <c r="W2" s="495"/>
      <c r="X2" s="495"/>
      <c r="Y2" s="495"/>
      <c r="Z2" s="495"/>
      <c r="AA2" s="495"/>
    </row>
    <row r="3" spans="1:33" s="486" customFormat="1" ht="36">
      <c r="A3" s="543" t="s">
        <v>149</v>
      </c>
      <c r="B3" s="595" t="s">
        <v>150</v>
      </c>
      <c r="C3" s="596" t="s">
        <v>151</v>
      </c>
      <c r="D3" s="544" t="s">
        <v>152</v>
      </c>
      <c r="E3" s="544" t="s">
        <v>153</v>
      </c>
      <c r="F3" s="545" t="s">
        <v>269</v>
      </c>
      <c r="G3" s="546" t="s">
        <v>155</v>
      </c>
      <c r="H3" s="454" t="s">
        <v>156</v>
      </c>
      <c r="I3" s="454" t="s">
        <v>157</v>
      </c>
      <c r="J3" s="454" t="s">
        <v>158</v>
      </c>
      <c r="K3" s="485" t="s">
        <v>159</v>
      </c>
      <c r="L3" s="485" t="s">
        <v>1177</v>
      </c>
      <c r="M3" s="485" t="s">
        <v>160</v>
      </c>
      <c r="N3" s="485" t="s">
        <v>161</v>
      </c>
      <c r="O3" s="485" t="s">
        <v>162</v>
      </c>
      <c r="P3" s="485" t="s">
        <v>232</v>
      </c>
      <c r="Q3" s="485" t="s">
        <v>233</v>
      </c>
      <c r="R3" s="455" t="s">
        <v>234</v>
      </c>
      <c r="S3" s="531" t="s">
        <v>235</v>
      </c>
      <c r="T3" s="531" t="s">
        <v>236</v>
      </c>
      <c r="U3" s="485" t="s">
        <v>237</v>
      </c>
      <c r="V3" s="485" t="s">
        <v>238</v>
      </c>
      <c r="W3" s="485" t="s">
        <v>239</v>
      </c>
      <c r="X3" s="485" t="s">
        <v>267</v>
      </c>
      <c r="Y3" s="485" t="s">
        <v>1176</v>
      </c>
      <c r="Z3" s="485" t="s">
        <v>240</v>
      </c>
      <c r="AA3" s="485" t="s">
        <v>241</v>
      </c>
      <c r="AB3" s="455" t="s">
        <v>242</v>
      </c>
    </row>
    <row r="4" spans="1:33" s="507" customFormat="1" ht="12">
      <c r="A4" s="456">
        <v>1</v>
      </c>
      <c r="B4" s="466" t="s">
        <v>1503</v>
      </c>
      <c r="C4" s="497">
        <v>9901443390</v>
      </c>
      <c r="D4" s="459" t="s">
        <v>1504</v>
      </c>
      <c r="E4" s="460" t="s">
        <v>84</v>
      </c>
      <c r="F4" s="461">
        <v>31</v>
      </c>
      <c r="G4" s="498">
        <v>75.64</v>
      </c>
      <c r="H4" s="462">
        <f t="shared" ref="H4:H67" si="0">+F4*G4</f>
        <v>2344.84</v>
      </c>
      <c r="I4" s="462">
        <f t="shared" ref="I4:I67" si="1">G4*120</f>
        <v>9076.7999999999993</v>
      </c>
      <c r="J4" s="463">
        <v>4</v>
      </c>
      <c r="K4" s="534"/>
      <c r="L4" s="462">
        <f t="shared" ref="L4:L67" si="2">M4+N4</f>
        <v>1760</v>
      </c>
      <c r="M4" s="462">
        <v>1510</v>
      </c>
      <c r="N4" s="462">
        <v>250</v>
      </c>
      <c r="O4" s="462">
        <f t="shared" ref="O4:O67" si="3">+H4+M4+N4+K4</f>
        <v>4104.84</v>
      </c>
      <c r="P4" s="488">
        <f t="shared" ref="P4:P67" si="4">(((G4*120)+(K4+M4)*4)/12)</f>
        <v>1259.7333333333333</v>
      </c>
      <c r="Q4" s="489">
        <f t="shared" ref="Q4:Q67" si="5">(((G4*30)+M4+K4)/365*120)</f>
        <v>1242.476712328767</v>
      </c>
      <c r="R4" s="489">
        <f t="shared" ref="R4:R67" si="6">+(200/365)*120</f>
        <v>65.753424657534239</v>
      </c>
      <c r="S4" s="490">
        <f t="shared" ref="S4:S67" si="7">(((G4*120)+((K4+M4+N4)*4)))</f>
        <v>16116.8</v>
      </c>
      <c r="T4" s="490">
        <f t="shared" ref="T4:T67" si="8">+S4+R4+Q4+P4</f>
        <v>18684.763470319635</v>
      </c>
      <c r="U4" s="491">
        <f t="shared" ref="U4:U67" si="9">ROUND((((H4+K4+M4)*4.83)/100),2)</f>
        <v>186.19</v>
      </c>
      <c r="V4" s="498"/>
      <c r="W4" s="498">
        <v>10</v>
      </c>
      <c r="X4" s="498"/>
      <c r="Y4" s="498"/>
      <c r="Z4" s="462">
        <f t="shared" ref="Z4:Z67" si="10">V4+W4+X4+Y4+U4</f>
        <v>196.19</v>
      </c>
      <c r="AA4" s="462">
        <f t="shared" ref="AA4:AA67" si="11">+O4-Z4</f>
        <v>3908.65</v>
      </c>
      <c r="AB4" s="489">
        <v>1000</v>
      </c>
    </row>
    <row r="5" spans="1:33" s="507" customFormat="1">
      <c r="A5" s="456">
        <v>2</v>
      </c>
      <c r="B5" s="466" t="s">
        <v>1505</v>
      </c>
      <c r="C5" s="497">
        <v>9901443095</v>
      </c>
      <c r="D5" s="459" t="s">
        <v>1506</v>
      </c>
      <c r="E5" s="460" t="s">
        <v>32</v>
      </c>
      <c r="F5" s="461">
        <v>31</v>
      </c>
      <c r="G5" s="498">
        <v>71.400000000000006</v>
      </c>
      <c r="H5" s="462">
        <f t="shared" si="0"/>
        <v>2213.4</v>
      </c>
      <c r="I5" s="462">
        <f t="shared" si="1"/>
        <v>8568</v>
      </c>
      <c r="J5" s="463">
        <v>4</v>
      </c>
      <c r="K5" s="534">
        <v>75</v>
      </c>
      <c r="L5" s="462">
        <f t="shared" si="2"/>
        <v>1760</v>
      </c>
      <c r="M5" s="462">
        <v>1510</v>
      </c>
      <c r="N5" s="462">
        <v>250</v>
      </c>
      <c r="O5" s="462">
        <f t="shared" si="3"/>
        <v>4048.4</v>
      </c>
      <c r="P5" s="488">
        <f t="shared" si="4"/>
        <v>1242.3333333333333</v>
      </c>
      <c r="Q5" s="489">
        <f t="shared" si="5"/>
        <v>1225.3150684931506</v>
      </c>
      <c r="R5" s="489">
        <f t="shared" si="6"/>
        <v>65.753424657534239</v>
      </c>
      <c r="S5" s="490">
        <f t="shared" si="7"/>
        <v>15908</v>
      </c>
      <c r="T5" s="490">
        <f t="shared" si="8"/>
        <v>18441.401826484016</v>
      </c>
      <c r="U5" s="491">
        <f t="shared" si="9"/>
        <v>183.46</v>
      </c>
      <c r="V5" s="498"/>
      <c r="W5" s="498">
        <v>10</v>
      </c>
      <c r="X5" s="498"/>
      <c r="Y5" s="498">
        <v>1856.16</v>
      </c>
      <c r="Z5" s="462">
        <f t="shared" si="10"/>
        <v>2049.62</v>
      </c>
      <c r="AA5" s="462">
        <f t="shared" si="11"/>
        <v>1998.7800000000002</v>
      </c>
      <c r="AB5" s="489">
        <v>1000</v>
      </c>
      <c r="AD5" s="479" t="s">
        <v>226</v>
      </c>
      <c r="AE5" t="s">
        <v>228</v>
      </c>
      <c r="AF5" t="s">
        <v>229</v>
      </c>
      <c r="AG5" t="s">
        <v>231</v>
      </c>
    </row>
    <row r="6" spans="1:33" s="507" customFormat="1">
      <c r="A6" s="456">
        <v>3</v>
      </c>
      <c r="B6" s="457" t="s">
        <v>1507</v>
      </c>
      <c r="C6" s="497">
        <v>9901451148</v>
      </c>
      <c r="D6" s="459" t="s">
        <v>1508</v>
      </c>
      <c r="E6" s="460" t="s">
        <v>35</v>
      </c>
      <c r="F6" s="461">
        <v>31</v>
      </c>
      <c r="G6" s="498">
        <v>71.400000000000006</v>
      </c>
      <c r="H6" s="462">
        <f t="shared" si="0"/>
        <v>2213.4</v>
      </c>
      <c r="I6" s="462">
        <f t="shared" si="1"/>
        <v>8568</v>
      </c>
      <c r="J6" s="463">
        <v>4</v>
      </c>
      <c r="K6" s="534"/>
      <c r="L6" s="462">
        <f t="shared" si="2"/>
        <v>1760</v>
      </c>
      <c r="M6" s="462">
        <v>1510</v>
      </c>
      <c r="N6" s="462">
        <v>250</v>
      </c>
      <c r="O6" s="462">
        <f t="shared" si="3"/>
        <v>3973.4</v>
      </c>
      <c r="P6" s="488">
        <f t="shared" si="4"/>
        <v>1217.3333333333333</v>
      </c>
      <c r="Q6" s="489">
        <f t="shared" si="5"/>
        <v>1200.6575342465753</v>
      </c>
      <c r="R6" s="489">
        <f t="shared" si="6"/>
        <v>65.753424657534239</v>
      </c>
      <c r="S6" s="490">
        <f t="shared" si="7"/>
        <v>15608</v>
      </c>
      <c r="T6" s="490">
        <f t="shared" si="8"/>
        <v>18091.744292237443</v>
      </c>
      <c r="U6" s="491">
        <f t="shared" si="9"/>
        <v>179.84</v>
      </c>
      <c r="V6" s="498">
        <f>(O6-N6)*11%</f>
        <v>409.57400000000001</v>
      </c>
      <c r="W6" s="498"/>
      <c r="X6" s="498"/>
      <c r="Y6" s="498"/>
      <c r="Z6" s="462">
        <f t="shared" si="10"/>
        <v>589.41399999999999</v>
      </c>
      <c r="AA6" s="462">
        <f t="shared" si="11"/>
        <v>3383.9859999999999</v>
      </c>
      <c r="AB6" s="489">
        <v>1000</v>
      </c>
      <c r="AD6" s="480" t="s">
        <v>44</v>
      </c>
      <c r="AE6" s="481">
        <v>16</v>
      </c>
      <c r="AF6" s="481">
        <v>72.540000000000006</v>
      </c>
      <c r="AG6" s="481">
        <v>900</v>
      </c>
    </row>
    <row r="7" spans="1:33" s="507" customFormat="1">
      <c r="A7" s="456">
        <v>4</v>
      </c>
      <c r="B7" s="457" t="s">
        <v>1509</v>
      </c>
      <c r="C7" s="497">
        <v>9901442845</v>
      </c>
      <c r="D7" s="459" t="s">
        <v>1510</v>
      </c>
      <c r="E7" s="460" t="s">
        <v>32</v>
      </c>
      <c r="F7" s="461">
        <v>31</v>
      </c>
      <c r="G7" s="498">
        <v>71.400000000000006</v>
      </c>
      <c r="H7" s="462">
        <f t="shared" si="0"/>
        <v>2213.4</v>
      </c>
      <c r="I7" s="462">
        <f t="shared" si="1"/>
        <v>8568</v>
      </c>
      <c r="J7" s="463">
        <v>4</v>
      </c>
      <c r="K7" s="534">
        <v>50</v>
      </c>
      <c r="L7" s="462">
        <f t="shared" si="2"/>
        <v>1760</v>
      </c>
      <c r="M7" s="462">
        <v>1510</v>
      </c>
      <c r="N7" s="462">
        <v>250</v>
      </c>
      <c r="O7" s="462">
        <f t="shared" si="3"/>
        <v>4023.4</v>
      </c>
      <c r="P7" s="488">
        <f t="shared" si="4"/>
        <v>1234</v>
      </c>
      <c r="Q7" s="489">
        <f t="shared" si="5"/>
        <v>1217.0958904109589</v>
      </c>
      <c r="R7" s="489">
        <f t="shared" si="6"/>
        <v>65.753424657534239</v>
      </c>
      <c r="S7" s="490">
        <f t="shared" si="7"/>
        <v>15808</v>
      </c>
      <c r="T7" s="490">
        <f t="shared" si="8"/>
        <v>18324.849315068492</v>
      </c>
      <c r="U7" s="491">
        <f t="shared" si="9"/>
        <v>182.26</v>
      </c>
      <c r="V7" s="498">
        <f>(O10-N10)*11%</f>
        <v>413.42400000000004</v>
      </c>
      <c r="W7" s="498"/>
      <c r="X7" s="498"/>
      <c r="Y7" s="498"/>
      <c r="Z7" s="462">
        <f t="shared" si="10"/>
        <v>595.68399999999997</v>
      </c>
      <c r="AA7" s="462">
        <f t="shared" si="11"/>
        <v>3427.7160000000003</v>
      </c>
      <c r="AB7" s="489">
        <v>1000</v>
      </c>
      <c r="AD7" s="480" t="s">
        <v>72</v>
      </c>
      <c r="AE7" s="481">
        <v>15</v>
      </c>
      <c r="AF7" s="481">
        <v>71.400000000000006</v>
      </c>
      <c r="AG7" s="481">
        <v>775</v>
      </c>
    </row>
    <row r="8" spans="1:33" s="507" customFormat="1">
      <c r="A8" s="456">
        <v>5</v>
      </c>
      <c r="B8" s="466" t="s">
        <v>1511</v>
      </c>
      <c r="C8" s="497">
        <v>9901443205</v>
      </c>
      <c r="D8" s="459" t="s">
        <v>1512</v>
      </c>
      <c r="E8" s="460" t="s">
        <v>32</v>
      </c>
      <c r="F8" s="461">
        <v>31</v>
      </c>
      <c r="G8" s="498">
        <v>71.400000000000006</v>
      </c>
      <c r="H8" s="462">
        <f t="shared" si="0"/>
        <v>2213.4</v>
      </c>
      <c r="I8" s="462">
        <f t="shared" si="1"/>
        <v>8568</v>
      </c>
      <c r="J8" s="463">
        <v>4</v>
      </c>
      <c r="K8" s="534"/>
      <c r="L8" s="462">
        <f t="shared" si="2"/>
        <v>1760</v>
      </c>
      <c r="M8" s="462">
        <v>1510</v>
      </c>
      <c r="N8" s="462">
        <v>250</v>
      </c>
      <c r="O8" s="462">
        <f t="shared" si="3"/>
        <v>3973.4</v>
      </c>
      <c r="P8" s="488">
        <f t="shared" si="4"/>
        <v>1217.3333333333333</v>
      </c>
      <c r="Q8" s="489">
        <f t="shared" si="5"/>
        <v>1200.6575342465753</v>
      </c>
      <c r="R8" s="489">
        <f t="shared" si="6"/>
        <v>65.753424657534239</v>
      </c>
      <c r="S8" s="490">
        <f t="shared" si="7"/>
        <v>15608</v>
      </c>
      <c r="T8" s="490">
        <f t="shared" si="8"/>
        <v>18091.744292237443</v>
      </c>
      <c r="U8" s="491">
        <f t="shared" si="9"/>
        <v>179.84</v>
      </c>
      <c r="V8" s="498"/>
      <c r="W8" s="498">
        <v>10</v>
      </c>
      <c r="X8" s="498"/>
      <c r="Y8" s="498"/>
      <c r="Z8" s="462">
        <f t="shared" si="10"/>
        <v>189.84</v>
      </c>
      <c r="AA8" s="462">
        <f t="shared" si="11"/>
        <v>3783.56</v>
      </c>
      <c r="AB8" s="489">
        <v>1000</v>
      </c>
      <c r="AD8" s="480" t="s">
        <v>48</v>
      </c>
      <c r="AE8" s="481">
        <v>3</v>
      </c>
      <c r="AF8" s="481">
        <v>71.400000000000006</v>
      </c>
      <c r="AG8" s="481">
        <v>0</v>
      </c>
    </row>
    <row r="9" spans="1:33" s="507" customFormat="1">
      <c r="A9" s="456">
        <v>6</v>
      </c>
      <c r="B9" s="466" t="s">
        <v>1513</v>
      </c>
      <c r="C9" s="497">
        <v>9901443102</v>
      </c>
      <c r="D9" s="459" t="s">
        <v>1514</v>
      </c>
      <c r="E9" s="460" t="s">
        <v>44</v>
      </c>
      <c r="F9" s="461">
        <v>31</v>
      </c>
      <c r="G9" s="498">
        <v>72.540000000000006</v>
      </c>
      <c r="H9" s="462">
        <f t="shared" si="0"/>
        <v>2248.7400000000002</v>
      </c>
      <c r="I9" s="462">
        <f t="shared" si="1"/>
        <v>8704.8000000000011</v>
      </c>
      <c r="J9" s="463">
        <v>4</v>
      </c>
      <c r="K9" s="534">
        <v>50</v>
      </c>
      <c r="L9" s="462">
        <f t="shared" si="2"/>
        <v>1760</v>
      </c>
      <c r="M9" s="462">
        <v>1510</v>
      </c>
      <c r="N9" s="462">
        <v>250</v>
      </c>
      <c r="O9" s="462">
        <f t="shared" si="3"/>
        <v>4058.7400000000002</v>
      </c>
      <c r="P9" s="488">
        <f t="shared" si="4"/>
        <v>1245.4000000000001</v>
      </c>
      <c r="Q9" s="489">
        <f t="shared" si="5"/>
        <v>1228.3397260273973</v>
      </c>
      <c r="R9" s="489">
        <f t="shared" si="6"/>
        <v>65.753424657534239</v>
      </c>
      <c r="S9" s="490">
        <f t="shared" si="7"/>
        <v>15944.800000000001</v>
      </c>
      <c r="T9" s="490">
        <f t="shared" si="8"/>
        <v>18484.293150684935</v>
      </c>
      <c r="U9" s="491">
        <f t="shared" si="9"/>
        <v>183.96</v>
      </c>
      <c r="V9" s="498"/>
      <c r="W9" s="498">
        <v>10</v>
      </c>
      <c r="X9" s="498"/>
      <c r="Y9" s="498">
        <v>1723.86</v>
      </c>
      <c r="Z9" s="462">
        <f t="shared" si="10"/>
        <v>1917.82</v>
      </c>
      <c r="AA9" s="462">
        <f t="shared" si="11"/>
        <v>2140.92</v>
      </c>
      <c r="AB9" s="489">
        <v>1000</v>
      </c>
      <c r="AD9" s="480" t="s">
        <v>83</v>
      </c>
      <c r="AE9" s="481">
        <v>3</v>
      </c>
      <c r="AF9" s="481">
        <v>71.400000000000006</v>
      </c>
      <c r="AG9" s="481">
        <v>50</v>
      </c>
    </row>
    <row r="10" spans="1:33" s="507" customFormat="1">
      <c r="A10" s="456">
        <v>7</v>
      </c>
      <c r="B10" s="457" t="s">
        <v>1515</v>
      </c>
      <c r="C10" s="497">
        <v>9901442626</v>
      </c>
      <c r="D10" s="459" t="s">
        <v>1516</v>
      </c>
      <c r="E10" s="460" t="s">
        <v>35</v>
      </c>
      <c r="F10" s="461">
        <v>31</v>
      </c>
      <c r="G10" s="498">
        <v>71.400000000000006</v>
      </c>
      <c r="H10" s="462">
        <f t="shared" si="0"/>
        <v>2213.4</v>
      </c>
      <c r="I10" s="462">
        <f t="shared" si="1"/>
        <v>8568</v>
      </c>
      <c r="J10" s="463">
        <v>4</v>
      </c>
      <c r="K10" s="533">
        <v>35</v>
      </c>
      <c r="L10" s="462">
        <f t="shared" si="2"/>
        <v>1760</v>
      </c>
      <c r="M10" s="462">
        <v>1510</v>
      </c>
      <c r="N10" s="462">
        <v>250</v>
      </c>
      <c r="O10" s="462">
        <f t="shared" si="3"/>
        <v>4008.4</v>
      </c>
      <c r="P10" s="488">
        <f t="shared" si="4"/>
        <v>1229</v>
      </c>
      <c r="Q10" s="489">
        <f t="shared" si="5"/>
        <v>1212.1643835616437</v>
      </c>
      <c r="R10" s="489">
        <f t="shared" si="6"/>
        <v>65.753424657534239</v>
      </c>
      <c r="S10" s="490">
        <f t="shared" si="7"/>
        <v>15748</v>
      </c>
      <c r="T10" s="490">
        <f t="shared" si="8"/>
        <v>18254.917808219179</v>
      </c>
      <c r="U10" s="491">
        <f t="shared" si="9"/>
        <v>181.53</v>
      </c>
      <c r="V10" s="498">
        <f>(O10-N10)*11%</f>
        <v>413.42400000000004</v>
      </c>
      <c r="W10" s="498">
        <v>0</v>
      </c>
      <c r="X10" s="512">
        <v>913</v>
      </c>
      <c r="Y10" s="498">
        <v>1436.81</v>
      </c>
      <c r="Z10" s="462">
        <f t="shared" si="10"/>
        <v>2944.7640000000001</v>
      </c>
      <c r="AA10" s="462">
        <f t="shared" si="11"/>
        <v>1063.636</v>
      </c>
      <c r="AB10" s="489">
        <v>1000</v>
      </c>
      <c r="AD10" s="480" t="s">
        <v>84</v>
      </c>
      <c r="AE10" s="481">
        <v>1</v>
      </c>
      <c r="AF10" s="481">
        <v>75.64</v>
      </c>
      <c r="AG10" s="481"/>
    </row>
    <row r="11" spans="1:33" s="507" customFormat="1">
      <c r="A11" s="456">
        <v>8</v>
      </c>
      <c r="B11" s="466" t="s">
        <v>1517</v>
      </c>
      <c r="C11" s="497">
        <v>9901442837</v>
      </c>
      <c r="D11" s="459" t="s">
        <v>1518</v>
      </c>
      <c r="E11" s="460" t="s">
        <v>32</v>
      </c>
      <c r="F11" s="461">
        <v>31</v>
      </c>
      <c r="G11" s="498">
        <v>71.400000000000006</v>
      </c>
      <c r="H11" s="462">
        <f t="shared" si="0"/>
        <v>2213.4</v>
      </c>
      <c r="I11" s="462">
        <f t="shared" si="1"/>
        <v>8568</v>
      </c>
      <c r="J11" s="463">
        <v>4</v>
      </c>
      <c r="K11" s="534">
        <v>50</v>
      </c>
      <c r="L11" s="462">
        <f t="shared" si="2"/>
        <v>1760</v>
      </c>
      <c r="M11" s="462">
        <v>1510</v>
      </c>
      <c r="N11" s="462">
        <v>250</v>
      </c>
      <c r="O11" s="462">
        <f t="shared" si="3"/>
        <v>4023.4</v>
      </c>
      <c r="P11" s="488">
        <f t="shared" si="4"/>
        <v>1234</v>
      </c>
      <c r="Q11" s="489">
        <f t="shared" si="5"/>
        <v>1217.0958904109589</v>
      </c>
      <c r="R11" s="489">
        <f t="shared" si="6"/>
        <v>65.753424657534239</v>
      </c>
      <c r="S11" s="490">
        <f t="shared" si="7"/>
        <v>15808</v>
      </c>
      <c r="T11" s="490">
        <f t="shared" si="8"/>
        <v>18324.849315068492</v>
      </c>
      <c r="U11" s="491">
        <f t="shared" si="9"/>
        <v>182.26</v>
      </c>
      <c r="V11" s="498"/>
      <c r="W11" s="498"/>
      <c r="X11" s="498"/>
      <c r="Y11" s="498">
        <v>1282.3800000000001</v>
      </c>
      <c r="Z11" s="462">
        <f t="shared" si="10"/>
        <v>1464.64</v>
      </c>
      <c r="AA11" s="462">
        <f t="shared" si="11"/>
        <v>2558.7600000000002</v>
      </c>
      <c r="AB11" s="489">
        <v>1000</v>
      </c>
      <c r="AD11" s="480" t="s">
        <v>35</v>
      </c>
      <c r="AE11" s="481">
        <v>15</v>
      </c>
      <c r="AF11" s="481">
        <v>71.400000000000006</v>
      </c>
      <c r="AG11" s="481">
        <v>260</v>
      </c>
    </row>
    <row r="12" spans="1:33" s="507" customFormat="1">
      <c r="A12" s="456">
        <v>9</v>
      </c>
      <c r="B12" s="457" t="s">
        <v>1519</v>
      </c>
      <c r="C12" s="497">
        <v>9901442909</v>
      </c>
      <c r="D12" s="459" t="s">
        <v>1520</v>
      </c>
      <c r="E12" s="460" t="s">
        <v>54</v>
      </c>
      <c r="F12" s="461">
        <v>31</v>
      </c>
      <c r="G12" s="498">
        <v>71.400000000000006</v>
      </c>
      <c r="H12" s="462">
        <f t="shared" si="0"/>
        <v>2213.4</v>
      </c>
      <c r="I12" s="462">
        <f t="shared" si="1"/>
        <v>8568</v>
      </c>
      <c r="J12" s="463">
        <v>4</v>
      </c>
      <c r="K12" s="534">
        <v>50</v>
      </c>
      <c r="L12" s="462">
        <f t="shared" si="2"/>
        <v>1760</v>
      </c>
      <c r="M12" s="462">
        <v>1510</v>
      </c>
      <c r="N12" s="462">
        <v>250</v>
      </c>
      <c r="O12" s="462">
        <f t="shared" si="3"/>
        <v>4023.4</v>
      </c>
      <c r="P12" s="488">
        <f t="shared" si="4"/>
        <v>1234</v>
      </c>
      <c r="Q12" s="489">
        <f t="shared" si="5"/>
        <v>1217.0958904109589</v>
      </c>
      <c r="R12" s="489">
        <f t="shared" si="6"/>
        <v>65.753424657534239</v>
      </c>
      <c r="S12" s="490">
        <f t="shared" si="7"/>
        <v>15808</v>
      </c>
      <c r="T12" s="490">
        <f t="shared" si="8"/>
        <v>18324.849315068492</v>
      </c>
      <c r="U12" s="491">
        <f t="shared" si="9"/>
        <v>182.26</v>
      </c>
      <c r="V12" s="498"/>
      <c r="W12" s="498">
        <v>10</v>
      </c>
      <c r="X12" s="498"/>
      <c r="Y12" s="498">
        <v>3706.14</v>
      </c>
      <c r="Z12" s="462">
        <f t="shared" si="10"/>
        <v>3898.3999999999996</v>
      </c>
      <c r="AA12" s="462">
        <f t="shared" si="11"/>
        <v>125.00000000000045</v>
      </c>
      <c r="AB12" s="489">
        <v>1000</v>
      </c>
      <c r="AD12" s="480" t="s">
        <v>85</v>
      </c>
      <c r="AE12" s="481">
        <v>1</v>
      </c>
      <c r="AF12" s="481">
        <v>76.59</v>
      </c>
      <c r="AG12" s="481">
        <v>75</v>
      </c>
    </row>
    <row r="13" spans="1:33" s="507" customFormat="1">
      <c r="A13" s="456">
        <v>10</v>
      </c>
      <c r="B13" s="457" t="s">
        <v>1521</v>
      </c>
      <c r="C13" s="497">
        <v>9901443181</v>
      </c>
      <c r="D13" s="459" t="s">
        <v>1522</v>
      </c>
      <c r="E13" s="460" t="s">
        <v>32</v>
      </c>
      <c r="F13" s="461">
        <v>31</v>
      </c>
      <c r="G13" s="498">
        <v>71.400000000000006</v>
      </c>
      <c r="H13" s="462">
        <f t="shared" si="0"/>
        <v>2213.4</v>
      </c>
      <c r="I13" s="462">
        <f t="shared" si="1"/>
        <v>8568</v>
      </c>
      <c r="J13" s="463">
        <v>4</v>
      </c>
      <c r="K13" s="533">
        <v>50</v>
      </c>
      <c r="L13" s="462">
        <f t="shared" si="2"/>
        <v>1760</v>
      </c>
      <c r="M13" s="462">
        <v>1510</v>
      </c>
      <c r="N13" s="462">
        <v>250</v>
      </c>
      <c r="O13" s="462">
        <f t="shared" si="3"/>
        <v>4023.4</v>
      </c>
      <c r="P13" s="488">
        <f t="shared" si="4"/>
        <v>1234</v>
      </c>
      <c r="Q13" s="489">
        <f t="shared" si="5"/>
        <v>1217.0958904109589</v>
      </c>
      <c r="R13" s="489">
        <f t="shared" si="6"/>
        <v>65.753424657534239</v>
      </c>
      <c r="S13" s="490">
        <f t="shared" si="7"/>
        <v>15808</v>
      </c>
      <c r="T13" s="490">
        <f t="shared" si="8"/>
        <v>18324.849315068492</v>
      </c>
      <c r="U13" s="491">
        <f t="shared" si="9"/>
        <v>182.26</v>
      </c>
      <c r="V13" s="498"/>
      <c r="W13" s="498">
        <v>10</v>
      </c>
      <c r="X13" s="498"/>
      <c r="Y13" s="498">
        <v>1442.79</v>
      </c>
      <c r="Z13" s="462">
        <f t="shared" si="10"/>
        <v>1635.05</v>
      </c>
      <c r="AA13" s="462">
        <f t="shared" si="11"/>
        <v>2388.3500000000004</v>
      </c>
      <c r="AB13" s="489">
        <v>1000</v>
      </c>
      <c r="AD13" s="480" t="s">
        <v>77</v>
      </c>
      <c r="AE13" s="481">
        <v>1</v>
      </c>
      <c r="AF13" s="481">
        <v>72.540000000000006</v>
      </c>
      <c r="AG13" s="481">
        <v>50</v>
      </c>
    </row>
    <row r="14" spans="1:33" s="507" customFormat="1">
      <c r="A14" s="456">
        <v>11</v>
      </c>
      <c r="B14" s="466" t="s">
        <v>1523</v>
      </c>
      <c r="C14" s="497">
        <v>9901443077</v>
      </c>
      <c r="D14" s="459" t="s">
        <v>1524</v>
      </c>
      <c r="E14" s="460" t="s">
        <v>32</v>
      </c>
      <c r="F14" s="461">
        <v>31</v>
      </c>
      <c r="G14" s="498">
        <v>71.400000000000006</v>
      </c>
      <c r="H14" s="462">
        <f t="shared" si="0"/>
        <v>2213.4</v>
      </c>
      <c r="I14" s="462">
        <f t="shared" si="1"/>
        <v>8568</v>
      </c>
      <c r="J14" s="463">
        <v>4</v>
      </c>
      <c r="K14" s="534">
        <v>50</v>
      </c>
      <c r="L14" s="462">
        <f t="shared" si="2"/>
        <v>1760</v>
      </c>
      <c r="M14" s="462">
        <v>1510</v>
      </c>
      <c r="N14" s="462">
        <v>250</v>
      </c>
      <c r="O14" s="462">
        <f t="shared" si="3"/>
        <v>4023.4</v>
      </c>
      <c r="P14" s="488">
        <f t="shared" si="4"/>
        <v>1234</v>
      </c>
      <c r="Q14" s="489">
        <f t="shared" si="5"/>
        <v>1217.0958904109589</v>
      </c>
      <c r="R14" s="489">
        <f t="shared" si="6"/>
        <v>65.753424657534239</v>
      </c>
      <c r="S14" s="490">
        <f t="shared" si="7"/>
        <v>15808</v>
      </c>
      <c r="T14" s="490">
        <f t="shared" si="8"/>
        <v>18324.849315068492</v>
      </c>
      <c r="U14" s="491">
        <f t="shared" si="9"/>
        <v>182.26</v>
      </c>
      <c r="V14" s="498"/>
      <c r="W14" s="498">
        <v>10</v>
      </c>
      <c r="X14" s="498"/>
      <c r="Y14" s="498"/>
      <c r="Z14" s="462">
        <f t="shared" si="10"/>
        <v>192.26</v>
      </c>
      <c r="AA14" s="462">
        <f t="shared" si="11"/>
        <v>3831.1400000000003</v>
      </c>
      <c r="AB14" s="489">
        <v>1000</v>
      </c>
      <c r="AD14" s="480" t="s">
        <v>36</v>
      </c>
      <c r="AE14" s="481">
        <v>1</v>
      </c>
      <c r="AF14" s="481">
        <v>72.540000000000006</v>
      </c>
      <c r="AG14" s="481">
        <v>50</v>
      </c>
    </row>
    <row r="15" spans="1:33" s="507" customFormat="1">
      <c r="A15" s="456">
        <v>12</v>
      </c>
      <c r="B15" s="466" t="s">
        <v>1525</v>
      </c>
      <c r="C15" s="497">
        <v>9901442600</v>
      </c>
      <c r="D15" s="459" t="s">
        <v>1526</v>
      </c>
      <c r="E15" s="460" t="s">
        <v>44</v>
      </c>
      <c r="F15" s="461">
        <v>31</v>
      </c>
      <c r="G15" s="498">
        <v>72.540000000000006</v>
      </c>
      <c r="H15" s="462">
        <f t="shared" si="0"/>
        <v>2248.7400000000002</v>
      </c>
      <c r="I15" s="462">
        <f t="shared" si="1"/>
        <v>8704.8000000000011</v>
      </c>
      <c r="J15" s="463">
        <v>4</v>
      </c>
      <c r="K15" s="534">
        <v>50</v>
      </c>
      <c r="L15" s="462">
        <f t="shared" si="2"/>
        <v>1760</v>
      </c>
      <c r="M15" s="462">
        <v>1510</v>
      </c>
      <c r="N15" s="462">
        <v>250</v>
      </c>
      <c r="O15" s="462">
        <f t="shared" si="3"/>
        <v>4058.7400000000002</v>
      </c>
      <c r="P15" s="488">
        <f t="shared" si="4"/>
        <v>1245.4000000000001</v>
      </c>
      <c r="Q15" s="489">
        <f t="shared" si="5"/>
        <v>1228.3397260273973</v>
      </c>
      <c r="R15" s="489">
        <f t="shared" si="6"/>
        <v>65.753424657534239</v>
      </c>
      <c r="S15" s="490">
        <f t="shared" si="7"/>
        <v>15944.800000000001</v>
      </c>
      <c r="T15" s="490">
        <f t="shared" si="8"/>
        <v>18484.293150684935</v>
      </c>
      <c r="U15" s="491">
        <f t="shared" si="9"/>
        <v>183.96</v>
      </c>
      <c r="V15" s="498"/>
      <c r="W15" s="498">
        <v>10</v>
      </c>
      <c r="X15" s="498"/>
      <c r="Y15" s="498">
        <v>1481.22</v>
      </c>
      <c r="Z15" s="462">
        <f t="shared" si="10"/>
        <v>1675.18</v>
      </c>
      <c r="AA15" s="462">
        <f t="shared" si="11"/>
        <v>2383.5600000000004</v>
      </c>
      <c r="AB15" s="489">
        <v>1000</v>
      </c>
      <c r="AD15" s="480" t="s">
        <v>39</v>
      </c>
      <c r="AE15" s="481">
        <v>4</v>
      </c>
      <c r="AF15" s="481">
        <v>78.25</v>
      </c>
      <c r="AG15" s="481">
        <v>225</v>
      </c>
    </row>
    <row r="16" spans="1:33" s="507" customFormat="1">
      <c r="A16" s="456">
        <v>13</v>
      </c>
      <c r="B16" s="466" t="s">
        <v>1527</v>
      </c>
      <c r="C16" s="497">
        <v>9901442405</v>
      </c>
      <c r="D16" s="459" t="s">
        <v>1528</v>
      </c>
      <c r="E16" s="460" t="s">
        <v>32</v>
      </c>
      <c r="F16" s="461">
        <v>31</v>
      </c>
      <c r="G16" s="498">
        <v>71.400000000000006</v>
      </c>
      <c r="H16" s="462">
        <f t="shared" si="0"/>
        <v>2213.4</v>
      </c>
      <c r="I16" s="462">
        <f t="shared" si="1"/>
        <v>8568</v>
      </c>
      <c r="J16" s="463">
        <v>4</v>
      </c>
      <c r="K16" s="534">
        <v>75</v>
      </c>
      <c r="L16" s="462">
        <f t="shared" si="2"/>
        <v>1760</v>
      </c>
      <c r="M16" s="462">
        <v>1510</v>
      </c>
      <c r="N16" s="462">
        <v>250</v>
      </c>
      <c r="O16" s="462">
        <f t="shared" si="3"/>
        <v>4048.4</v>
      </c>
      <c r="P16" s="488">
        <f t="shared" si="4"/>
        <v>1242.3333333333333</v>
      </c>
      <c r="Q16" s="489">
        <f t="shared" si="5"/>
        <v>1225.3150684931506</v>
      </c>
      <c r="R16" s="489">
        <f t="shared" si="6"/>
        <v>65.753424657534239</v>
      </c>
      <c r="S16" s="490">
        <f t="shared" si="7"/>
        <v>15908</v>
      </c>
      <c r="T16" s="490">
        <f t="shared" si="8"/>
        <v>18441.401826484016</v>
      </c>
      <c r="U16" s="491">
        <f t="shared" si="9"/>
        <v>183.46</v>
      </c>
      <c r="V16" s="575">
        <f>(O16-N16)*11%</f>
        <v>417.82400000000001</v>
      </c>
      <c r="W16" s="498">
        <v>10</v>
      </c>
      <c r="X16" s="498"/>
      <c r="Y16" s="498"/>
      <c r="Z16" s="462">
        <f t="shared" si="10"/>
        <v>611.28399999999999</v>
      </c>
      <c r="AA16" s="462">
        <f t="shared" si="11"/>
        <v>3437.116</v>
      </c>
      <c r="AB16" s="489">
        <v>1000</v>
      </c>
      <c r="AD16" s="480" t="s">
        <v>31</v>
      </c>
      <c r="AE16" s="481">
        <v>1</v>
      </c>
      <c r="AF16" s="481">
        <v>72.540000000000006</v>
      </c>
      <c r="AG16" s="481"/>
    </row>
    <row r="17" spans="1:33" s="507" customFormat="1">
      <c r="A17" s="456">
        <v>14</v>
      </c>
      <c r="B17" s="457" t="s">
        <v>1529</v>
      </c>
      <c r="C17" s="497">
        <v>9901442616</v>
      </c>
      <c r="D17" s="459" t="s">
        <v>1530</v>
      </c>
      <c r="E17" s="460" t="s">
        <v>35</v>
      </c>
      <c r="F17" s="461">
        <v>31</v>
      </c>
      <c r="G17" s="498">
        <v>71.400000000000006</v>
      </c>
      <c r="H17" s="462">
        <f t="shared" si="0"/>
        <v>2213.4</v>
      </c>
      <c r="I17" s="462">
        <f t="shared" si="1"/>
        <v>8568</v>
      </c>
      <c r="J17" s="463">
        <v>4</v>
      </c>
      <c r="K17" s="534">
        <v>50</v>
      </c>
      <c r="L17" s="462">
        <f t="shared" si="2"/>
        <v>1760</v>
      </c>
      <c r="M17" s="462">
        <v>1510</v>
      </c>
      <c r="N17" s="462">
        <v>250</v>
      </c>
      <c r="O17" s="462">
        <f t="shared" si="3"/>
        <v>4023.4</v>
      </c>
      <c r="P17" s="488">
        <f t="shared" si="4"/>
        <v>1234</v>
      </c>
      <c r="Q17" s="489">
        <f t="shared" si="5"/>
        <v>1217.0958904109589</v>
      </c>
      <c r="R17" s="489">
        <f t="shared" si="6"/>
        <v>65.753424657534239</v>
      </c>
      <c r="S17" s="490">
        <f t="shared" si="7"/>
        <v>15808</v>
      </c>
      <c r="T17" s="490">
        <f t="shared" si="8"/>
        <v>18324.849315068492</v>
      </c>
      <c r="U17" s="491">
        <f t="shared" si="9"/>
        <v>182.26</v>
      </c>
      <c r="V17" s="498"/>
      <c r="W17" s="498">
        <v>10</v>
      </c>
      <c r="X17" s="498"/>
      <c r="Y17" s="498"/>
      <c r="Z17" s="462">
        <f t="shared" si="10"/>
        <v>192.26</v>
      </c>
      <c r="AA17" s="462">
        <f t="shared" si="11"/>
        <v>3831.1400000000003</v>
      </c>
      <c r="AB17" s="489">
        <v>1000</v>
      </c>
      <c r="AD17" s="480" t="s">
        <v>32</v>
      </c>
      <c r="AE17" s="481">
        <v>116</v>
      </c>
      <c r="AF17" s="481">
        <v>71.400000000000006</v>
      </c>
      <c r="AG17" s="481">
        <v>5800</v>
      </c>
    </row>
    <row r="18" spans="1:33" s="507" customFormat="1">
      <c r="A18" s="456">
        <v>15</v>
      </c>
      <c r="B18" s="466" t="s">
        <v>1531</v>
      </c>
      <c r="C18" s="497">
        <v>9901443081</v>
      </c>
      <c r="D18" s="459" t="s">
        <v>1532</v>
      </c>
      <c r="E18" s="460" t="s">
        <v>32</v>
      </c>
      <c r="F18" s="461">
        <v>31</v>
      </c>
      <c r="G18" s="498">
        <v>71.400000000000006</v>
      </c>
      <c r="H18" s="462">
        <f t="shared" si="0"/>
        <v>2213.4</v>
      </c>
      <c r="I18" s="462">
        <f t="shared" si="1"/>
        <v>8568</v>
      </c>
      <c r="J18" s="463">
        <v>4</v>
      </c>
      <c r="K18" s="534">
        <v>50</v>
      </c>
      <c r="L18" s="462">
        <f t="shared" si="2"/>
        <v>1760</v>
      </c>
      <c r="M18" s="462">
        <v>1510</v>
      </c>
      <c r="N18" s="462">
        <v>250</v>
      </c>
      <c r="O18" s="462">
        <f t="shared" si="3"/>
        <v>4023.4</v>
      </c>
      <c r="P18" s="488">
        <f t="shared" si="4"/>
        <v>1234</v>
      </c>
      <c r="Q18" s="489">
        <f t="shared" si="5"/>
        <v>1217.0958904109589</v>
      </c>
      <c r="R18" s="489">
        <f t="shared" si="6"/>
        <v>65.753424657534239</v>
      </c>
      <c r="S18" s="490">
        <f t="shared" si="7"/>
        <v>15808</v>
      </c>
      <c r="T18" s="490">
        <f t="shared" si="8"/>
        <v>18324.849315068492</v>
      </c>
      <c r="U18" s="491">
        <f t="shared" si="9"/>
        <v>182.26</v>
      </c>
      <c r="V18" s="498">
        <f>(O18-N18)*11%</f>
        <v>415.07400000000001</v>
      </c>
      <c r="W18" s="498">
        <v>10</v>
      </c>
      <c r="X18" s="498"/>
      <c r="Y18" s="498"/>
      <c r="Z18" s="462">
        <f t="shared" si="10"/>
        <v>607.33400000000006</v>
      </c>
      <c r="AA18" s="462">
        <f t="shared" si="11"/>
        <v>3416.0659999999998</v>
      </c>
      <c r="AB18" s="489">
        <v>1000</v>
      </c>
      <c r="AD18" s="480" t="s">
        <v>54</v>
      </c>
      <c r="AE18" s="481">
        <v>22</v>
      </c>
      <c r="AF18" s="481">
        <v>71.400000000000006</v>
      </c>
      <c r="AG18" s="481">
        <v>1035</v>
      </c>
    </row>
    <row r="19" spans="1:33" s="507" customFormat="1">
      <c r="A19" s="456">
        <v>16</v>
      </c>
      <c r="B19" s="466" t="s">
        <v>1533</v>
      </c>
      <c r="C19" s="497">
        <v>9901443064</v>
      </c>
      <c r="D19" s="459" t="s">
        <v>1534</v>
      </c>
      <c r="E19" s="460" t="s">
        <v>32</v>
      </c>
      <c r="F19" s="461">
        <v>31</v>
      </c>
      <c r="G19" s="498">
        <v>71.400000000000006</v>
      </c>
      <c r="H19" s="462">
        <f t="shared" si="0"/>
        <v>2213.4</v>
      </c>
      <c r="I19" s="462">
        <f t="shared" si="1"/>
        <v>8568</v>
      </c>
      <c r="J19" s="463">
        <v>4</v>
      </c>
      <c r="K19" s="534">
        <v>50</v>
      </c>
      <c r="L19" s="462">
        <f t="shared" si="2"/>
        <v>1760</v>
      </c>
      <c r="M19" s="462">
        <v>1510</v>
      </c>
      <c r="N19" s="462">
        <v>250</v>
      </c>
      <c r="O19" s="462">
        <f t="shared" si="3"/>
        <v>4023.4</v>
      </c>
      <c r="P19" s="488">
        <f t="shared" si="4"/>
        <v>1234</v>
      </c>
      <c r="Q19" s="489">
        <f t="shared" si="5"/>
        <v>1217.0958904109589</v>
      </c>
      <c r="R19" s="489">
        <f t="shared" si="6"/>
        <v>65.753424657534239</v>
      </c>
      <c r="S19" s="490">
        <f t="shared" si="7"/>
        <v>15808</v>
      </c>
      <c r="T19" s="490">
        <f t="shared" si="8"/>
        <v>18324.849315068492</v>
      </c>
      <c r="U19" s="491">
        <f t="shared" si="9"/>
        <v>182.26</v>
      </c>
      <c r="V19" s="498"/>
      <c r="W19" s="498">
        <v>10</v>
      </c>
      <c r="X19" s="498"/>
      <c r="Y19" s="498"/>
      <c r="Z19" s="462">
        <f t="shared" si="10"/>
        <v>192.26</v>
      </c>
      <c r="AA19" s="462">
        <f t="shared" si="11"/>
        <v>3831.1400000000003</v>
      </c>
      <c r="AB19" s="489">
        <v>1000</v>
      </c>
      <c r="AD19" s="480" t="s">
        <v>86</v>
      </c>
      <c r="AE19" s="481">
        <v>1</v>
      </c>
      <c r="AF19" s="481">
        <v>78.25</v>
      </c>
      <c r="AG19" s="481"/>
    </row>
    <row r="20" spans="1:33" s="507" customFormat="1">
      <c r="A20" s="456">
        <v>17</v>
      </c>
      <c r="B20" s="457" t="s">
        <v>1535</v>
      </c>
      <c r="C20" s="497">
        <v>9901442385</v>
      </c>
      <c r="D20" s="459" t="s">
        <v>1536</v>
      </c>
      <c r="E20" s="460" t="s">
        <v>72</v>
      </c>
      <c r="F20" s="461">
        <v>31</v>
      </c>
      <c r="G20" s="498">
        <v>71.400000000000006</v>
      </c>
      <c r="H20" s="462">
        <f t="shared" si="0"/>
        <v>2213.4</v>
      </c>
      <c r="I20" s="462">
        <f t="shared" si="1"/>
        <v>8568</v>
      </c>
      <c r="J20" s="463">
        <v>4</v>
      </c>
      <c r="K20" s="534">
        <v>50</v>
      </c>
      <c r="L20" s="462">
        <f t="shared" si="2"/>
        <v>1760</v>
      </c>
      <c r="M20" s="462">
        <v>1510</v>
      </c>
      <c r="N20" s="462">
        <v>250</v>
      </c>
      <c r="O20" s="462">
        <f t="shared" si="3"/>
        <v>4023.4</v>
      </c>
      <c r="P20" s="488">
        <f t="shared" si="4"/>
        <v>1234</v>
      </c>
      <c r="Q20" s="489">
        <f t="shared" si="5"/>
        <v>1217.0958904109589</v>
      </c>
      <c r="R20" s="489">
        <f t="shared" si="6"/>
        <v>65.753424657534239</v>
      </c>
      <c r="S20" s="490">
        <f t="shared" si="7"/>
        <v>15808</v>
      </c>
      <c r="T20" s="490">
        <f t="shared" si="8"/>
        <v>18324.849315068492</v>
      </c>
      <c r="U20" s="491">
        <f t="shared" si="9"/>
        <v>182.26</v>
      </c>
      <c r="V20" s="498"/>
      <c r="W20" s="498"/>
      <c r="X20" s="498"/>
      <c r="Y20" s="498">
        <v>1741.38</v>
      </c>
      <c r="Z20" s="462">
        <f t="shared" si="10"/>
        <v>1923.64</v>
      </c>
      <c r="AA20" s="462">
        <f t="shared" si="11"/>
        <v>2099.7600000000002</v>
      </c>
      <c r="AB20" s="489">
        <v>1000</v>
      </c>
      <c r="AD20" s="480" t="s">
        <v>227</v>
      </c>
      <c r="AE20" s="481">
        <v>200</v>
      </c>
      <c r="AF20" s="481">
        <v>78.25</v>
      </c>
      <c r="AG20" s="481">
        <v>9220</v>
      </c>
    </row>
    <row r="21" spans="1:33" s="507" customFormat="1">
      <c r="A21" s="456">
        <v>18</v>
      </c>
      <c r="B21" s="457" t="s">
        <v>1537</v>
      </c>
      <c r="C21" s="497">
        <v>9901443967</v>
      </c>
      <c r="D21" s="459" t="s">
        <v>1538</v>
      </c>
      <c r="E21" s="460" t="s">
        <v>35</v>
      </c>
      <c r="F21" s="461">
        <v>31</v>
      </c>
      <c r="G21" s="498">
        <v>71.400000000000006</v>
      </c>
      <c r="H21" s="462">
        <f t="shared" si="0"/>
        <v>2213.4</v>
      </c>
      <c r="I21" s="462">
        <f t="shared" si="1"/>
        <v>8568</v>
      </c>
      <c r="J21" s="463">
        <v>4</v>
      </c>
      <c r="K21" s="533">
        <v>35</v>
      </c>
      <c r="L21" s="462">
        <f t="shared" si="2"/>
        <v>1760</v>
      </c>
      <c r="M21" s="462">
        <v>1510</v>
      </c>
      <c r="N21" s="462">
        <v>250</v>
      </c>
      <c r="O21" s="462">
        <f t="shared" si="3"/>
        <v>4008.4</v>
      </c>
      <c r="P21" s="488">
        <f t="shared" si="4"/>
        <v>1229</v>
      </c>
      <c r="Q21" s="489">
        <f t="shared" si="5"/>
        <v>1212.1643835616437</v>
      </c>
      <c r="R21" s="489">
        <f t="shared" si="6"/>
        <v>65.753424657534239</v>
      </c>
      <c r="S21" s="490">
        <f t="shared" si="7"/>
        <v>15748</v>
      </c>
      <c r="T21" s="490">
        <f t="shared" si="8"/>
        <v>18254.917808219179</v>
      </c>
      <c r="U21" s="491">
        <f t="shared" si="9"/>
        <v>181.53</v>
      </c>
      <c r="V21" s="498"/>
      <c r="W21" s="498"/>
      <c r="X21" s="498"/>
      <c r="Y21" s="498"/>
      <c r="Z21" s="462">
        <f t="shared" si="10"/>
        <v>181.53</v>
      </c>
      <c r="AA21" s="462">
        <f t="shared" si="11"/>
        <v>3826.87</v>
      </c>
      <c r="AB21" s="489">
        <v>1000</v>
      </c>
      <c r="AD21"/>
      <c r="AE21"/>
      <c r="AF21"/>
    </row>
    <row r="22" spans="1:33" s="507" customFormat="1">
      <c r="A22" s="456">
        <v>19</v>
      </c>
      <c r="B22" s="457" t="s">
        <v>1539</v>
      </c>
      <c r="C22" s="497">
        <v>9901477312</v>
      </c>
      <c r="D22" s="459" t="s">
        <v>1540</v>
      </c>
      <c r="E22" s="460" t="s">
        <v>32</v>
      </c>
      <c r="F22" s="461">
        <v>31</v>
      </c>
      <c r="G22" s="498">
        <v>71.400000000000006</v>
      </c>
      <c r="H22" s="462">
        <f t="shared" si="0"/>
        <v>2213.4</v>
      </c>
      <c r="I22" s="462">
        <f t="shared" si="1"/>
        <v>8568</v>
      </c>
      <c r="J22" s="463">
        <v>4</v>
      </c>
      <c r="K22" s="534"/>
      <c r="L22" s="462">
        <f t="shared" si="2"/>
        <v>1760</v>
      </c>
      <c r="M22" s="462">
        <v>1510</v>
      </c>
      <c r="N22" s="462">
        <v>250</v>
      </c>
      <c r="O22" s="462">
        <f t="shared" si="3"/>
        <v>3973.4</v>
      </c>
      <c r="P22" s="488">
        <f t="shared" si="4"/>
        <v>1217.3333333333333</v>
      </c>
      <c r="Q22" s="489">
        <f t="shared" si="5"/>
        <v>1200.6575342465753</v>
      </c>
      <c r="R22" s="489">
        <f t="shared" si="6"/>
        <v>65.753424657534239</v>
      </c>
      <c r="S22" s="490">
        <f t="shared" si="7"/>
        <v>15608</v>
      </c>
      <c r="T22" s="490">
        <f t="shared" si="8"/>
        <v>18091.744292237443</v>
      </c>
      <c r="U22" s="491">
        <f t="shared" si="9"/>
        <v>179.84</v>
      </c>
      <c r="V22" s="498">
        <f>(O22-N22)*11%</f>
        <v>409.57400000000001</v>
      </c>
      <c r="W22" s="498"/>
      <c r="X22" s="498"/>
      <c r="Y22" s="498"/>
      <c r="Z22" s="462">
        <f t="shared" si="10"/>
        <v>589.41399999999999</v>
      </c>
      <c r="AA22" s="462">
        <f t="shared" si="11"/>
        <v>3383.9859999999999</v>
      </c>
      <c r="AB22" s="489">
        <v>1000</v>
      </c>
      <c r="AD22"/>
      <c r="AE22"/>
      <c r="AF22"/>
    </row>
    <row r="23" spans="1:33" s="507" customFormat="1">
      <c r="A23" s="456">
        <v>20</v>
      </c>
      <c r="B23" s="457" t="s">
        <v>1541</v>
      </c>
      <c r="C23" s="497">
        <v>9901443092</v>
      </c>
      <c r="D23" s="459" t="s">
        <v>1542</v>
      </c>
      <c r="E23" s="460" t="s">
        <v>32</v>
      </c>
      <c r="F23" s="461">
        <v>31</v>
      </c>
      <c r="G23" s="498">
        <v>71.400000000000006</v>
      </c>
      <c r="H23" s="462">
        <f t="shared" si="0"/>
        <v>2213.4</v>
      </c>
      <c r="I23" s="462">
        <f t="shared" si="1"/>
        <v>8568</v>
      </c>
      <c r="J23" s="463">
        <v>4</v>
      </c>
      <c r="K23" s="534">
        <v>75</v>
      </c>
      <c r="L23" s="462">
        <f t="shared" si="2"/>
        <v>1760</v>
      </c>
      <c r="M23" s="462">
        <v>1510</v>
      </c>
      <c r="N23" s="462">
        <v>250</v>
      </c>
      <c r="O23" s="462">
        <f t="shared" si="3"/>
        <v>4048.4</v>
      </c>
      <c r="P23" s="488">
        <f t="shared" si="4"/>
        <v>1242.3333333333333</v>
      </c>
      <c r="Q23" s="489">
        <f t="shared" si="5"/>
        <v>1225.3150684931506</v>
      </c>
      <c r="R23" s="489">
        <f t="shared" si="6"/>
        <v>65.753424657534239</v>
      </c>
      <c r="S23" s="490">
        <f t="shared" si="7"/>
        <v>15908</v>
      </c>
      <c r="T23" s="490">
        <f t="shared" si="8"/>
        <v>18441.401826484016</v>
      </c>
      <c r="U23" s="491">
        <f t="shared" si="9"/>
        <v>183.46</v>
      </c>
      <c r="V23" s="498">
        <f>(O23-N23)*11%</f>
        <v>417.82400000000001</v>
      </c>
      <c r="W23" s="498">
        <v>10</v>
      </c>
      <c r="X23" s="498"/>
      <c r="Y23" s="498"/>
      <c r="Z23" s="462">
        <f t="shared" si="10"/>
        <v>611.28399999999999</v>
      </c>
      <c r="AA23" s="462">
        <f t="shared" si="11"/>
        <v>3437.116</v>
      </c>
      <c r="AB23" s="489">
        <v>1000</v>
      </c>
      <c r="AD23"/>
      <c r="AE23"/>
      <c r="AF23"/>
    </row>
    <row r="24" spans="1:33" s="507" customFormat="1">
      <c r="A24" s="456">
        <v>21</v>
      </c>
      <c r="B24" s="466" t="s">
        <v>1543</v>
      </c>
      <c r="C24" s="497">
        <v>9901443763</v>
      </c>
      <c r="D24" s="459" t="s">
        <v>1544</v>
      </c>
      <c r="E24" s="460" t="s">
        <v>32</v>
      </c>
      <c r="F24" s="461">
        <v>31</v>
      </c>
      <c r="G24" s="498">
        <v>71.400000000000006</v>
      </c>
      <c r="H24" s="462">
        <f t="shared" si="0"/>
        <v>2213.4</v>
      </c>
      <c r="I24" s="462">
        <f t="shared" si="1"/>
        <v>8568</v>
      </c>
      <c r="J24" s="463">
        <v>4</v>
      </c>
      <c r="K24" s="534">
        <v>50</v>
      </c>
      <c r="L24" s="462">
        <f t="shared" si="2"/>
        <v>1760</v>
      </c>
      <c r="M24" s="462">
        <v>1510</v>
      </c>
      <c r="N24" s="462">
        <v>250</v>
      </c>
      <c r="O24" s="462">
        <f t="shared" si="3"/>
        <v>4023.4</v>
      </c>
      <c r="P24" s="488">
        <f t="shared" si="4"/>
        <v>1234</v>
      </c>
      <c r="Q24" s="489">
        <f t="shared" si="5"/>
        <v>1217.0958904109589</v>
      </c>
      <c r="R24" s="489">
        <f t="shared" si="6"/>
        <v>65.753424657534239</v>
      </c>
      <c r="S24" s="490">
        <f t="shared" si="7"/>
        <v>15808</v>
      </c>
      <c r="T24" s="490">
        <f t="shared" si="8"/>
        <v>18324.849315068492</v>
      </c>
      <c r="U24" s="491">
        <f t="shared" si="9"/>
        <v>182.26</v>
      </c>
      <c r="V24" s="498"/>
      <c r="W24" s="498"/>
      <c r="X24" s="498"/>
      <c r="Y24" s="498">
        <v>1220.97</v>
      </c>
      <c r="Z24" s="462">
        <f t="shared" si="10"/>
        <v>1403.23</v>
      </c>
      <c r="AA24" s="462">
        <f t="shared" si="11"/>
        <v>2620.17</v>
      </c>
      <c r="AB24" s="489">
        <v>1000</v>
      </c>
      <c r="AD24"/>
      <c r="AE24"/>
      <c r="AF24"/>
    </row>
    <row r="25" spans="1:33" s="507" customFormat="1">
      <c r="A25" s="456">
        <v>22</v>
      </c>
      <c r="B25" s="466" t="s">
        <v>1545</v>
      </c>
      <c r="C25" s="497">
        <v>9901443757</v>
      </c>
      <c r="D25" s="459" t="s">
        <v>1546</v>
      </c>
      <c r="E25" s="460" t="s">
        <v>54</v>
      </c>
      <c r="F25" s="461">
        <v>31</v>
      </c>
      <c r="G25" s="498">
        <v>71.400000000000006</v>
      </c>
      <c r="H25" s="462">
        <f t="shared" si="0"/>
        <v>2213.4</v>
      </c>
      <c r="I25" s="462">
        <f t="shared" si="1"/>
        <v>8568</v>
      </c>
      <c r="J25" s="463">
        <v>4</v>
      </c>
      <c r="K25" s="533">
        <v>50</v>
      </c>
      <c r="L25" s="462">
        <f t="shared" si="2"/>
        <v>1760</v>
      </c>
      <c r="M25" s="462">
        <v>1510</v>
      </c>
      <c r="N25" s="462">
        <v>250</v>
      </c>
      <c r="O25" s="462">
        <f t="shared" si="3"/>
        <v>4023.4</v>
      </c>
      <c r="P25" s="488">
        <f t="shared" si="4"/>
        <v>1234</v>
      </c>
      <c r="Q25" s="489">
        <f t="shared" si="5"/>
        <v>1217.0958904109589</v>
      </c>
      <c r="R25" s="489">
        <f t="shared" si="6"/>
        <v>65.753424657534239</v>
      </c>
      <c r="S25" s="490">
        <f t="shared" si="7"/>
        <v>15808</v>
      </c>
      <c r="T25" s="490">
        <f t="shared" si="8"/>
        <v>18324.849315068492</v>
      </c>
      <c r="U25" s="491">
        <f t="shared" si="9"/>
        <v>182.26</v>
      </c>
      <c r="V25" s="498"/>
      <c r="W25" s="498"/>
      <c r="X25" s="498"/>
      <c r="Y25" s="498">
        <v>1898.88</v>
      </c>
      <c r="Z25" s="462">
        <f t="shared" si="10"/>
        <v>2081.1400000000003</v>
      </c>
      <c r="AA25" s="462">
        <f t="shared" si="11"/>
        <v>1942.2599999999998</v>
      </c>
      <c r="AB25" s="489">
        <v>1000</v>
      </c>
      <c r="AD25"/>
      <c r="AE25"/>
      <c r="AF25"/>
    </row>
    <row r="26" spans="1:33" s="507" customFormat="1">
      <c r="A26" s="456">
        <v>23</v>
      </c>
      <c r="B26" s="457" t="s">
        <v>1547</v>
      </c>
      <c r="C26" s="497">
        <v>9901442999</v>
      </c>
      <c r="D26" s="459" t="s">
        <v>1548</v>
      </c>
      <c r="E26" s="460" t="s">
        <v>32</v>
      </c>
      <c r="F26" s="461">
        <v>31</v>
      </c>
      <c r="G26" s="498">
        <v>71.400000000000006</v>
      </c>
      <c r="H26" s="462">
        <f t="shared" si="0"/>
        <v>2213.4</v>
      </c>
      <c r="I26" s="462">
        <f t="shared" si="1"/>
        <v>8568</v>
      </c>
      <c r="J26" s="463">
        <v>4</v>
      </c>
      <c r="K26" s="534">
        <v>50</v>
      </c>
      <c r="L26" s="462">
        <f t="shared" si="2"/>
        <v>1760</v>
      </c>
      <c r="M26" s="462">
        <v>1510</v>
      </c>
      <c r="N26" s="462">
        <v>250</v>
      </c>
      <c r="O26" s="462">
        <f t="shared" si="3"/>
        <v>4023.4</v>
      </c>
      <c r="P26" s="488">
        <f t="shared" si="4"/>
        <v>1234</v>
      </c>
      <c r="Q26" s="489">
        <f t="shared" si="5"/>
        <v>1217.0958904109589</v>
      </c>
      <c r="R26" s="489">
        <f t="shared" si="6"/>
        <v>65.753424657534239</v>
      </c>
      <c r="S26" s="490">
        <f t="shared" si="7"/>
        <v>15808</v>
      </c>
      <c r="T26" s="490">
        <f t="shared" si="8"/>
        <v>18324.849315068492</v>
      </c>
      <c r="U26" s="491">
        <f t="shared" si="9"/>
        <v>182.26</v>
      </c>
      <c r="V26" s="498"/>
      <c r="W26" s="498"/>
      <c r="X26" s="498"/>
      <c r="Y26" s="498"/>
      <c r="Z26" s="462">
        <f t="shared" si="10"/>
        <v>182.26</v>
      </c>
      <c r="AA26" s="462">
        <f t="shared" si="11"/>
        <v>3841.1400000000003</v>
      </c>
      <c r="AB26" s="489">
        <v>1000</v>
      </c>
      <c r="AD26"/>
      <c r="AE26"/>
      <c r="AF26"/>
    </row>
    <row r="27" spans="1:33" s="507" customFormat="1">
      <c r="A27" s="456">
        <v>24</v>
      </c>
      <c r="B27" s="457" t="s">
        <v>1549</v>
      </c>
      <c r="C27" s="497">
        <v>9901442612</v>
      </c>
      <c r="D27" s="459" t="s">
        <v>1550</v>
      </c>
      <c r="E27" s="460" t="s">
        <v>44</v>
      </c>
      <c r="F27" s="461">
        <v>31</v>
      </c>
      <c r="G27" s="498">
        <v>72.540000000000006</v>
      </c>
      <c r="H27" s="462">
        <f t="shared" si="0"/>
        <v>2248.7400000000002</v>
      </c>
      <c r="I27" s="462">
        <f t="shared" si="1"/>
        <v>8704.8000000000011</v>
      </c>
      <c r="J27" s="463">
        <v>4</v>
      </c>
      <c r="K27" s="534">
        <v>50</v>
      </c>
      <c r="L27" s="462">
        <f t="shared" si="2"/>
        <v>1760</v>
      </c>
      <c r="M27" s="462">
        <v>1510</v>
      </c>
      <c r="N27" s="462">
        <v>250</v>
      </c>
      <c r="O27" s="462">
        <f t="shared" si="3"/>
        <v>4058.7400000000002</v>
      </c>
      <c r="P27" s="488">
        <f t="shared" si="4"/>
        <v>1245.4000000000001</v>
      </c>
      <c r="Q27" s="489">
        <f t="shared" si="5"/>
        <v>1228.3397260273973</v>
      </c>
      <c r="R27" s="489">
        <f t="shared" si="6"/>
        <v>65.753424657534239</v>
      </c>
      <c r="S27" s="490">
        <f t="shared" si="7"/>
        <v>15944.800000000001</v>
      </c>
      <c r="T27" s="490">
        <f t="shared" si="8"/>
        <v>18484.293150684935</v>
      </c>
      <c r="U27" s="491">
        <f t="shared" si="9"/>
        <v>183.96</v>
      </c>
      <c r="V27" s="498"/>
      <c r="W27" s="498"/>
      <c r="X27" s="498"/>
      <c r="Y27" s="498"/>
      <c r="Z27" s="462">
        <f t="shared" si="10"/>
        <v>183.96</v>
      </c>
      <c r="AA27" s="462">
        <f t="shared" si="11"/>
        <v>3874.78</v>
      </c>
      <c r="AB27" s="489">
        <v>1000</v>
      </c>
      <c r="AD27"/>
      <c r="AE27"/>
      <c r="AF27"/>
    </row>
    <row r="28" spans="1:33" s="507" customFormat="1">
      <c r="A28" s="456">
        <v>25</v>
      </c>
      <c r="B28" s="457" t="s">
        <v>1551</v>
      </c>
      <c r="C28" s="497">
        <v>9901443091</v>
      </c>
      <c r="D28" s="459" t="s">
        <v>1552</v>
      </c>
      <c r="E28" s="460" t="s">
        <v>39</v>
      </c>
      <c r="F28" s="461">
        <v>31</v>
      </c>
      <c r="G28" s="498">
        <v>78.25</v>
      </c>
      <c r="H28" s="462">
        <f t="shared" si="0"/>
        <v>2425.75</v>
      </c>
      <c r="I28" s="462">
        <f t="shared" si="1"/>
        <v>9390</v>
      </c>
      <c r="J28" s="463">
        <v>4</v>
      </c>
      <c r="K28" s="534">
        <v>75</v>
      </c>
      <c r="L28" s="462">
        <f t="shared" si="2"/>
        <v>1760</v>
      </c>
      <c r="M28" s="462">
        <v>1510</v>
      </c>
      <c r="N28" s="462">
        <v>250</v>
      </c>
      <c r="O28" s="462">
        <f t="shared" si="3"/>
        <v>4260.75</v>
      </c>
      <c r="P28" s="488">
        <f t="shared" si="4"/>
        <v>1310.8333333333333</v>
      </c>
      <c r="Q28" s="489">
        <f t="shared" si="5"/>
        <v>1292.8767123287671</v>
      </c>
      <c r="R28" s="489">
        <f t="shared" si="6"/>
        <v>65.753424657534239</v>
      </c>
      <c r="S28" s="490">
        <f t="shared" si="7"/>
        <v>16730</v>
      </c>
      <c r="T28" s="490">
        <f t="shared" si="8"/>
        <v>19399.463470319632</v>
      </c>
      <c r="U28" s="491">
        <f t="shared" si="9"/>
        <v>193.72</v>
      </c>
      <c r="V28" s="498">
        <f>(O28-N28)*11%</f>
        <v>441.1825</v>
      </c>
      <c r="W28" s="498">
        <v>10</v>
      </c>
      <c r="X28" s="498"/>
      <c r="Y28" s="498"/>
      <c r="Z28" s="462">
        <f t="shared" si="10"/>
        <v>644.90250000000003</v>
      </c>
      <c r="AA28" s="462">
        <f t="shared" si="11"/>
        <v>3615.8474999999999</v>
      </c>
      <c r="AB28" s="489">
        <v>1000</v>
      </c>
      <c r="AD28"/>
      <c r="AE28"/>
      <c r="AF28"/>
    </row>
    <row r="29" spans="1:33" s="507" customFormat="1">
      <c r="A29" s="456">
        <v>26</v>
      </c>
      <c r="B29" s="457" t="s">
        <v>1553</v>
      </c>
      <c r="C29" s="497">
        <v>9901442904</v>
      </c>
      <c r="D29" s="459" t="s">
        <v>1554</v>
      </c>
      <c r="E29" s="460" t="s">
        <v>32</v>
      </c>
      <c r="F29" s="461">
        <v>31</v>
      </c>
      <c r="G29" s="498">
        <v>71.400000000000006</v>
      </c>
      <c r="H29" s="462">
        <f t="shared" si="0"/>
        <v>2213.4</v>
      </c>
      <c r="I29" s="462">
        <f t="shared" si="1"/>
        <v>8568</v>
      </c>
      <c r="J29" s="463">
        <v>4</v>
      </c>
      <c r="K29" s="534">
        <v>75</v>
      </c>
      <c r="L29" s="462">
        <f t="shared" si="2"/>
        <v>1760</v>
      </c>
      <c r="M29" s="462">
        <v>1510</v>
      </c>
      <c r="N29" s="462">
        <v>250</v>
      </c>
      <c r="O29" s="462">
        <f t="shared" si="3"/>
        <v>4048.4</v>
      </c>
      <c r="P29" s="488">
        <f t="shared" si="4"/>
        <v>1242.3333333333333</v>
      </c>
      <c r="Q29" s="489">
        <f t="shared" si="5"/>
        <v>1225.3150684931506</v>
      </c>
      <c r="R29" s="489">
        <f t="shared" si="6"/>
        <v>65.753424657534239</v>
      </c>
      <c r="S29" s="490">
        <f t="shared" si="7"/>
        <v>15908</v>
      </c>
      <c r="T29" s="490">
        <f t="shared" si="8"/>
        <v>18441.401826484016</v>
      </c>
      <c r="U29" s="491">
        <f t="shared" si="9"/>
        <v>183.46</v>
      </c>
      <c r="V29" s="498"/>
      <c r="W29" s="498">
        <v>10</v>
      </c>
      <c r="X29" s="498"/>
      <c r="Y29" s="498"/>
      <c r="Z29" s="462">
        <f t="shared" si="10"/>
        <v>193.46</v>
      </c>
      <c r="AA29" s="462">
        <f t="shared" si="11"/>
        <v>3854.94</v>
      </c>
      <c r="AB29" s="489">
        <v>1000</v>
      </c>
      <c r="AD29"/>
      <c r="AE29"/>
      <c r="AF29"/>
    </row>
    <row r="30" spans="1:33" s="507" customFormat="1">
      <c r="A30" s="456">
        <v>27</v>
      </c>
      <c r="B30" s="466" t="s">
        <v>1555</v>
      </c>
      <c r="C30" s="497">
        <v>9901134848</v>
      </c>
      <c r="D30" s="459" t="s">
        <v>1556</v>
      </c>
      <c r="E30" s="460" t="s">
        <v>32</v>
      </c>
      <c r="F30" s="461">
        <v>31</v>
      </c>
      <c r="G30" s="498">
        <v>71.400000000000006</v>
      </c>
      <c r="H30" s="462">
        <f t="shared" si="0"/>
        <v>2213.4</v>
      </c>
      <c r="I30" s="462">
        <f t="shared" si="1"/>
        <v>8568</v>
      </c>
      <c r="J30" s="463">
        <v>4</v>
      </c>
      <c r="K30" s="534"/>
      <c r="L30" s="462">
        <f t="shared" si="2"/>
        <v>1760</v>
      </c>
      <c r="M30" s="462">
        <v>1510</v>
      </c>
      <c r="N30" s="462">
        <v>250</v>
      </c>
      <c r="O30" s="462">
        <f t="shared" si="3"/>
        <v>3973.4</v>
      </c>
      <c r="P30" s="488">
        <f t="shared" si="4"/>
        <v>1217.3333333333333</v>
      </c>
      <c r="Q30" s="489">
        <f t="shared" si="5"/>
        <v>1200.6575342465753</v>
      </c>
      <c r="R30" s="489">
        <f t="shared" si="6"/>
        <v>65.753424657534239</v>
      </c>
      <c r="S30" s="490">
        <f t="shared" si="7"/>
        <v>15608</v>
      </c>
      <c r="T30" s="490">
        <f t="shared" si="8"/>
        <v>18091.744292237443</v>
      </c>
      <c r="U30" s="491">
        <f t="shared" si="9"/>
        <v>179.84</v>
      </c>
      <c r="V30" s="498"/>
      <c r="W30" s="498"/>
      <c r="X30" s="498"/>
      <c r="Y30" s="498">
        <v>1683.33</v>
      </c>
      <c r="Z30" s="462">
        <f t="shared" si="10"/>
        <v>1863.1699999999998</v>
      </c>
      <c r="AA30" s="462">
        <f t="shared" si="11"/>
        <v>2110.2300000000005</v>
      </c>
      <c r="AB30" s="489">
        <v>1000</v>
      </c>
      <c r="AD30"/>
      <c r="AE30"/>
      <c r="AF30"/>
    </row>
    <row r="31" spans="1:33" s="507" customFormat="1">
      <c r="A31" s="456">
        <v>28</v>
      </c>
      <c r="B31" s="457" t="s">
        <v>1557</v>
      </c>
      <c r="C31" s="497">
        <v>9901442908</v>
      </c>
      <c r="D31" s="459" t="s">
        <v>1558</v>
      </c>
      <c r="E31" s="460" t="s">
        <v>32</v>
      </c>
      <c r="F31" s="461">
        <v>31</v>
      </c>
      <c r="G31" s="498">
        <v>71.400000000000006</v>
      </c>
      <c r="H31" s="462">
        <f t="shared" si="0"/>
        <v>2213.4</v>
      </c>
      <c r="I31" s="462">
        <f t="shared" si="1"/>
        <v>8568</v>
      </c>
      <c r="J31" s="463">
        <v>4</v>
      </c>
      <c r="K31" s="534">
        <v>50</v>
      </c>
      <c r="L31" s="462">
        <f t="shared" si="2"/>
        <v>1760</v>
      </c>
      <c r="M31" s="462">
        <v>1510</v>
      </c>
      <c r="N31" s="462">
        <v>250</v>
      </c>
      <c r="O31" s="462">
        <f t="shared" si="3"/>
        <v>4023.4</v>
      </c>
      <c r="P31" s="488">
        <f t="shared" si="4"/>
        <v>1234</v>
      </c>
      <c r="Q31" s="489">
        <f t="shared" si="5"/>
        <v>1217.0958904109589</v>
      </c>
      <c r="R31" s="489">
        <f t="shared" si="6"/>
        <v>65.753424657534239</v>
      </c>
      <c r="S31" s="490">
        <f t="shared" si="7"/>
        <v>15808</v>
      </c>
      <c r="T31" s="490">
        <f t="shared" si="8"/>
        <v>18324.849315068492</v>
      </c>
      <c r="U31" s="491">
        <f t="shared" si="9"/>
        <v>182.26</v>
      </c>
      <c r="V31" s="498">
        <f>(O31-N31)*11%</f>
        <v>415.07400000000001</v>
      </c>
      <c r="W31" s="498">
        <v>10</v>
      </c>
      <c r="X31" s="498"/>
      <c r="Y31" s="498">
        <v>1969.63</v>
      </c>
      <c r="Z31" s="462">
        <f t="shared" si="10"/>
        <v>2576.9639999999999</v>
      </c>
      <c r="AA31" s="462">
        <f t="shared" si="11"/>
        <v>1446.4360000000001</v>
      </c>
      <c r="AB31" s="489">
        <v>1000</v>
      </c>
      <c r="AD31"/>
      <c r="AE31"/>
      <c r="AF31"/>
    </row>
    <row r="32" spans="1:33" s="507" customFormat="1">
      <c r="A32" s="456">
        <v>29</v>
      </c>
      <c r="B32" s="457" t="s">
        <v>1559</v>
      </c>
      <c r="C32" s="497">
        <v>9901443106</v>
      </c>
      <c r="D32" s="459" t="s">
        <v>1560</v>
      </c>
      <c r="E32" s="460" t="s">
        <v>32</v>
      </c>
      <c r="F32" s="461">
        <v>31</v>
      </c>
      <c r="G32" s="498">
        <v>71.400000000000006</v>
      </c>
      <c r="H32" s="462">
        <f t="shared" si="0"/>
        <v>2213.4</v>
      </c>
      <c r="I32" s="462">
        <f t="shared" si="1"/>
        <v>8568</v>
      </c>
      <c r="J32" s="463">
        <v>4</v>
      </c>
      <c r="K32" s="534">
        <v>50</v>
      </c>
      <c r="L32" s="462">
        <f t="shared" si="2"/>
        <v>1760</v>
      </c>
      <c r="M32" s="462">
        <v>1510</v>
      </c>
      <c r="N32" s="462">
        <v>250</v>
      </c>
      <c r="O32" s="462">
        <f t="shared" si="3"/>
        <v>4023.4</v>
      </c>
      <c r="P32" s="488">
        <f t="shared" si="4"/>
        <v>1234</v>
      </c>
      <c r="Q32" s="489">
        <f t="shared" si="5"/>
        <v>1217.0958904109589</v>
      </c>
      <c r="R32" s="489">
        <f t="shared" si="6"/>
        <v>65.753424657534239</v>
      </c>
      <c r="S32" s="490">
        <f t="shared" si="7"/>
        <v>15808</v>
      </c>
      <c r="T32" s="490">
        <f t="shared" si="8"/>
        <v>18324.849315068492</v>
      </c>
      <c r="U32" s="491">
        <f t="shared" si="9"/>
        <v>182.26</v>
      </c>
      <c r="V32" s="498"/>
      <c r="W32" s="498">
        <v>10</v>
      </c>
      <c r="X32" s="498"/>
      <c r="Y32" s="498">
        <v>1723.37</v>
      </c>
      <c r="Z32" s="462">
        <f t="shared" si="10"/>
        <v>1915.6299999999999</v>
      </c>
      <c r="AA32" s="462">
        <f t="shared" si="11"/>
        <v>2107.7700000000004</v>
      </c>
      <c r="AB32" s="489">
        <v>1000</v>
      </c>
      <c r="AD32"/>
      <c r="AE32"/>
      <c r="AF32"/>
    </row>
    <row r="33" spans="1:32" s="507" customFormat="1">
      <c r="A33" s="456">
        <v>30</v>
      </c>
      <c r="B33" s="466" t="s">
        <v>1561</v>
      </c>
      <c r="C33" s="528">
        <v>9901443063</v>
      </c>
      <c r="D33" s="459" t="s">
        <v>1562</v>
      </c>
      <c r="E33" s="460" t="s">
        <v>72</v>
      </c>
      <c r="F33" s="461">
        <v>31</v>
      </c>
      <c r="G33" s="498">
        <v>71.400000000000006</v>
      </c>
      <c r="H33" s="462">
        <f t="shared" si="0"/>
        <v>2213.4</v>
      </c>
      <c r="I33" s="462">
        <f t="shared" si="1"/>
        <v>8568</v>
      </c>
      <c r="J33" s="463">
        <v>4</v>
      </c>
      <c r="K33" s="534">
        <v>50</v>
      </c>
      <c r="L33" s="462">
        <f t="shared" si="2"/>
        <v>1760</v>
      </c>
      <c r="M33" s="462">
        <v>1510</v>
      </c>
      <c r="N33" s="462">
        <v>250</v>
      </c>
      <c r="O33" s="462">
        <f t="shared" si="3"/>
        <v>4023.4</v>
      </c>
      <c r="P33" s="488">
        <f t="shared" si="4"/>
        <v>1234</v>
      </c>
      <c r="Q33" s="489">
        <f t="shared" si="5"/>
        <v>1217.0958904109589</v>
      </c>
      <c r="R33" s="489">
        <f t="shared" si="6"/>
        <v>65.753424657534239</v>
      </c>
      <c r="S33" s="490">
        <f t="shared" si="7"/>
        <v>15808</v>
      </c>
      <c r="T33" s="490">
        <f t="shared" si="8"/>
        <v>18324.849315068492</v>
      </c>
      <c r="U33" s="491">
        <f t="shared" si="9"/>
        <v>182.26</v>
      </c>
      <c r="V33" s="498">
        <f>(O33-N33)*11%</f>
        <v>415.07400000000001</v>
      </c>
      <c r="W33" s="498">
        <v>10</v>
      </c>
      <c r="X33" s="498"/>
      <c r="Y33" s="498"/>
      <c r="Z33" s="462">
        <f t="shared" si="10"/>
        <v>607.33400000000006</v>
      </c>
      <c r="AA33" s="462">
        <f t="shared" si="11"/>
        <v>3416.0659999999998</v>
      </c>
      <c r="AB33" s="489">
        <v>1000</v>
      </c>
      <c r="AD33"/>
      <c r="AE33"/>
      <c r="AF33"/>
    </row>
    <row r="34" spans="1:32" s="507" customFormat="1">
      <c r="A34" s="456">
        <v>31</v>
      </c>
      <c r="B34" s="466" t="s">
        <v>1563</v>
      </c>
      <c r="C34" s="497">
        <v>9901442353</v>
      </c>
      <c r="D34" s="459" t="s">
        <v>1564</v>
      </c>
      <c r="E34" s="460" t="s">
        <v>32</v>
      </c>
      <c r="F34" s="461">
        <v>31</v>
      </c>
      <c r="G34" s="498">
        <v>71.400000000000006</v>
      </c>
      <c r="H34" s="462">
        <f t="shared" si="0"/>
        <v>2213.4</v>
      </c>
      <c r="I34" s="462">
        <f t="shared" si="1"/>
        <v>8568</v>
      </c>
      <c r="J34" s="463">
        <v>4</v>
      </c>
      <c r="K34" s="534">
        <v>75</v>
      </c>
      <c r="L34" s="462">
        <f t="shared" si="2"/>
        <v>1760</v>
      </c>
      <c r="M34" s="462">
        <v>1510</v>
      </c>
      <c r="N34" s="462">
        <v>250</v>
      </c>
      <c r="O34" s="462">
        <f t="shared" si="3"/>
        <v>4048.4</v>
      </c>
      <c r="P34" s="488">
        <f t="shared" si="4"/>
        <v>1242.3333333333333</v>
      </c>
      <c r="Q34" s="489">
        <f t="shared" si="5"/>
        <v>1225.3150684931506</v>
      </c>
      <c r="R34" s="489">
        <f t="shared" si="6"/>
        <v>65.753424657534239</v>
      </c>
      <c r="S34" s="490">
        <f t="shared" si="7"/>
        <v>15908</v>
      </c>
      <c r="T34" s="490">
        <f t="shared" si="8"/>
        <v>18441.401826484016</v>
      </c>
      <c r="U34" s="491">
        <f t="shared" si="9"/>
        <v>183.46</v>
      </c>
      <c r="V34" s="498"/>
      <c r="W34" s="498">
        <v>10</v>
      </c>
      <c r="X34" s="498"/>
      <c r="Y34" s="498">
        <v>926.36</v>
      </c>
      <c r="Z34" s="462">
        <f t="shared" si="10"/>
        <v>1119.82</v>
      </c>
      <c r="AA34" s="462">
        <f t="shared" si="11"/>
        <v>2928.58</v>
      </c>
      <c r="AB34" s="489">
        <v>1000</v>
      </c>
      <c r="AD34"/>
      <c r="AE34"/>
      <c r="AF34"/>
    </row>
    <row r="35" spans="1:32" s="507" customFormat="1">
      <c r="A35" s="456">
        <v>32</v>
      </c>
      <c r="B35" s="457" t="s">
        <v>1565</v>
      </c>
      <c r="C35" s="497">
        <v>9901442613</v>
      </c>
      <c r="D35" s="459" t="s">
        <v>1566</v>
      </c>
      <c r="E35" s="460" t="s">
        <v>44</v>
      </c>
      <c r="F35" s="461">
        <v>31</v>
      </c>
      <c r="G35" s="498">
        <v>72.540000000000006</v>
      </c>
      <c r="H35" s="462">
        <f t="shared" si="0"/>
        <v>2248.7400000000002</v>
      </c>
      <c r="I35" s="462">
        <f t="shared" si="1"/>
        <v>8704.8000000000011</v>
      </c>
      <c r="J35" s="463">
        <v>4</v>
      </c>
      <c r="K35" s="534">
        <v>50</v>
      </c>
      <c r="L35" s="462">
        <f t="shared" si="2"/>
        <v>1760</v>
      </c>
      <c r="M35" s="462">
        <v>1510</v>
      </c>
      <c r="N35" s="462">
        <v>250</v>
      </c>
      <c r="O35" s="462">
        <f t="shared" si="3"/>
        <v>4058.7400000000002</v>
      </c>
      <c r="P35" s="488">
        <f t="shared" si="4"/>
        <v>1245.4000000000001</v>
      </c>
      <c r="Q35" s="489">
        <f t="shared" si="5"/>
        <v>1228.3397260273973</v>
      </c>
      <c r="R35" s="489">
        <f t="shared" si="6"/>
        <v>65.753424657534239</v>
      </c>
      <c r="S35" s="490">
        <f t="shared" si="7"/>
        <v>15944.800000000001</v>
      </c>
      <c r="T35" s="490">
        <f t="shared" si="8"/>
        <v>18484.293150684935</v>
      </c>
      <c r="U35" s="491">
        <f t="shared" si="9"/>
        <v>183.96</v>
      </c>
      <c r="V35" s="498">
        <f>(O35-N35)*11%</f>
        <v>418.96140000000003</v>
      </c>
      <c r="W35" s="498">
        <v>10</v>
      </c>
      <c r="X35" s="498"/>
      <c r="Y35" s="498"/>
      <c r="Z35" s="462">
        <f t="shared" si="10"/>
        <v>612.92140000000006</v>
      </c>
      <c r="AA35" s="462">
        <f t="shared" si="11"/>
        <v>3445.8186000000001</v>
      </c>
      <c r="AB35" s="489">
        <v>1000</v>
      </c>
      <c r="AD35"/>
      <c r="AE35"/>
      <c r="AF35"/>
    </row>
    <row r="36" spans="1:32" s="507" customFormat="1">
      <c r="A36" s="456">
        <v>33</v>
      </c>
      <c r="B36" s="457" t="s">
        <v>1567</v>
      </c>
      <c r="C36" s="497">
        <v>9901443908</v>
      </c>
      <c r="D36" s="459" t="s">
        <v>1568</v>
      </c>
      <c r="E36" s="460" t="s">
        <v>54</v>
      </c>
      <c r="F36" s="461">
        <v>31</v>
      </c>
      <c r="G36" s="498">
        <v>71.400000000000006</v>
      </c>
      <c r="H36" s="462">
        <f t="shared" si="0"/>
        <v>2213.4</v>
      </c>
      <c r="I36" s="462">
        <f t="shared" si="1"/>
        <v>8568</v>
      </c>
      <c r="J36" s="463">
        <v>4</v>
      </c>
      <c r="K36" s="534">
        <v>50</v>
      </c>
      <c r="L36" s="462">
        <f t="shared" si="2"/>
        <v>1760</v>
      </c>
      <c r="M36" s="462">
        <v>1510</v>
      </c>
      <c r="N36" s="462">
        <v>250</v>
      </c>
      <c r="O36" s="462">
        <f t="shared" si="3"/>
        <v>4023.4</v>
      </c>
      <c r="P36" s="488">
        <f t="shared" si="4"/>
        <v>1234</v>
      </c>
      <c r="Q36" s="489">
        <f t="shared" si="5"/>
        <v>1217.0958904109589</v>
      </c>
      <c r="R36" s="489">
        <f t="shared" si="6"/>
        <v>65.753424657534239</v>
      </c>
      <c r="S36" s="490">
        <f t="shared" si="7"/>
        <v>15808</v>
      </c>
      <c r="T36" s="490">
        <f t="shared" si="8"/>
        <v>18324.849315068492</v>
      </c>
      <c r="U36" s="491">
        <f t="shared" si="9"/>
        <v>182.26</v>
      </c>
      <c r="V36" s="498"/>
      <c r="W36" s="498">
        <v>10</v>
      </c>
      <c r="X36" s="498"/>
      <c r="Y36" s="498">
        <v>1850.35</v>
      </c>
      <c r="Z36" s="462">
        <f t="shared" si="10"/>
        <v>2042.61</v>
      </c>
      <c r="AA36" s="462">
        <f t="shared" si="11"/>
        <v>1980.7900000000002</v>
      </c>
      <c r="AB36" s="489">
        <v>1000</v>
      </c>
      <c r="AD36"/>
      <c r="AE36"/>
      <c r="AF36"/>
    </row>
    <row r="37" spans="1:32" s="507" customFormat="1">
      <c r="A37" s="456">
        <v>34</v>
      </c>
      <c r="B37" s="457" t="s">
        <v>1569</v>
      </c>
      <c r="C37" s="497">
        <v>9901442676</v>
      </c>
      <c r="D37" s="459" t="s">
        <v>1570</v>
      </c>
      <c r="E37" s="460" t="s">
        <v>32</v>
      </c>
      <c r="F37" s="461">
        <v>31</v>
      </c>
      <c r="G37" s="498">
        <v>71.400000000000006</v>
      </c>
      <c r="H37" s="462">
        <f t="shared" si="0"/>
        <v>2213.4</v>
      </c>
      <c r="I37" s="462">
        <f t="shared" si="1"/>
        <v>8568</v>
      </c>
      <c r="J37" s="463">
        <v>4</v>
      </c>
      <c r="K37" s="534"/>
      <c r="L37" s="462">
        <f t="shared" si="2"/>
        <v>1760</v>
      </c>
      <c r="M37" s="462">
        <v>1510</v>
      </c>
      <c r="N37" s="462">
        <v>250</v>
      </c>
      <c r="O37" s="462">
        <f t="shared" si="3"/>
        <v>3973.4</v>
      </c>
      <c r="P37" s="488">
        <f t="shared" si="4"/>
        <v>1217.3333333333333</v>
      </c>
      <c r="Q37" s="489">
        <f t="shared" si="5"/>
        <v>1200.6575342465753</v>
      </c>
      <c r="R37" s="489">
        <f t="shared" si="6"/>
        <v>65.753424657534239</v>
      </c>
      <c r="S37" s="490">
        <f t="shared" si="7"/>
        <v>15608</v>
      </c>
      <c r="T37" s="490">
        <f t="shared" si="8"/>
        <v>18091.744292237443</v>
      </c>
      <c r="U37" s="491">
        <f t="shared" si="9"/>
        <v>179.84</v>
      </c>
      <c r="V37" s="498">
        <f>(O37-N37)*11%</f>
        <v>409.57400000000001</v>
      </c>
      <c r="W37" s="498">
        <v>10</v>
      </c>
      <c r="X37" s="498"/>
      <c r="Y37" s="498"/>
      <c r="Z37" s="462">
        <f t="shared" si="10"/>
        <v>599.41399999999999</v>
      </c>
      <c r="AA37" s="462">
        <f t="shared" si="11"/>
        <v>3373.9859999999999</v>
      </c>
      <c r="AB37" s="489">
        <v>1000</v>
      </c>
      <c r="AD37"/>
      <c r="AE37"/>
      <c r="AF37"/>
    </row>
    <row r="38" spans="1:32" s="507" customFormat="1">
      <c r="A38" s="456">
        <v>35</v>
      </c>
      <c r="B38" s="466" t="s">
        <v>1571</v>
      </c>
      <c r="C38" s="564">
        <v>9901442402</v>
      </c>
      <c r="D38" s="459" t="s">
        <v>1572</v>
      </c>
      <c r="E38" s="460" t="s">
        <v>32</v>
      </c>
      <c r="F38" s="461">
        <v>31</v>
      </c>
      <c r="G38" s="498">
        <v>71.400000000000006</v>
      </c>
      <c r="H38" s="462">
        <f t="shared" si="0"/>
        <v>2213.4</v>
      </c>
      <c r="I38" s="462">
        <f t="shared" si="1"/>
        <v>8568</v>
      </c>
      <c r="J38" s="463">
        <v>4</v>
      </c>
      <c r="K38" s="534">
        <v>75</v>
      </c>
      <c r="L38" s="462">
        <f t="shared" si="2"/>
        <v>1760</v>
      </c>
      <c r="M38" s="462">
        <v>1510</v>
      </c>
      <c r="N38" s="462">
        <v>250</v>
      </c>
      <c r="O38" s="462">
        <f t="shared" si="3"/>
        <v>4048.4</v>
      </c>
      <c r="P38" s="488">
        <f t="shared" si="4"/>
        <v>1242.3333333333333</v>
      </c>
      <c r="Q38" s="489">
        <f t="shared" si="5"/>
        <v>1225.3150684931506</v>
      </c>
      <c r="R38" s="489">
        <f t="shared" si="6"/>
        <v>65.753424657534239</v>
      </c>
      <c r="S38" s="490">
        <f t="shared" si="7"/>
        <v>15908</v>
      </c>
      <c r="T38" s="490">
        <f t="shared" si="8"/>
        <v>18441.401826484016</v>
      </c>
      <c r="U38" s="491">
        <f t="shared" si="9"/>
        <v>183.46</v>
      </c>
      <c r="V38" s="498">
        <f>(O38-N38)*11%</f>
        <v>417.82400000000001</v>
      </c>
      <c r="W38" s="498">
        <v>10</v>
      </c>
      <c r="X38" s="498"/>
      <c r="Y38" s="498">
        <v>499.99</v>
      </c>
      <c r="Z38" s="462">
        <f t="shared" si="10"/>
        <v>1111.2740000000001</v>
      </c>
      <c r="AA38" s="462">
        <f t="shared" si="11"/>
        <v>2937.1260000000002</v>
      </c>
      <c r="AB38" s="489">
        <v>1000</v>
      </c>
      <c r="AD38"/>
      <c r="AE38"/>
      <c r="AF38"/>
    </row>
    <row r="39" spans="1:32" s="507" customFormat="1">
      <c r="A39" s="456">
        <v>36</v>
      </c>
      <c r="B39" s="466" t="s">
        <v>1573</v>
      </c>
      <c r="C39" s="497">
        <v>9901442276</v>
      </c>
      <c r="D39" s="459" t="s">
        <v>1574</v>
      </c>
      <c r="E39" s="460" t="s">
        <v>72</v>
      </c>
      <c r="F39" s="461">
        <v>31</v>
      </c>
      <c r="G39" s="498">
        <v>71.400000000000006</v>
      </c>
      <c r="H39" s="462">
        <f t="shared" si="0"/>
        <v>2213.4</v>
      </c>
      <c r="I39" s="462">
        <f t="shared" si="1"/>
        <v>8568</v>
      </c>
      <c r="J39" s="463">
        <v>4</v>
      </c>
      <c r="K39" s="534">
        <v>50</v>
      </c>
      <c r="L39" s="462">
        <f t="shared" si="2"/>
        <v>1760</v>
      </c>
      <c r="M39" s="462">
        <v>1510</v>
      </c>
      <c r="N39" s="462">
        <v>250</v>
      </c>
      <c r="O39" s="462">
        <f t="shared" si="3"/>
        <v>4023.4</v>
      </c>
      <c r="P39" s="488">
        <f t="shared" si="4"/>
        <v>1234</v>
      </c>
      <c r="Q39" s="489">
        <f t="shared" si="5"/>
        <v>1217.0958904109589</v>
      </c>
      <c r="R39" s="489">
        <f t="shared" si="6"/>
        <v>65.753424657534239</v>
      </c>
      <c r="S39" s="490">
        <f t="shared" si="7"/>
        <v>15808</v>
      </c>
      <c r="T39" s="490">
        <f t="shared" si="8"/>
        <v>18324.849315068492</v>
      </c>
      <c r="U39" s="491">
        <f t="shared" si="9"/>
        <v>182.26</v>
      </c>
      <c r="V39" s="498"/>
      <c r="W39" s="498">
        <v>10</v>
      </c>
      <c r="X39" s="498"/>
      <c r="Y39" s="498">
        <v>1963.05</v>
      </c>
      <c r="Z39" s="462">
        <f t="shared" si="10"/>
        <v>2155.31</v>
      </c>
      <c r="AA39" s="462">
        <f t="shared" si="11"/>
        <v>1868.0900000000001</v>
      </c>
      <c r="AB39" s="489">
        <v>1000</v>
      </c>
      <c r="AD39"/>
      <c r="AE39"/>
      <c r="AF39"/>
    </row>
    <row r="40" spans="1:32" s="507" customFormat="1">
      <c r="A40" s="456">
        <v>37</v>
      </c>
      <c r="B40" s="457" t="s">
        <v>1575</v>
      </c>
      <c r="C40" s="497">
        <v>9901442865</v>
      </c>
      <c r="D40" s="459" t="s">
        <v>1576</v>
      </c>
      <c r="E40" s="460" t="s">
        <v>35</v>
      </c>
      <c r="F40" s="461">
        <v>31</v>
      </c>
      <c r="G40" s="498">
        <v>71.400000000000006</v>
      </c>
      <c r="H40" s="462">
        <f t="shared" si="0"/>
        <v>2213.4</v>
      </c>
      <c r="I40" s="462">
        <f t="shared" si="1"/>
        <v>8568</v>
      </c>
      <c r="J40" s="463">
        <v>4</v>
      </c>
      <c r="K40" s="597"/>
      <c r="L40" s="462">
        <f t="shared" si="2"/>
        <v>1760</v>
      </c>
      <c r="M40" s="462">
        <v>1510</v>
      </c>
      <c r="N40" s="462">
        <v>250</v>
      </c>
      <c r="O40" s="462">
        <f t="shared" si="3"/>
        <v>3973.4</v>
      </c>
      <c r="P40" s="488">
        <f t="shared" si="4"/>
        <v>1217.3333333333333</v>
      </c>
      <c r="Q40" s="489">
        <f t="shared" si="5"/>
        <v>1200.6575342465753</v>
      </c>
      <c r="R40" s="489">
        <f t="shared" si="6"/>
        <v>65.753424657534239</v>
      </c>
      <c r="S40" s="490">
        <f t="shared" si="7"/>
        <v>15608</v>
      </c>
      <c r="T40" s="490">
        <f t="shared" si="8"/>
        <v>18091.744292237443</v>
      </c>
      <c r="U40" s="491">
        <f t="shared" si="9"/>
        <v>179.84</v>
      </c>
      <c r="V40" s="498"/>
      <c r="W40" s="498"/>
      <c r="X40" s="498"/>
      <c r="Y40" s="498">
        <v>1237.06</v>
      </c>
      <c r="Z40" s="462">
        <f t="shared" si="10"/>
        <v>1416.8999999999999</v>
      </c>
      <c r="AA40" s="462">
        <f t="shared" si="11"/>
        <v>2556.5</v>
      </c>
      <c r="AB40" s="489">
        <v>1000</v>
      </c>
      <c r="AD40"/>
      <c r="AE40"/>
      <c r="AF40"/>
    </row>
    <row r="41" spans="1:32" s="507" customFormat="1">
      <c r="A41" s="456">
        <v>38</v>
      </c>
      <c r="B41" s="457" t="s">
        <v>1577</v>
      </c>
      <c r="C41" s="497">
        <v>9901469491</v>
      </c>
      <c r="D41" s="459" t="s">
        <v>1578</v>
      </c>
      <c r="E41" s="460" t="s">
        <v>32</v>
      </c>
      <c r="F41" s="461">
        <v>31</v>
      </c>
      <c r="G41" s="498">
        <v>71.400000000000006</v>
      </c>
      <c r="H41" s="462">
        <f t="shared" si="0"/>
        <v>2213.4</v>
      </c>
      <c r="I41" s="462">
        <f t="shared" si="1"/>
        <v>8568</v>
      </c>
      <c r="J41" s="463">
        <v>4</v>
      </c>
      <c r="K41" s="534"/>
      <c r="L41" s="462">
        <f t="shared" si="2"/>
        <v>1760</v>
      </c>
      <c r="M41" s="462">
        <v>1510</v>
      </c>
      <c r="N41" s="462">
        <v>250</v>
      </c>
      <c r="O41" s="462">
        <f t="shared" si="3"/>
        <v>3973.4</v>
      </c>
      <c r="P41" s="488">
        <f t="shared" si="4"/>
        <v>1217.3333333333333</v>
      </c>
      <c r="Q41" s="489">
        <f t="shared" si="5"/>
        <v>1200.6575342465753</v>
      </c>
      <c r="R41" s="489">
        <f t="shared" si="6"/>
        <v>65.753424657534239</v>
      </c>
      <c r="S41" s="490">
        <f t="shared" si="7"/>
        <v>15608</v>
      </c>
      <c r="T41" s="490">
        <f t="shared" si="8"/>
        <v>18091.744292237443</v>
      </c>
      <c r="U41" s="491">
        <f t="shared" si="9"/>
        <v>179.84</v>
      </c>
      <c r="V41" s="498"/>
      <c r="W41" s="498"/>
      <c r="X41" s="498"/>
      <c r="Y41" s="498">
        <v>1067.73</v>
      </c>
      <c r="Z41" s="462">
        <f t="shared" si="10"/>
        <v>1247.57</v>
      </c>
      <c r="AA41" s="462">
        <f t="shared" si="11"/>
        <v>2725.83</v>
      </c>
      <c r="AB41" s="489">
        <v>1000</v>
      </c>
      <c r="AD41"/>
      <c r="AE41"/>
      <c r="AF41"/>
    </row>
    <row r="42" spans="1:32" s="507" customFormat="1">
      <c r="A42" s="456">
        <v>39</v>
      </c>
      <c r="B42" s="466" t="s">
        <v>1579</v>
      </c>
      <c r="C42" s="497">
        <v>9901443714</v>
      </c>
      <c r="D42" s="459" t="s">
        <v>1580</v>
      </c>
      <c r="E42" s="460" t="s">
        <v>54</v>
      </c>
      <c r="F42" s="461">
        <v>31</v>
      </c>
      <c r="G42" s="498">
        <v>71.400000000000006</v>
      </c>
      <c r="H42" s="462">
        <f t="shared" si="0"/>
        <v>2213.4</v>
      </c>
      <c r="I42" s="462">
        <f t="shared" si="1"/>
        <v>8568</v>
      </c>
      <c r="J42" s="463">
        <v>4</v>
      </c>
      <c r="K42" s="534">
        <v>50</v>
      </c>
      <c r="L42" s="462">
        <f t="shared" si="2"/>
        <v>1760</v>
      </c>
      <c r="M42" s="462">
        <v>1510</v>
      </c>
      <c r="N42" s="462">
        <v>250</v>
      </c>
      <c r="O42" s="462">
        <f t="shared" si="3"/>
        <v>4023.4</v>
      </c>
      <c r="P42" s="488">
        <f t="shared" si="4"/>
        <v>1234</v>
      </c>
      <c r="Q42" s="489">
        <f t="shared" si="5"/>
        <v>1217.0958904109589</v>
      </c>
      <c r="R42" s="489">
        <f t="shared" si="6"/>
        <v>65.753424657534239</v>
      </c>
      <c r="S42" s="490">
        <f t="shared" si="7"/>
        <v>15808</v>
      </c>
      <c r="T42" s="490">
        <f t="shared" si="8"/>
        <v>18324.849315068492</v>
      </c>
      <c r="U42" s="491">
        <f t="shared" si="9"/>
        <v>182.26</v>
      </c>
      <c r="V42" s="498"/>
      <c r="W42" s="462">
        <v>10</v>
      </c>
      <c r="X42" s="498"/>
      <c r="Y42" s="498">
        <v>1442.42</v>
      </c>
      <c r="Z42" s="462">
        <f t="shared" si="10"/>
        <v>1634.68</v>
      </c>
      <c r="AA42" s="462">
        <f t="shared" si="11"/>
        <v>2388.7200000000003</v>
      </c>
      <c r="AB42" s="489">
        <v>1000</v>
      </c>
      <c r="AD42"/>
      <c r="AE42"/>
      <c r="AF42"/>
    </row>
    <row r="43" spans="1:32" s="507" customFormat="1">
      <c r="A43" s="456">
        <v>40</v>
      </c>
      <c r="B43" s="457" t="s">
        <v>1581</v>
      </c>
      <c r="C43" s="497">
        <v>9901443220</v>
      </c>
      <c r="D43" s="459" t="s">
        <v>1582</v>
      </c>
      <c r="E43" s="460" t="s">
        <v>35</v>
      </c>
      <c r="F43" s="461">
        <v>31</v>
      </c>
      <c r="G43" s="498">
        <v>71.400000000000006</v>
      </c>
      <c r="H43" s="462">
        <f t="shared" si="0"/>
        <v>2213.4</v>
      </c>
      <c r="I43" s="462">
        <f t="shared" si="1"/>
        <v>8568</v>
      </c>
      <c r="J43" s="463">
        <v>4</v>
      </c>
      <c r="K43" s="534"/>
      <c r="L43" s="462">
        <f t="shared" si="2"/>
        <v>1760</v>
      </c>
      <c r="M43" s="462">
        <v>1510</v>
      </c>
      <c r="N43" s="462">
        <v>250</v>
      </c>
      <c r="O43" s="462">
        <f t="shared" si="3"/>
        <v>3973.4</v>
      </c>
      <c r="P43" s="488">
        <f t="shared" si="4"/>
        <v>1217.3333333333333</v>
      </c>
      <c r="Q43" s="489">
        <f t="shared" si="5"/>
        <v>1200.6575342465753</v>
      </c>
      <c r="R43" s="489">
        <f t="shared" si="6"/>
        <v>65.753424657534239</v>
      </c>
      <c r="S43" s="490">
        <f t="shared" si="7"/>
        <v>15608</v>
      </c>
      <c r="T43" s="490">
        <f t="shared" si="8"/>
        <v>18091.744292237443</v>
      </c>
      <c r="U43" s="491">
        <f t="shared" si="9"/>
        <v>179.84</v>
      </c>
      <c r="V43" s="498">
        <f>(O43-N43)*11%</f>
        <v>409.57400000000001</v>
      </c>
      <c r="W43" s="498"/>
      <c r="X43" s="498"/>
      <c r="Y43" s="498"/>
      <c r="Z43" s="462">
        <f t="shared" si="10"/>
        <v>589.41399999999999</v>
      </c>
      <c r="AA43" s="462">
        <f t="shared" si="11"/>
        <v>3383.9859999999999</v>
      </c>
      <c r="AB43" s="489">
        <v>1000</v>
      </c>
      <c r="AD43"/>
      <c r="AE43"/>
      <c r="AF43"/>
    </row>
    <row r="44" spans="1:32" s="507" customFormat="1">
      <c r="A44" s="456">
        <v>41</v>
      </c>
      <c r="B44" s="457" t="s">
        <v>1583</v>
      </c>
      <c r="C44" s="497">
        <v>9901442881</v>
      </c>
      <c r="D44" s="459" t="s">
        <v>1584</v>
      </c>
      <c r="E44" s="460" t="s">
        <v>32</v>
      </c>
      <c r="F44" s="461">
        <v>31</v>
      </c>
      <c r="G44" s="498">
        <v>71.400000000000006</v>
      </c>
      <c r="H44" s="462">
        <f t="shared" si="0"/>
        <v>2213.4</v>
      </c>
      <c r="I44" s="462">
        <f t="shared" si="1"/>
        <v>8568</v>
      </c>
      <c r="J44" s="463">
        <v>4</v>
      </c>
      <c r="K44" s="534">
        <v>75</v>
      </c>
      <c r="L44" s="462">
        <f t="shared" si="2"/>
        <v>1760</v>
      </c>
      <c r="M44" s="462">
        <v>1510</v>
      </c>
      <c r="N44" s="462">
        <v>250</v>
      </c>
      <c r="O44" s="462">
        <f t="shared" si="3"/>
        <v>4048.4</v>
      </c>
      <c r="P44" s="488">
        <f t="shared" si="4"/>
        <v>1242.3333333333333</v>
      </c>
      <c r="Q44" s="489">
        <f t="shared" si="5"/>
        <v>1225.3150684931506</v>
      </c>
      <c r="R44" s="489">
        <f t="shared" si="6"/>
        <v>65.753424657534239</v>
      </c>
      <c r="S44" s="490">
        <f t="shared" si="7"/>
        <v>15908</v>
      </c>
      <c r="T44" s="490">
        <f t="shared" si="8"/>
        <v>18441.401826484016</v>
      </c>
      <c r="U44" s="491">
        <f t="shared" si="9"/>
        <v>183.46</v>
      </c>
      <c r="V44" s="498">
        <f>(O44-N44)*11%</f>
        <v>417.82400000000001</v>
      </c>
      <c r="W44" s="498"/>
      <c r="X44" s="498"/>
      <c r="Y44" s="498"/>
      <c r="Z44" s="462">
        <f t="shared" si="10"/>
        <v>601.28399999999999</v>
      </c>
      <c r="AA44" s="462">
        <f t="shared" si="11"/>
        <v>3447.116</v>
      </c>
      <c r="AB44" s="489">
        <v>1000</v>
      </c>
      <c r="AD44"/>
      <c r="AE44"/>
      <c r="AF44"/>
    </row>
    <row r="45" spans="1:32" s="507" customFormat="1">
      <c r="A45" s="456">
        <v>42</v>
      </c>
      <c r="B45" s="457" t="s">
        <v>1585</v>
      </c>
      <c r="C45" s="497">
        <v>9901442617</v>
      </c>
      <c r="D45" s="459" t="s">
        <v>1586</v>
      </c>
      <c r="E45" s="460" t="s">
        <v>36</v>
      </c>
      <c r="F45" s="461">
        <v>31</v>
      </c>
      <c r="G45" s="498">
        <v>72.540000000000006</v>
      </c>
      <c r="H45" s="462">
        <f t="shared" si="0"/>
        <v>2248.7400000000002</v>
      </c>
      <c r="I45" s="462">
        <f t="shared" si="1"/>
        <v>8704.8000000000011</v>
      </c>
      <c r="J45" s="463">
        <v>4</v>
      </c>
      <c r="K45" s="534">
        <v>50</v>
      </c>
      <c r="L45" s="462">
        <f t="shared" si="2"/>
        <v>1760</v>
      </c>
      <c r="M45" s="462">
        <v>1510</v>
      </c>
      <c r="N45" s="462">
        <v>250</v>
      </c>
      <c r="O45" s="462">
        <f t="shared" si="3"/>
        <v>4058.7400000000002</v>
      </c>
      <c r="P45" s="488">
        <f t="shared" si="4"/>
        <v>1245.4000000000001</v>
      </c>
      <c r="Q45" s="489">
        <f t="shared" si="5"/>
        <v>1228.3397260273973</v>
      </c>
      <c r="R45" s="489">
        <f t="shared" si="6"/>
        <v>65.753424657534239</v>
      </c>
      <c r="S45" s="490">
        <f t="shared" si="7"/>
        <v>15944.800000000001</v>
      </c>
      <c r="T45" s="490">
        <f t="shared" si="8"/>
        <v>18484.293150684935</v>
      </c>
      <c r="U45" s="491">
        <f t="shared" si="9"/>
        <v>183.96</v>
      </c>
      <c r="V45" s="498"/>
      <c r="W45" s="498">
        <v>10</v>
      </c>
      <c r="X45" s="498"/>
      <c r="Y45" s="498">
        <v>1803.34</v>
      </c>
      <c r="Z45" s="462">
        <f t="shared" si="10"/>
        <v>1997.3</v>
      </c>
      <c r="AA45" s="462">
        <f t="shared" si="11"/>
        <v>2061.4400000000005</v>
      </c>
      <c r="AB45" s="489">
        <v>1000</v>
      </c>
      <c r="AD45"/>
      <c r="AE45"/>
      <c r="AF45"/>
    </row>
    <row r="46" spans="1:32" s="507" customFormat="1">
      <c r="A46" s="456">
        <v>43</v>
      </c>
      <c r="B46" s="457" t="s">
        <v>1587</v>
      </c>
      <c r="C46" s="497">
        <v>9901442984</v>
      </c>
      <c r="D46" s="459" t="s">
        <v>1588</v>
      </c>
      <c r="E46" s="460" t="s">
        <v>35</v>
      </c>
      <c r="F46" s="461">
        <v>31</v>
      </c>
      <c r="G46" s="498">
        <v>71.400000000000006</v>
      </c>
      <c r="H46" s="462">
        <f t="shared" si="0"/>
        <v>2213.4</v>
      </c>
      <c r="I46" s="462">
        <f t="shared" si="1"/>
        <v>8568</v>
      </c>
      <c r="J46" s="463">
        <v>4</v>
      </c>
      <c r="K46" s="533">
        <v>35</v>
      </c>
      <c r="L46" s="462">
        <f t="shared" si="2"/>
        <v>1760</v>
      </c>
      <c r="M46" s="462">
        <v>1510</v>
      </c>
      <c r="N46" s="462">
        <v>250</v>
      </c>
      <c r="O46" s="462">
        <f t="shared" si="3"/>
        <v>4008.4</v>
      </c>
      <c r="P46" s="488">
        <f t="shared" si="4"/>
        <v>1229</v>
      </c>
      <c r="Q46" s="489">
        <f t="shared" si="5"/>
        <v>1212.1643835616437</v>
      </c>
      <c r="R46" s="489">
        <f t="shared" si="6"/>
        <v>65.753424657534239</v>
      </c>
      <c r="S46" s="490">
        <f t="shared" si="7"/>
        <v>15748</v>
      </c>
      <c r="T46" s="490">
        <f t="shared" si="8"/>
        <v>18254.917808219179</v>
      </c>
      <c r="U46" s="491">
        <f t="shared" si="9"/>
        <v>181.53</v>
      </c>
      <c r="V46" s="498">
        <f>(O46-N46)*11%</f>
        <v>413.42400000000004</v>
      </c>
      <c r="W46" s="498">
        <v>0</v>
      </c>
      <c r="X46" s="498"/>
      <c r="Y46" s="498"/>
      <c r="Z46" s="462">
        <f t="shared" si="10"/>
        <v>594.95400000000006</v>
      </c>
      <c r="AA46" s="462">
        <f t="shared" si="11"/>
        <v>3413.4459999999999</v>
      </c>
      <c r="AB46" s="489">
        <v>1000</v>
      </c>
      <c r="AD46"/>
      <c r="AE46"/>
      <c r="AF46"/>
    </row>
    <row r="47" spans="1:32" s="507" customFormat="1">
      <c r="A47" s="456">
        <v>44</v>
      </c>
      <c r="B47" s="457" t="s">
        <v>1589</v>
      </c>
      <c r="C47" s="497">
        <v>9901442217</v>
      </c>
      <c r="D47" s="459" t="s">
        <v>1590</v>
      </c>
      <c r="E47" s="460" t="s">
        <v>54</v>
      </c>
      <c r="F47" s="461">
        <v>31</v>
      </c>
      <c r="G47" s="498">
        <v>71.400000000000006</v>
      </c>
      <c r="H47" s="462">
        <f t="shared" si="0"/>
        <v>2213.4</v>
      </c>
      <c r="I47" s="462">
        <f t="shared" si="1"/>
        <v>8568</v>
      </c>
      <c r="J47" s="463">
        <v>4</v>
      </c>
      <c r="K47" s="534">
        <v>50</v>
      </c>
      <c r="L47" s="462">
        <f t="shared" si="2"/>
        <v>1760</v>
      </c>
      <c r="M47" s="462">
        <v>1510</v>
      </c>
      <c r="N47" s="462">
        <v>250</v>
      </c>
      <c r="O47" s="462">
        <f t="shared" si="3"/>
        <v>4023.4</v>
      </c>
      <c r="P47" s="488">
        <f t="shared" si="4"/>
        <v>1234</v>
      </c>
      <c r="Q47" s="489">
        <f t="shared" si="5"/>
        <v>1217.0958904109589</v>
      </c>
      <c r="R47" s="489">
        <f t="shared" si="6"/>
        <v>65.753424657534239</v>
      </c>
      <c r="S47" s="490">
        <f t="shared" si="7"/>
        <v>15808</v>
      </c>
      <c r="T47" s="490">
        <f t="shared" si="8"/>
        <v>18324.849315068492</v>
      </c>
      <c r="U47" s="491">
        <f t="shared" si="9"/>
        <v>182.26</v>
      </c>
      <c r="V47" s="498"/>
      <c r="W47" s="498"/>
      <c r="X47" s="498"/>
      <c r="Y47" s="498">
        <v>785.78</v>
      </c>
      <c r="Z47" s="462">
        <f t="shared" si="10"/>
        <v>968.04</v>
      </c>
      <c r="AA47" s="462">
        <f t="shared" si="11"/>
        <v>3055.36</v>
      </c>
      <c r="AB47" s="489">
        <v>1000</v>
      </c>
      <c r="AD47"/>
      <c r="AE47"/>
      <c r="AF47"/>
    </row>
    <row r="48" spans="1:32" s="507" customFormat="1" ht="12">
      <c r="A48" s="456">
        <v>45</v>
      </c>
      <c r="B48" s="466" t="s">
        <v>1591</v>
      </c>
      <c r="C48" s="497">
        <v>9901442830</v>
      </c>
      <c r="D48" s="459" t="s">
        <v>1592</v>
      </c>
      <c r="E48" s="460" t="s">
        <v>83</v>
      </c>
      <c r="F48" s="461">
        <v>31</v>
      </c>
      <c r="G48" s="498">
        <v>71.400000000000006</v>
      </c>
      <c r="H48" s="462">
        <f t="shared" si="0"/>
        <v>2213.4</v>
      </c>
      <c r="I48" s="462">
        <f t="shared" si="1"/>
        <v>8568</v>
      </c>
      <c r="J48" s="463">
        <v>4</v>
      </c>
      <c r="K48" s="534">
        <v>50</v>
      </c>
      <c r="L48" s="462">
        <f t="shared" si="2"/>
        <v>1760</v>
      </c>
      <c r="M48" s="462">
        <v>1510</v>
      </c>
      <c r="N48" s="462">
        <v>250</v>
      </c>
      <c r="O48" s="462">
        <f t="shared" si="3"/>
        <v>4023.4</v>
      </c>
      <c r="P48" s="488">
        <f t="shared" si="4"/>
        <v>1234</v>
      </c>
      <c r="Q48" s="489">
        <f t="shared" si="5"/>
        <v>1217.0958904109589</v>
      </c>
      <c r="R48" s="489">
        <f t="shared" si="6"/>
        <v>65.753424657534239</v>
      </c>
      <c r="S48" s="490">
        <f t="shared" si="7"/>
        <v>15808</v>
      </c>
      <c r="T48" s="490">
        <f t="shared" si="8"/>
        <v>18324.849315068492</v>
      </c>
      <c r="U48" s="491">
        <f t="shared" si="9"/>
        <v>182.26</v>
      </c>
      <c r="V48" s="498"/>
      <c r="W48" s="498">
        <v>10</v>
      </c>
      <c r="X48" s="498"/>
      <c r="Y48" s="498">
        <v>1820.64</v>
      </c>
      <c r="Z48" s="462">
        <f t="shared" si="10"/>
        <v>2012.9</v>
      </c>
      <c r="AA48" s="462">
        <f t="shared" si="11"/>
        <v>2010.5</v>
      </c>
      <c r="AB48" s="489">
        <v>1000</v>
      </c>
    </row>
    <row r="49" spans="1:28" s="507" customFormat="1" ht="12">
      <c r="A49" s="456">
        <v>46</v>
      </c>
      <c r="B49" s="457" t="s">
        <v>1593</v>
      </c>
      <c r="C49" s="497">
        <v>9901443755</v>
      </c>
      <c r="D49" s="459" t="s">
        <v>1594</v>
      </c>
      <c r="E49" s="460" t="s">
        <v>32</v>
      </c>
      <c r="F49" s="461">
        <v>31</v>
      </c>
      <c r="G49" s="498">
        <v>71.400000000000006</v>
      </c>
      <c r="H49" s="462">
        <f t="shared" si="0"/>
        <v>2213.4</v>
      </c>
      <c r="I49" s="462">
        <f t="shared" si="1"/>
        <v>8568</v>
      </c>
      <c r="J49" s="463">
        <v>4</v>
      </c>
      <c r="K49" s="534">
        <v>50</v>
      </c>
      <c r="L49" s="462">
        <f t="shared" si="2"/>
        <v>1760</v>
      </c>
      <c r="M49" s="462">
        <v>1510</v>
      </c>
      <c r="N49" s="462">
        <v>250</v>
      </c>
      <c r="O49" s="462">
        <f t="shared" si="3"/>
        <v>4023.4</v>
      </c>
      <c r="P49" s="488">
        <f t="shared" si="4"/>
        <v>1234</v>
      </c>
      <c r="Q49" s="489">
        <f t="shared" si="5"/>
        <v>1217.0958904109589</v>
      </c>
      <c r="R49" s="489">
        <f t="shared" si="6"/>
        <v>65.753424657534239</v>
      </c>
      <c r="S49" s="490">
        <f t="shared" si="7"/>
        <v>15808</v>
      </c>
      <c r="T49" s="490">
        <f t="shared" si="8"/>
        <v>18324.849315068492</v>
      </c>
      <c r="U49" s="491">
        <f t="shared" si="9"/>
        <v>182.26</v>
      </c>
      <c r="V49" s="498"/>
      <c r="W49" s="498"/>
      <c r="X49" s="498"/>
      <c r="Y49" s="498">
        <v>1357</v>
      </c>
      <c r="Z49" s="462">
        <f t="shared" si="10"/>
        <v>1539.26</v>
      </c>
      <c r="AA49" s="462">
        <f t="shared" si="11"/>
        <v>2484.1400000000003</v>
      </c>
      <c r="AB49" s="489">
        <v>1000</v>
      </c>
    </row>
    <row r="50" spans="1:28" s="507" customFormat="1" ht="12">
      <c r="A50" s="456">
        <v>47</v>
      </c>
      <c r="B50" s="466" t="s">
        <v>1595</v>
      </c>
      <c r="C50" s="497">
        <v>9901443085</v>
      </c>
      <c r="D50" s="459" t="s">
        <v>1596</v>
      </c>
      <c r="E50" s="460" t="s">
        <v>32</v>
      </c>
      <c r="F50" s="461">
        <v>31</v>
      </c>
      <c r="G50" s="498">
        <v>71.400000000000006</v>
      </c>
      <c r="H50" s="462">
        <f t="shared" si="0"/>
        <v>2213.4</v>
      </c>
      <c r="I50" s="462">
        <f t="shared" si="1"/>
        <v>8568</v>
      </c>
      <c r="J50" s="463">
        <v>4</v>
      </c>
      <c r="K50" s="534">
        <v>75</v>
      </c>
      <c r="L50" s="462">
        <f t="shared" si="2"/>
        <v>1760</v>
      </c>
      <c r="M50" s="462">
        <v>1510</v>
      </c>
      <c r="N50" s="462">
        <v>250</v>
      </c>
      <c r="O50" s="462">
        <f t="shared" si="3"/>
        <v>4048.4</v>
      </c>
      <c r="P50" s="488">
        <f t="shared" si="4"/>
        <v>1242.3333333333333</v>
      </c>
      <c r="Q50" s="489">
        <f t="shared" si="5"/>
        <v>1225.3150684931506</v>
      </c>
      <c r="R50" s="489">
        <f t="shared" si="6"/>
        <v>65.753424657534239</v>
      </c>
      <c r="S50" s="490">
        <f t="shared" si="7"/>
        <v>15908</v>
      </c>
      <c r="T50" s="490">
        <f t="shared" si="8"/>
        <v>18441.401826484016</v>
      </c>
      <c r="U50" s="491">
        <f t="shared" si="9"/>
        <v>183.46</v>
      </c>
      <c r="V50" s="498">
        <f>(O50-N50)*11%</f>
        <v>417.82400000000001</v>
      </c>
      <c r="W50" s="498">
        <v>10</v>
      </c>
      <c r="X50" s="498"/>
      <c r="Y50" s="498"/>
      <c r="Z50" s="462">
        <f t="shared" si="10"/>
        <v>611.28399999999999</v>
      </c>
      <c r="AA50" s="462">
        <f t="shared" si="11"/>
        <v>3437.116</v>
      </c>
      <c r="AB50" s="489">
        <v>1000</v>
      </c>
    </row>
    <row r="51" spans="1:28" s="507" customFormat="1" ht="12">
      <c r="A51" s="456">
        <v>48</v>
      </c>
      <c r="B51" s="457" t="s">
        <v>1597</v>
      </c>
      <c r="C51" s="497">
        <v>9901443065</v>
      </c>
      <c r="D51" s="459" t="s">
        <v>1598</v>
      </c>
      <c r="E51" s="460" t="s">
        <v>72</v>
      </c>
      <c r="F51" s="461">
        <v>31</v>
      </c>
      <c r="G51" s="498">
        <v>71.400000000000006</v>
      </c>
      <c r="H51" s="462">
        <f t="shared" si="0"/>
        <v>2213.4</v>
      </c>
      <c r="I51" s="462">
        <f t="shared" si="1"/>
        <v>8568</v>
      </c>
      <c r="J51" s="463">
        <v>4</v>
      </c>
      <c r="K51" s="534">
        <v>50</v>
      </c>
      <c r="L51" s="462">
        <f t="shared" si="2"/>
        <v>1760</v>
      </c>
      <c r="M51" s="462">
        <v>1510</v>
      </c>
      <c r="N51" s="462">
        <v>250</v>
      </c>
      <c r="O51" s="462">
        <f t="shared" si="3"/>
        <v>4023.4</v>
      </c>
      <c r="P51" s="488">
        <f t="shared" si="4"/>
        <v>1234</v>
      </c>
      <c r="Q51" s="489">
        <f t="shared" si="5"/>
        <v>1217.0958904109589</v>
      </c>
      <c r="R51" s="489">
        <f t="shared" si="6"/>
        <v>65.753424657534239</v>
      </c>
      <c r="S51" s="490">
        <f t="shared" si="7"/>
        <v>15808</v>
      </c>
      <c r="T51" s="490">
        <f t="shared" si="8"/>
        <v>18324.849315068492</v>
      </c>
      <c r="U51" s="491">
        <f t="shared" si="9"/>
        <v>182.26</v>
      </c>
      <c r="V51" s="498"/>
      <c r="W51" s="498">
        <v>10</v>
      </c>
      <c r="X51" s="498"/>
      <c r="Y51" s="498">
        <v>1235.52</v>
      </c>
      <c r="Z51" s="462">
        <f t="shared" si="10"/>
        <v>1427.78</v>
      </c>
      <c r="AA51" s="462">
        <f t="shared" si="11"/>
        <v>2595.62</v>
      </c>
      <c r="AB51" s="489">
        <v>1000</v>
      </c>
    </row>
    <row r="52" spans="1:28" s="507" customFormat="1" ht="12">
      <c r="A52" s="456">
        <v>49</v>
      </c>
      <c r="B52" s="457" t="s">
        <v>1599</v>
      </c>
      <c r="C52" s="497">
        <v>9901442615</v>
      </c>
      <c r="D52" s="459" t="s">
        <v>1600</v>
      </c>
      <c r="E52" s="460" t="s">
        <v>32</v>
      </c>
      <c r="F52" s="461">
        <v>31</v>
      </c>
      <c r="G52" s="498">
        <v>71.400000000000006</v>
      </c>
      <c r="H52" s="462">
        <f t="shared" si="0"/>
        <v>2213.4</v>
      </c>
      <c r="I52" s="462">
        <f t="shared" si="1"/>
        <v>8568</v>
      </c>
      <c r="J52" s="463">
        <v>4</v>
      </c>
      <c r="K52" s="534">
        <v>50</v>
      </c>
      <c r="L52" s="462">
        <f t="shared" si="2"/>
        <v>1760</v>
      </c>
      <c r="M52" s="462">
        <v>1510</v>
      </c>
      <c r="N52" s="462">
        <v>250</v>
      </c>
      <c r="O52" s="462">
        <f t="shared" si="3"/>
        <v>4023.4</v>
      </c>
      <c r="P52" s="488">
        <f t="shared" si="4"/>
        <v>1234</v>
      </c>
      <c r="Q52" s="489">
        <f t="shared" si="5"/>
        <v>1217.0958904109589</v>
      </c>
      <c r="R52" s="489">
        <f t="shared" si="6"/>
        <v>65.753424657534239</v>
      </c>
      <c r="S52" s="490">
        <f t="shared" si="7"/>
        <v>15808</v>
      </c>
      <c r="T52" s="490">
        <f t="shared" si="8"/>
        <v>18324.849315068492</v>
      </c>
      <c r="U52" s="491">
        <f t="shared" si="9"/>
        <v>182.26</v>
      </c>
      <c r="V52" s="498">
        <f>(O52-N52)*11%</f>
        <v>415.07400000000001</v>
      </c>
      <c r="W52" s="498">
        <v>10</v>
      </c>
      <c r="X52" s="498"/>
      <c r="Y52" s="498"/>
      <c r="Z52" s="462">
        <f t="shared" si="10"/>
        <v>607.33400000000006</v>
      </c>
      <c r="AA52" s="462">
        <f t="shared" si="11"/>
        <v>3416.0659999999998</v>
      </c>
      <c r="AB52" s="489">
        <v>1000</v>
      </c>
    </row>
    <row r="53" spans="1:28" s="507" customFormat="1" ht="12">
      <c r="A53" s="456">
        <v>50</v>
      </c>
      <c r="B53" s="457" t="s">
        <v>1601</v>
      </c>
      <c r="C53" s="497">
        <v>9901451151</v>
      </c>
      <c r="D53" s="459" t="s">
        <v>1602</v>
      </c>
      <c r="E53" s="460" t="s">
        <v>32</v>
      </c>
      <c r="F53" s="461">
        <v>31</v>
      </c>
      <c r="G53" s="498">
        <v>71.400000000000006</v>
      </c>
      <c r="H53" s="462">
        <f t="shared" si="0"/>
        <v>2213.4</v>
      </c>
      <c r="I53" s="462">
        <f t="shared" si="1"/>
        <v>8568</v>
      </c>
      <c r="J53" s="463">
        <v>4</v>
      </c>
      <c r="K53" s="534"/>
      <c r="L53" s="462">
        <f t="shared" si="2"/>
        <v>1760</v>
      </c>
      <c r="M53" s="462">
        <v>1510</v>
      </c>
      <c r="N53" s="462">
        <v>250</v>
      </c>
      <c r="O53" s="462">
        <f t="shared" si="3"/>
        <v>3973.4</v>
      </c>
      <c r="P53" s="488">
        <f t="shared" si="4"/>
        <v>1217.3333333333333</v>
      </c>
      <c r="Q53" s="489">
        <f t="shared" si="5"/>
        <v>1200.6575342465753</v>
      </c>
      <c r="R53" s="489">
        <f t="shared" si="6"/>
        <v>65.753424657534239</v>
      </c>
      <c r="S53" s="490">
        <f t="shared" si="7"/>
        <v>15608</v>
      </c>
      <c r="T53" s="490">
        <f t="shared" si="8"/>
        <v>18091.744292237443</v>
      </c>
      <c r="U53" s="491">
        <f t="shared" si="9"/>
        <v>179.84</v>
      </c>
      <c r="V53" s="498"/>
      <c r="W53" s="498">
        <v>10</v>
      </c>
      <c r="X53" s="498"/>
      <c r="Y53" s="498">
        <v>2788.28</v>
      </c>
      <c r="Z53" s="462">
        <f t="shared" si="10"/>
        <v>2978.1200000000003</v>
      </c>
      <c r="AA53" s="462">
        <f t="shared" si="11"/>
        <v>995.27999999999975</v>
      </c>
      <c r="AB53" s="489">
        <v>1000</v>
      </c>
    </row>
    <row r="54" spans="1:28" s="507" customFormat="1" ht="12">
      <c r="A54" s="456">
        <v>51</v>
      </c>
      <c r="B54" s="466" t="s">
        <v>1603</v>
      </c>
      <c r="C54" s="497">
        <v>9901442396</v>
      </c>
      <c r="D54" s="459" t="s">
        <v>1604</v>
      </c>
      <c r="E54" s="460" t="s">
        <v>32</v>
      </c>
      <c r="F54" s="461">
        <v>31</v>
      </c>
      <c r="G54" s="498">
        <v>71.400000000000006</v>
      </c>
      <c r="H54" s="462">
        <f t="shared" si="0"/>
        <v>2213.4</v>
      </c>
      <c r="I54" s="462">
        <f t="shared" si="1"/>
        <v>8568</v>
      </c>
      <c r="J54" s="463">
        <v>4</v>
      </c>
      <c r="K54" s="534">
        <v>75</v>
      </c>
      <c r="L54" s="462">
        <f t="shared" si="2"/>
        <v>1760</v>
      </c>
      <c r="M54" s="462">
        <v>1510</v>
      </c>
      <c r="N54" s="462">
        <v>250</v>
      </c>
      <c r="O54" s="462">
        <f t="shared" si="3"/>
        <v>4048.4</v>
      </c>
      <c r="P54" s="488">
        <f t="shared" si="4"/>
        <v>1242.3333333333333</v>
      </c>
      <c r="Q54" s="489">
        <f t="shared" si="5"/>
        <v>1225.3150684931506</v>
      </c>
      <c r="R54" s="489">
        <f t="shared" si="6"/>
        <v>65.753424657534239</v>
      </c>
      <c r="S54" s="490">
        <f t="shared" si="7"/>
        <v>15908</v>
      </c>
      <c r="T54" s="490">
        <f t="shared" si="8"/>
        <v>18441.401826484016</v>
      </c>
      <c r="U54" s="491">
        <f t="shared" si="9"/>
        <v>183.46</v>
      </c>
      <c r="V54" s="498"/>
      <c r="W54" s="498">
        <v>10</v>
      </c>
      <c r="X54" s="498"/>
      <c r="Y54" s="498">
        <v>1489.4</v>
      </c>
      <c r="Z54" s="462">
        <f t="shared" si="10"/>
        <v>1682.8600000000001</v>
      </c>
      <c r="AA54" s="462">
        <f t="shared" si="11"/>
        <v>2365.54</v>
      </c>
      <c r="AB54" s="489">
        <v>1000</v>
      </c>
    </row>
    <row r="55" spans="1:28" s="507" customFormat="1" ht="12">
      <c r="A55" s="456">
        <v>52</v>
      </c>
      <c r="B55" s="466" t="s">
        <v>1605</v>
      </c>
      <c r="C55" s="497">
        <v>9901443084</v>
      </c>
      <c r="D55" s="459" t="s">
        <v>1606</v>
      </c>
      <c r="E55" s="460" t="s">
        <v>32</v>
      </c>
      <c r="F55" s="461">
        <v>31</v>
      </c>
      <c r="G55" s="498">
        <v>71.400000000000006</v>
      </c>
      <c r="H55" s="462">
        <f t="shared" si="0"/>
        <v>2213.4</v>
      </c>
      <c r="I55" s="462">
        <f t="shared" si="1"/>
        <v>8568</v>
      </c>
      <c r="J55" s="463">
        <v>4</v>
      </c>
      <c r="K55" s="534">
        <v>75</v>
      </c>
      <c r="L55" s="462">
        <f t="shared" si="2"/>
        <v>1760</v>
      </c>
      <c r="M55" s="462">
        <v>1510</v>
      </c>
      <c r="N55" s="462">
        <v>250</v>
      </c>
      <c r="O55" s="462">
        <f t="shared" si="3"/>
        <v>4048.4</v>
      </c>
      <c r="P55" s="488">
        <f t="shared" si="4"/>
        <v>1242.3333333333333</v>
      </c>
      <c r="Q55" s="489">
        <f t="shared" si="5"/>
        <v>1225.3150684931506</v>
      </c>
      <c r="R55" s="489">
        <f t="shared" si="6"/>
        <v>65.753424657534239</v>
      </c>
      <c r="S55" s="490">
        <f t="shared" si="7"/>
        <v>15908</v>
      </c>
      <c r="T55" s="490">
        <f t="shared" si="8"/>
        <v>18441.401826484016</v>
      </c>
      <c r="U55" s="491">
        <f t="shared" si="9"/>
        <v>183.46</v>
      </c>
      <c r="V55" s="498">
        <f>(O55-N55)*11%</f>
        <v>417.82400000000001</v>
      </c>
      <c r="W55" s="498">
        <v>10</v>
      </c>
      <c r="X55" s="498"/>
      <c r="Y55" s="498">
        <v>696.57</v>
      </c>
      <c r="Z55" s="462">
        <f t="shared" si="10"/>
        <v>1307.854</v>
      </c>
      <c r="AA55" s="462">
        <f t="shared" si="11"/>
        <v>2740.5460000000003</v>
      </c>
      <c r="AB55" s="489">
        <v>1000</v>
      </c>
    </row>
    <row r="56" spans="1:28" s="507" customFormat="1" ht="11.25">
      <c r="A56" s="456">
        <v>53</v>
      </c>
      <c r="B56" s="457" t="s">
        <v>1607</v>
      </c>
      <c r="C56" s="598">
        <v>9901442275</v>
      </c>
      <c r="D56" s="459" t="s">
        <v>1608</v>
      </c>
      <c r="E56" s="460" t="s">
        <v>32</v>
      </c>
      <c r="F56" s="461">
        <v>31</v>
      </c>
      <c r="G56" s="498">
        <v>71.400000000000006</v>
      </c>
      <c r="H56" s="462">
        <f t="shared" si="0"/>
        <v>2213.4</v>
      </c>
      <c r="I56" s="462">
        <f t="shared" si="1"/>
        <v>8568</v>
      </c>
      <c r="J56" s="463">
        <v>4</v>
      </c>
      <c r="K56" s="534">
        <v>50</v>
      </c>
      <c r="L56" s="462">
        <f t="shared" si="2"/>
        <v>1760</v>
      </c>
      <c r="M56" s="462">
        <v>1510</v>
      </c>
      <c r="N56" s="462">
        <v>250</v>
      </c>
      <c r="O56" s="462">
        <f t="shared" si="3"/>
        <v>4023.4</v>
      </c>
      <c r="P56" s="488">
        <f t="shared" si="4"/>
        <v>1234</v>
      </c>
      <c r="Q56" s="489">
        <f t="shared" si="5"/>
        <v>1217.0958904109589</v>
      </c>
      <c r="R56" s="489">
        <f t="shared" si="6"/>
        <v>65.753424657534239</v>
      </c>
      <c r="S56" s="490">
        <f t="shared" si="7"/>
        <v>15808</v>
      </c>
      <c r="T56" s="490">
        <f t="shared" si="8"/>
        <v>18324.849315068492</v>
      </c>
      <c r="U56" s="491">
        <f t="shared" si="9"/>
        <v>182.26</v>
      </c>
      <c r="V56" s="498"/>
      <c r="W56" s="498">
        <v>10</v>
      </c>
      <c r="X56" s="498"/>
      <c r="Y56" s="498">
        <v>1712.64</v>
      </c>
      <c r="Z56" s="462">
        <f t="shared" si="10"/>
        <v>1904.9</v>
      </c>
      <c r="AA56" s="462">
        <f t="shared" si="11"/>
        <v>2118.5</v>
      </c>
      <c r="AB56" s="489">
        <v>1000</v>
      </c>
    </row>
    <row r="57" spans="1:28" s="507" customFormat="1" ht="11.25">
      <c r="A57" s="456">
        <v>54</v>
      </c>
      <c r="B57" s="466" t="s">
        <v>1609</v>
      </c>
      <c r="C57" s="564">
        <v>9901442838</v>
      </c>
      <c r="D57" s="459" t="s">
        <v>1610</v>
      </c>
      <c r="E57" s="460" t="s">
        <v>32</v>
      </c>
      <c r="F57" s="461">
        <v>31</v>
      </c>
      <c r="G57" s="498">
        <v>71.400000000000006</v>
      </c>
      <c r="H57" s="462">
        <f t="shared" si="0"/>
        <v>2213.4</v>
      </c>
      <c r="I57" s="462">
        <f t="shared" si="1"/>
        <v>8568</v>
      </c>
      <c r="J57" s="463">
        <v>4</v>
      </c>
      <c r="K57" s="534">
        <v>50</v>
      </c>
      <c r="L57" s="462">
        <f t="shared" si="2"/>
        <v>1760</v>
      </c>
      <c r="M57" s="462">
        <v>1510</v>
      </c>
      <c r="N57" s="462">
        <v>250</v>
      </c>
      <c r="O57" s="462">
        <f t="shared" si="3"/>
        <v>4023.4</v>
      </c>
      <c r="P57" s="488">
        <f t="shared" si="4"/>
        <v>1234</v>
      </c>
      <c r="Q57" s="489">
        <f t="shared" si="5"/>
        <v>1217.0958904109589</v>
      </c>
      <c r="R57" s="489">
        <f t="shared" si="6"/>
        <v>65.753424657534239</v>
      </c>
      <c r="S57" s="490">
        <f t="shared" si="7"/>
        <v>15808</v>
      </c>
      <c r="T57" s="490">
        <f t="shared" si="8"/>
        <v>18324.849315068492</v>
      </c>
      <c r="U57" s="491">
        <f t="shared" si="9"/>
        <v>182.26</v>
      </c>
      <c r="V57" s="498"/>
      <c r="W57" s="498">
        <v>10</v>
      </c>
      <c r="X57" s="498"/>
      <c r="Y57" s="498"/>
      <c r="Z57" s="462">
        <f t="shared" si="10"/>
        <v>192.26</v>
      </c>
      <c r="AA57" s="462">
        <f t="shared" si="11"/>
        <v>3831.1400000000003</v>
      </c>
      <c r="AB57" s="489">
        <v>1000</v>
      </c>
    </row>
    <row r="58" spans="1:28" s="507" customFormat="1" ht="11.25">
      <c r="A58" s="456">
        <v>55</v>
      </c>
      <c r="B58" s="466" t="s">
        <v>1611</v>
      </c>
      <c r="C58" s="564">
        <v>9901442828</v>
      </c>
      <c r="D58" s="459" t="s">
        <v>1612</v>
      </c>
      <c r="E58" s="460" t="s">
        <v>32</v>
      </c>
      <c r="F58" s="461">
        <v>31</v>
      </c>
      <c r="G58" s="498">
        <v>71.400000000000006</v>
      </c>
      <c r="H58" s="462">
        <f t="shared" si="0"/>
        <v>2213.4</v>
      </c>
      <c r="I58" s="462">
        <f t="shared" si="1"/>
        <v>8568</v>
      </c>
      <c r="J58" s="463">
        <v>4</v>
      </c>
      <c r="K58" s="534">
        <v>50</v>
      </c>
      <c r="L58" s="462">
        <f t="shared" si="2"/>
        <v>1760</v>
      </c>
      <c r="M58" s="462">
        <v>1510</v>
      </c>
      <c r="N58" s="462">
        <v>250</v>
      </c>
      <c r="O58" s="462">
        <f t="shared" si="3"/>
        <v>4023.4</v>
      </c>
      <c r="P58" s="488">
        <f t="shared" si="4"/>
        <v>1234</v>
      </c>
      <c r="Q58" s="489">
        <f t="shared" si="5"/>
        <v>1217.0958904109589</v>
      </c>
      <c r="R58" s="489">
        <f t="shared" si="6"/>
        <v>65.753424657534239</v>
      </c>
      <c r="S58" s="490">
        <f t="shared" si="7"/>
        <v>15808</v>
      </c>
      <c r="T58" s="490">
        <f t="shared" si="8"/>
        <v>18324.849315068492</v>
      </c>
      <c r="U58" s="491">
        <f t="shared" si="9"/>
        <v>182.26</v>
      </c>
      <c r="V58" s="498">
        <f>(O58-N58)*11%</f>
        <v>415.07400000000001</v>
      </c>
      <c r="W58" s="498">
        <v>10</v>
      </c>
      <c r="X58" s="498"/>
      <c r="Y58" s="498"/>
      <c r="Z58" s="462">
        <f t="shared" si="10"/>
        <v>607.33400000000006</v>
      </c>
      <c r="AA58" s="462">
        <f t="shared" si="11"/>
        <v>3416.0659999999998</v>
      </c>
      <c r="AB58" s="489">
        <v>1000</v>
      </c>
    </row>
    <row r="59" spans="1:28" s="507" customFormat="1" ht="11.25">
      <c r="A59" s="456">
        <v>56</v>
      </c>
      <c r="B59" s="466" t="s">
        <v>1613</v>
      </c>
      <c r="C59" s="564">
        <v>9901443074</v>
      </c>
      <c r="D59" s="459" t="s">
        <v>1614</v>
      </c>
      <c r="E59" s="460" t="s">
        <v>32</v>
      </c>
      <c r="F59" s="461">
        <v>31</v>
      </c>
      <c r="G59" s="498">
        <v>71.400000000000006</v>
      </c>
      <c r="H59" s="462">
        <f t="shared" si="0"/>
        <v>2213.4</v>
      </c>
      <c r="I59" s="462">
        <f t="shared" si="1"/>
        <v>8568</v>
      </c>
      <c r="J59" s="463">
        <v>4</v>
      </c>
      <c r="K59" s="534">
        <v>75</v>
      </c>
      <c r="L59" s="462">
        <f t="shared" si="2"/>
        <v>1760</v>
      </c>
      <c r="M59" s="462">
        <v>1510</v>
      </c>
      <c r="N59" s="462">
        <v>250</v>
      </c>
      <c r="O59" s="462">
        <f t="shared" si="3"/>
        <v>4048.4</v>
      </c>
      <c r="P59" s="488">
        <f t="shared" si="4"/>
        <v>1242.3333333333333</v>
      </c>
      <c r="Q59" s="489">
        <f t="shared" si="5"/>
        <v>1225.3150684931506</v>
      </c>
      <c r="R59" s="489">
        <f t="shared" si="6"/>
        <v>65.753424657534239</v>
      </c>
      <c r="S59" s="490">
        <f t="shared" si="7"/>
        <v>15908</v>
      </c>
      <c r="T59" s="490">
        <f t="shared" si="8"/>
        <v>18441.401826484016</v>
      </c>
      <c r="U59" s="491">
        <f t="shared" si="9"/>
        <v>183.46</v>
      </c>
      <c r="V59" s="498">
        <f>(O59-N59)*11%</f>
        <v>417.82400000000001</v>
      </c>
      <c r="W59" s="498">
        <v>10</v>
      </c>
      <c r="X59" s="498"/>
      <c r="Y59" s="498"/>
      <c r="Z59" s="462">
        <f t="shared" si="10"/>
        <v>611.28399999999999</v>
      </c>
      <c r="AA59" s="462">
        <f t="shared" si="11"/>
        <v>3437.116</v>
      </c>
      <c r="AB59" s="489">
        <v>1000</v>
      </c>
    </row>
    <row r="60" spans="1:28" s="507" customFormat="1" ht="11.25">
      <c r="A60" s="456">
        <v>57</v>
      </c>
      <c r="B60" s="466" t="s">
        <v>1615</v>
      </c>
      <c r="C60" s="564">
        <v>9901442681</v>
      </c>
      <c r="D60" s="459" t="s">
        <v>1616</v>
      </c>
      <c r="E60" s="460" t="s">
        <v>32</v>
      </c>
      <c r="F60" s="461">
        <v>31</v>
      </c>
      <c r="G60" s="498">
        <v>71.400000000000006</v>
      </c>
      <c r="H60" s="462">
        <f t="shared" si="0"/>
        <v>2213.4</v>
      </c>
      <c r="I60" s="462">
        <f t="shared" si="1"/>
        <v>8568</v>
      </c>
      <c r="J60" s="463">
        <v>4</v>
      </c>
      <c r="K60" s="534">
        <v>50</v>
      </c>
      <c r="L60" s="462">
        <f t="shared" si="2"/>
        <v>1760</v>
      </c>
      <c r="M60" s="462">
        <v>1510</v>
      </c>
      <c r="N60" s="462">
        <v>250</v>
      </c>
      <c r="O60" s="462">
        <f t="shared" si="3"/>
        <v>4023.4</v>
      </c>
      <c r="P60" s="488">
        <f t="shared" si="4"/>
        <v>1234</v>
      </c>
      <c r="Q60" s="489">
        <f t="shared" si="5"/>
        <v>1217.0958904109589</v>
      </c>
      <c r="R60" s="489">
        <f t="shared" si="6"/>
        <v>65.753424657534239</v>
      </c>
      <c r="S60" s="490">
        <f t="shared" si="7"/>
        <v>15808</v>
      </c>
      <c r="T60" s="490">
        <f t="shared" si="8"/>
        <v>18324.849315068492</v>
      </c>
      <c r="U60" s="491">
        <f t="shared" si="9"/>
        <v>182.26</v>
      </c>
      <c r="V60" s="498"/>
      <c r="W60" s="498">
        <v>10</v>
      </c>
      <c r="X60" s="498"/>
      <c r="Y60" s="498">
        <v>1195.17</v>
      </c>
      <c r="Z60" s="462">
        <f t="shared" si="10"/>
        <v>1387.43</v>
      </c>
      <c r="AA60" s="462">
        <f t="shared" si="11"/>
        <v>2635.9700000000003</v>
      </c>
      <c r="AB60" s="489">
        <v>1000</v>
      </c>
    </row>
    <row r="61" spans="1:28" s="507" customFormat="1" ht="11.25">
      <c r="A61" s="456">
        <v>58</v>
      </c>
      <c r="B61" s="466" t="s">
        <v>1617</v>
      </c>
      <c r="C61" s="564">
        <v>9901451143</v>
      </c>
      <c r="D61" s="459" t="s">
        <v>1618</v>
      </c>
      <c r="E61" s="460" t="s">
        <v>32</v>
      </c>
      <c r="F61" s="461">
        <v>31</v>
      </c>
      <c r="G61" s="498">
        <v>71.400000000000006</v>
      </c>
      <c r="H61" s="462">
        <f t="shared" si="0"/>
        <v>2213.4</v>
      </c>
      <c r="I61" s="462">
        <f t="shared" si="1"/>
        <v>8568</v>
      </c>
      <c r="J61" s="463">
        <v>4</v>
      </c>
      <c r="K61" s="534"/>
      <c r="L61" s="462">
        <f t="shared" si="2"/>
        <v>1760</v>
      </c>
      <c r="M61" s="462">
        <v>1510</v>
      </c>
      <c r="N61" s="462">
        <v>250</v>
      </c>
      <c r="O61" s="462">
        <f t="shared" si="3"/>
        <v>3973.4</v>
      </c>
      <c r="P61" s="488">
        <f t="shared" si="4"/>
        <v>1217.3333333333333</v>
      </c>
      <c r="Q61" s="489">
        <f t="shared" si="5"/>
        <v>1200.6575342465753</v>
      </c>
      <c r="R61" s="489">
        <f t="shared" si="6"/>
        <v>65.753424657534239</v>
      </c>
      <c r="S61" s="490">
        <f t="shared" si="7"/>
        <v>15608</v>
      </c>
      <c r="T61" s="490">
        <f t="shared" si="8"/>
        <v>18091.744292237443</v>
      </c>
      <c r="U61" s="491">
        <f t="shared" si="9"/>
        <v>179.84</v>
      </c>
      <c r="V61" s="498"/>
      <c r="W61" s="498"/>
      <c r="X61" s="498"/>
      <c r="Y61" s="498">
        <v>1364.56</v>
      </c>
      <c r="Z61" s="462">
        <f t="shared" si="10"/>
        <v>1544.3999999999999</v>
      </c>
      <c r="AA61" s="462">
        <f t="shared" si="11"/>
        <v>2429</v>
      </c>
      <c r="AB61" s="489">
        <v>1000</v>
      </c>
    </row>
    <row r="62" spans="1:28" s="507" customFormat="1" ht="11.25">
      <c r="A62" s="456">
        <v>59</v>
      </c>
      <c r="B62" s="466" t="s">
        <v>1619</v>
      </c>
      <c r="C62" s="564">
        <v>9901442400</v>
      </c>
      <c r="D62" s="459" t="s">
        <v>1620</v>
      </c>
      <c r="E62" s="460" t="s">
        <v>32</v>
      </c>
      <c r="F62" s="461">
        <v>31</v>
      </c>
      <c r="G62" s="498">
        <v>71.400000000000006</v>
      </c>
      <c r="H62" s="462">
        <f t="shared" si="0"/>
        <v>2213.4</v>
      </c>
      <c r="I62" s="462">
        <f t="shared" si="1"/>
        <v>8568</v>
      </c>
      <c r="J62" s="463">
        <v>4</v>
      </c>
      <c r="K62" s="534">
        <v>75</v>
      </c>
      <c r="L62" s="462">
        <f t="shared" si="2"/>
        <v>1760</v>
      </c>
      <c r="M62" s="462">
        <v>1510</v>
      </c>
      <c r="N62" s="462">
        <v>250</v>
      </c>
      <c r="O62" s="462">
        <f t="shared" si="3"/>
        <v>4048.4</v>
      </c>
      <c r="P62" s="488">
        <f t="shared" si="4"/>
        <v>1242.3333333333333</v>
      </c>
      <c r="Q62" s="489">
        <f t="shared" si="5"/>
        <v>1225.3150684931506</v>
      </c>
      <c r="R62" s="489">
        <f t="shared" si="6"/>
        <v>65.753424657534239</v>
      </c>
      <c r="S62" s="490">
        <f t="shared" si="7"/>
        <v>15908</v>
      </c>
      <c r="T62" s="490">
        <f t="shared" si="8"/>
        <v>18441.401826484016</v>
      </c>
      <c r="U62" s="491">
        <f t="shared" si="9"/>
        <v>183.46</v>
      </c>
      <c r="V62" s="498"/>
      <c r="W62" s="498">
        <v>10</v>
      </c>
      <c r="X62" s="498"/>
      <c r="Y62" s="498"/>
      <c r="Z62" s="462">
        <f t="shared" si="10"/>
        <v>193.46</v>
      </c>
      <c r="AA62" s="462">
        <f t="shared" si="11"/>
        <v>3854.94</v>
      </c>
      <c r="AB62" s="489">
        <v>1000</v>
      </c>
    </row>
    <row r="63" spans="1:28" s="507" customFormat="1" ht="11.25">
      <c r="A63" s="456">
        <v>60</v>
      </c>
      <c r="B63" s="466" t="s">
        <v>1621</v>
      </c>
      <c r="C63" s="564">
        <v>9901443069</v>
      </c>
      <c r="D63" s="459" t="s">
        <v>1622</v>
      </c>
      <c r="E63" s="460" t="s">
        <v>32</v>
      </c>
      <c r="F63" s="461">
        <v>31</v>
      </c>
      <c r="G63" s="498">
        <v>71.400000000000006</v>
      </c>
      <c r="H63" s="462">
        <f t="shared" si="0"/>
        <v>2213.4</v>
      </c>
      <c r="I63" s="462">
        <f t="shared" si="1"/>
        <v>8568</v>
      </c>
      <c r="J63" s="463">
        <v>4</v>
      </c>
      <c r="K63" s="534"/>
      <c r="L63" s="462">
        <f t="shared" si="2"/>
        <v>1760</v>
      </c>
      <c r="M63" s="462">
        <v>1510</v>
      </c>
      <c r="N63" s="462">
        <v>250</v>
      </c>
      <c r="O63" s="462">
        <f t="shared" si="3"/>
        <v>3973.4</v>
      </c>
      <c r="P63" s="488">
        <f t="shared" si="4"/>
        <v>1217.3333333333333</v>
      </c>
      <c r="Q63" s="489">
        <f t="shared" si="5"/>
        <v>1200.6575342465753</v>
      </c>
      <c r="R63" s="489">
        <f t="shared" si="6"/>
        <v>65.753424657534239</v>
      </c>
      <c r="S63" s="490">
        <f t="shared" si="7"/>
        <v>15608</v>
      </c>
      <c r="T63" s="490">
        <f t="shared" si="8"/>
        <v>18091.744292237443</v>
      </c>
      <c r="U63" s="491">
        <f t="shared" si="9"/>
        <v>179.84</v>
      </c>
      <c r="V63" s="498">
        <f>(O63-N63)*11%</f>
        <v>409.57400000000001</v>
      </c>
      <c r="W63" s="498">
        <v>10</v>
      </c>
      <c r="X63" s="498"/>
      <c r="Y63" s="498"/>
      <c r="Z63" s="462">
        <f t="shared" si="10"/>
        <v>599.41399999999999</v>
      </c>
      <c r="AA63" s="462">
        <f t="shared" si="11"/>
        <v>3373.9859999999999</v>
      </c>
      <c r="AB63" s="489">
        <v>1000</v>
      </c>
    </row>
    <row r="64" spans="1:28" s="507" customFormat="1" ht="11.25">
      <c r="A64" s="456">
        <v>61</v>
      </c>
      <c r="B64" s="457" t="s">
        <v>1623</v>
      </c>
      <c r="C64" s="598">
        <v>9901442606</v>
      </c>
      <c r="D64" s="459" t="s">
        <v>1624</v>
      </c>
      <c r="E64" s="460" t="s">
        <v>72</v>
      </c>
      <c r="F64" s="461">
        <v>31</v>
      </c>
      <c r="G64" s="498">
        <v>71.400000000000006</v>
      </c>
      <c r="H64" s="462">
        <f t="shared" si="0"/>
        <v>2213.4</v>
      </c>
      <c r="I64" s="462">
        <f t="shared" si="1"/>
        <v>8568</v>
      </c>
      <c r="J64" s="463">
        <v>4</v>
      </c>
      <c r="K64" s="534">
        <v>50</v>
      </c>
      <c r="L64" s="462">
        <f t="shared" si="2"/>
        <v>1760</v>
      </c>
      <c r="M64" s="462">
        <v>1510</v>
      </c>
      <c r="N64" s="462">
        <v>250</v>
      </c>
      <c r="O64" s="462">
        <f t="shared" si="3"/>
        <v>4023.4</v>
      </c>
      <c r="P64" s="488">
        <f t="shared" si="4"/>
        <v>1234</v>
      </c>
      <c r="Q64" s="489">
        <f t="shared" si="5"/>
        <v>1217.0958904109589</v>
      </c>
      <c r="R64" s="489">
        <f t="shared" si="6"/>
        <v>65.753424657534239</v>
      </c>
      <c r="S64" s="490">
        <f t="shared" si="7"/>
        <v>15808</v>
      </c>
      <c r="T64" s="490">
        <f t="shared" si="8"/>
        <v>18324.849315068492</v>
      </c>
      <c r="U64" s="491">
        <f t="shared" si="9"/>
        <v>182.26</v>
      </c>
      <c r="V64" s="498"/>
      <c r="W64" s="498">
        <v>10</v>
      </c>
      <c r="X64" s="498"/>
      <c r="Y64" s="498"/>
      <c r="Z64" s="462">
        <f t="shared" si="10"/>
        <v>192.26</v>
      </c>
      <c r="AA64" s="462">
        <f t="shared" si="11"/>
        <v>3831.1400000000003</v>
      </c>
      <c r="AB64" s="489">
        <v>1000</v>
      </c>
    </row>
    <row r="65" spans="1:28" s="507" customFormat="1" ht="11.25">
      <c r="A65" s="456">
        <v>62</v>
      </c>
      <c r="B65" s="466" t="s">
        <v>1625</v>
      </c>
      <c r="C65" s="564">
        <v>980001549</v>
      </c>
      <c r="D65" s="459" t="s">
        <v>1626</v>
      </c>
      <c r="E65" s="460" t="s">
        <v>32</v>
      </c>
      <c r="F65" s="461">
        <v>31</v>
      </c>
      <c r="G65" s="498">
        <v>71.400000000000006</v>
      </c>
      <c r="H65" s="462">
        <f t="shared" si="0"/>
        <v>2213.4</v>
      </c>
      <c r="I65" s="462">
        <f t="shared" si="1"/>
        <v>8568</v>
      </c>
      <c r="J65" s="463">
        <v>4</v>
      </c>
      <c r="K65" s="534">
        <v>50</v>
      </c>
      <c r="L65" s="462">
        <f t="shared" si="2"/>
        <v>1760</v>
      </c>
      <c r="M65" s="462">
        <v>1510</v>
      </c>
      <c r="N65" s="462">
        <v>250</v>
      </c>
      <c r="O65" s="462">
        <f t="shared" si="3"/>
        <v>4023.4</v>
      </c>
      <c r="P65" s="488">
        <f t="shared" si="4"/>
        <v>1234</v>
      </c>
      <c r="Q65" s="489">
        <f t="shared" si="5"/>
        <v>1217.0958904109589</v>
      </c>
      <c r="R65" s="489">
        <f t="shared" si="6"/>
        <v>65.753424657534239</v>
      </c>
      <c r="S65" s="490">
        <f t="shared" si="7"/>
        <v>15808</v>
      </c>
      <c r="T65" s="490">
        <f t="shared" si="8"/>
        <v>18324.849315068492</v>
      </c>
      <c r="U65" s="491">
        <f t="shared" si="9"/>
        <v>182.26</v>
      </c>
      <c r="V65" s="498">
        <f>(O65-N65)*11%</f>
        <v>415.07400000000001</v>
      </c>
      <c r="W65" s="498">
        <v>10</v>
      </c>
      <c r="X65" s="498"/>
      <c r="Y65" s="498"/>
      <c r="Z65" s="462">
        <f t="shared" si="10"/>
        <v>607.33400000000006</v>
      </c>
      <c r="AA65" s="462">
        <f t="shared" si="11"/>
        <v>3416.0659999999998</v>
      </c>
      <c r="AB65" s="489">
        <v>1000</v>
      </c>
    </row>
    <row r="66" spans="1:28" s="507" customFormat="1" ht="12">
      <c r="A66" s="456">
        <v>63</v>
      </c>
      <c r="B66" s="466" t="s">
        <v>1627</v>
      </c>
      <c r="C66" s="497">
        <v>9901442618</v>
      </c>
      <c r="D66" s="459" t="s">
        <v>1628</v>
      </c>
      <c r="E66" s="460" t="s">
        <v>72</v>
      </c>
      <c r="F66" s="461">
        <v>31</v>
      </c>
      <c r="G66" s="498">
        <v>71.400000000000006</v>
      </c>
      <c r="H66" s="462">
        <f t="shared" si="0"/>
        <v>2213.4</v>
      </c>
      <c r="I66" s="462">
        <f t="shared" si="1"/>
        <v>8568</v>
      </c>
      <c r="J66" s="463">
        <v>4</v>
      </c>
      <c r="K66" s="534">
        <v>50</v>
      </c>
      <c r="L66" s="462">
        <f t="shared" si="2"/>
        <v>1760</v>
      </c>
      <c r="M66" s="462">
        <v>1510</v>
      </c>
      <c r="N66" s="462">
        <v>250</v>
      </c>
      <c r="O66" s="462">
        <f t="shared" si="3"/>
        <v>4023.4</v>
      </c>
      <c r="P66" s="488">
        <f t="shared" si="4"/>
        <v>1234</v>
      </c>
      <c r="Q66" s="489">
        <f t="shared" si="5"/>
        <v>1217.0958904109589</v>
      </c>
      <c r="R66" s="489">
        <f t="shared" si="6"/>
        <v>65.753424657534239</v>
      </c>
      <c r="S66" s="490">
        <f t="shared" si="7"/>
        <v>15808</v>
      </c>
      <c r="T66" s="490">
        <f t="shared" si="8"/>
        <v>18324.849315068492</v>
      </c>
      <c r="U66" s="491">
        <f t="shared" si="9"/>
        <v>182.26</v>
      </c>
      <c r="V66" s="498"/>
      <c r="W66" s="498">
        <v>10</v>
      </c>
      <c r="X66" s="498"/>
      <c r="Y66" s="498"/>
      <c r="Z66" s="462">
        <f t="shared" si="10"/>
        <v>192.26</v>
      </c>
      <c r="AA66" s="462">
        <f t="shared" si="11"/>
        <v>3831.1400000000003</v>
      </c>
      <c r="AB66" s="489">
        <v>1000</v>
      </c>
    </row>
    <row r="67" spans="1:28" s="507" customFormat="1" ht="12">
      <c r="A67" s="456">
        <v>64</v>
      </c>
      <c r="B67" s="457" t="s">
        <v>1629</v>
      </c>
      <c r="C67" s="497">
        <v>9901451145</v>
      </c>
      <c r="D67" s="459" t="s">
        <v>1630</v>
      </c>
      <c r="E67" s="460" t="s">
        <v>35</v>
      </c>
      <c r="F67" s="461">
        <v>31</v>
      </c>
      <c r="G67" s="498">
        <v>71.400000000000006</v>
      </c>
      <c r="H67" s="462">
        <f t="shared" si="0"/>
        <v>2213.4</v>
      </c>
      <c r="I67" s="462">
        <f t="shared" si="1"/>
        <v>8568</v>
      </c>
      <c r="J67" s="463">
        <v>4</v>
      </c>
      <c r="K67" s="534"/>
      <c r="L67" s="462">
        <f t="shared" si="2"/>
        <v>1760</v>
      </c>
      <c r="M67" s="462">
        <v>1510</v>
      </c>
      <c r="N67" s="462">
        <v>250</v>
      </c>
      <c r="O67" s="462">
        <f t="shared" si="3"/>
        <v>3973.4</v>
      </c>
      <c r="P67" s="488">
        <f t="shared" si="4"/>
        <v>1217.3333333333333</v>
      </c>
      <c r="Q67" s="489">
        <f t="shared" si="5"/>
        <v>1200.6575342465753</v>
      </c>
      <c r="R67" s="489">
        <f t="shared" si="6"/>
        <v>65.753424657534239</v>
      </c>
      <c r="S67" s="490">
        <f t="shared" si="7"/>
        <v>15608</v>
      </c>
      <c r="T67" s="490">
        <f t="shared" si="8"/>
        <v>18091.744292237443</v>
      </c>
      <c r="U67" s="491">
        <f t="shared" si="9"/>
        <v>179.84</v>
      </c>
      <c r="V67" s="498"/>
      <c r="W67" s="498"/>
      <c r="X67" s="498"/>
      <c r="Y67" s="498"/>
      <c r="Z67" s="462">
        <f t="shared" si="10"/>
        <v>179.84</v>
      </c>
      <c r="AA67" s="462">
        <f t="shared" si="11"/>
        <v>3793.56</v>
      </c>
      <c r="AB67" s="489">
        <v>1000</v>
      </c>
    </row>
    <row r="68" spans="1:28" s="507" customFormat="1" ht="12">
      <c r="A68" s="456">
        <v>65</v>
      </c>
      <c r="B68" s="466" t="s">
        <v>1631</v>
      </c>
      <c r="C68" s="497">
        <v>9901443110</v>
      </c>
      <c r="D68" s="459" t="s">
        <v>1632</v>
      </c>
      <c r="E68" s="460" t="s">
        <v>32</v>
      </c>
      <c r="F68" s="461">
        <v>31</v>
      </c>
      <c r="G68" s="498">
        <v>71.400000000000006</v>
      </c>
      <c r="H68" s="462">
        <f t="shared" ref="H68:H131" si="12">+F68*G68</f>
        <v>2213.4</v>
      </c>
      <c r="I68" s="462">
        <f t="shared" ref="I68:I131" si="13">G68*120</f>
        <v>8568</v>
      </c>
      <c r="J68" s="463">
        <v>4</v>
      </c>
      <c r="K68" s="534">
        <v>50</v>
      </c>
      <c r="L68" s="462">
        <f t="shared" ref="L68:L131" si="14">M68+N68</f>
        <v>1760</v>
      </c>
      <c r="M68" s="462">
        <v>1510</v>
      </c>
      <c r="N68" s="462">
        <v>250</v>
      </c>
      <c r="O68" s="462">
        <f t="shared" ref="O68:O131" si="15">+H68+M68+N68+K68</f>
        <v>4023.4</v>
      </c>
      <c r="P68" s="488">
        <f t="shared" ref="P68:P131" si="16">(((G68*120)+(K68+M68)*4)/12)</f>
        <v>1234</v>
      </c>
      <c r="Q68" s="489">
        <f t="shared" ref="Q68:Q131" si="17">(((G68*30)+M68+K68)/365*120)</f>
        <v>1217.0958904109589</v>
      </c>
      <c r="R68" s="489">
        <f t="shared" ref="R68:R131" si="18">+(200/365)*120</f>
        <v>65.753424657534239</v>
      </c>
      <c r="S68" s="490">
        <f t="shared" ref="S68:S131" si="19">(((G68*120)+((K68+M68+N68)*4)))</f>
        <v>15808</v>
      </c>
      <c r="T68" s="490">
        <f t="shared" ref="T68:T131" si="20">+S68+R68+Q68+P68</f>
        <v>18324.849315068492</v>
      </c>
      <c r="U68" s="491">
        <f t="shared" ref="U68:U131" si="21">ROUND((((H68+K68+M68)*4.83)/100),2)</f>
        <v>182.26</v>
      </c>
      <c r="V68" s="498">
        <f>(O68-N68)*11%</f>
        <v>415.07400000000001</v>
      </c>
      <c r="W68" s="498"/>
      <c r="X68" s="498"/>
      <c r="Y68" s="498">
        <v>986.63</v>
      </c>
      <c r="Z68" s="462">
        <f t="shared" ref="Z68:Z131" si="22">V68+W68+X68+Y68+U68</f>
        <v>1583.9639999999999</v>
      </c>
      <c r="AA68" s="462">
        <f t="shared" ref="AA68:AA131" si="23">+O68-Z68</f>
        <v>2439.4360000000001</v>
      </c>
      <c r="AB68" s="489">
        <v>1000</v>
      </c>
    </row>
    <row r="69" spans="1:28" s="507" customFormat="1" ht="12">
      <c r="A69" s="456">
        <v>66</v>
      </c>
      <c r="B69" s="457" t="s">
        <v>1633</v>
      </c>
      <c r="C69" s="497">
        <v>9901443039</v>
      </c>
      <c r="D69" s="459" t="s">
        <v>1634</v>
      </c>
      <c r="E69" s="460" t="s">
        <v>32</v>
      </c>
      <c r="F69" s="461">
        <v>31</v>
      </c>
      <c r="G69" s="498">
        <v>71.400000000000006</v>
      </c>
      <c r="H69" s="462">
        <f t="shared" si="12"/>
        <v>2213.4</v>
      </c>
      <c r="I69" s="462">
        <f t="shared" si="13"/>
        <v>8568</v>
      </c>
      <c r="J69" s="463">
        <v>4</v>
      </c>
      <c r="K69" s="534"/>
      <c r="L69" s="462">
        <f t="shared" si="14"/>
        <v>1760</v>
      </c>
      <c r="M69" s="462">
        <v>1510</v>
      </c>
      <c r="N69" s="462">
        <v>250</v>
      </c>
      <c r="O69" s="462">
        <f t="shared" si="15"/>
        <v>3973.4</v>
      </c>
      <c r="P69" s="488">
        <f t="shared" si="16"/>
        <v>1217.3333333333333</v>
      </c>
      <c r="Q69" s="489">
        <f t="shared" si="17"/>
        <v>1200.6575342465753</v>
      </c>
      <c r="R69" s="489">
        <f t="shared" si="18"/>
        <v>65.753424657534239</v>
      </c>
      <c r="S69" s="490">
        <f t="shared" si="19"/>
        <v>15608</v>
      </c>
      <c r="T69" s="490">
        <f t="shared" si="20"/>
        <v>18091.744292237443</v>
      </c>
      <c r="U69" s="491">
        <f t="shared" si="21"/>
        <v>179.84</v>
      </c>
      <c r="V69" s="498">
        <f>(O69-N69)*11%</f>
        <v>409.57400000000001</v>
      </c>
      <c r="W69" s="498">
        <v>10</v>
      </c>
      <c r="X69" s="498"/>
      <c r="Y69" s="498"/>
      <c r="Z69" s="462">
        <f t="shared" si="22"/>
        <v>599.41399999999999</v>
      </c>
      <c r="AA69" s="462">
        <f t="shared" si="23"/>
        <v>3373.9859999999999</v>
      </c>
      <c r="AB69" s="489">
        <v>1000</v>
      </c>
    </row>
    <row r="70" spans="1:28" s="507" customFormat="1" ht="12">
      <c r="A70" s="456">
        <v>67</v>
      </c>
      <c r="B70" s="457" t="s">
        <v>1635</v>
      </c>
      <c r="C70" s="497">
        <v>9901443911</v>
      </c>
      <c r="D70" s="459" t="s">
        <v>1636</v>
      </c>
      <c r="E70" s="460" t="s">
        <v>32</v>
      </c>
      <c r="F70" s="461">
        <v>31</v>
      </c>
      <c r="G70" s="498">
        <v>71.400000000000006</v>
      </c>
      <c r="H70" s="462">
        <f t="shared" si="12"/>
        <v>2213.4</v>
      </c>
      <c r="I70" s="462">
        <f t="shared" si="13"/>
        <v>8568</v>
      </c>
      <c r="J70" s="463">
        <v>4</v>
      </c>
      <c r="K70" s="534">
        <v>50</v>
      </c>
      <c r="L70" s="462">
        <f t="shared" si="14"/>
        <v>1760</v>
      </c>
      <c r="M70" s="462">
        <v>1510</v>
      </c>
      <c r="N70" s="462">
        <v>250</v>
      </c>
      <c r="O70" s="462">
        <f t="shared" si="15"/>
        <v>4023.4</v>
      </c>
      <c r="P70" s="488">
        <f t="shared" si="16"/>
        <v>1234</v>
      </c>
      <c r="Q70" s="489">
        <f t="shared" si="17"/>
        <v>1217.0958904109589</v>
      </c>
      <c r="R70" s="489">
        <f t="shared" si="18"/>
        <v>65.753424657534239</v>
      </c>
      <c r="S70" s="490">
        <f t="shared" si="19"/>
        <v>15808</v>
      </c>
      <c r="T70" s="490">
        <f t="shared" si="20"/>
        <v>18324.849315068492</v>
      </c>
      <c r="U70" s="491">
        <f t="shared" si="21"/>
        <v>182.26</v>
      </c>
      <c r="V70" s="498">
        <f>(O70-N70)*11%</f>
        <v>415.07400000000001</v>
      </c>
      <c r="W70" s="498">
        <v>10</v>
      </c>
      <c r="X70" s="498"/>
      <c r="Y70" s="498">
        <v>1540.66</v>
      </c>
      <c r="Z70" s="462">
        <f t="shared" si="22"/>
        <v>2147.9940000000001</v>
      </c>
      <c r="AA70" s="462">
        <f t="shared" si="23"/>
        <v>1875.4059999999999</v>
      </c>
      <c r="AB70" s="489">
        <v>1000</v>
      </c>
    </row>
    <row r="71" spans="1:28" s="507" customFormat="1" ht="12">
      <c r="A71" s="456">
        <v>68</v>
      </c>
      <c r="B71" s="466" t="s">
        <v>1637</v>
      </c>
      <c r="C71" s="497">
        <v>9901443072</v>
      </c>
      <c r="D71" s="459" t="s">
        <v>1638</v>
      </c>
      <c r="E71" s="460" t="s">
        <v>32</v>
      </c>
      <c r="F71" s="461">
        <v>31</v>
      </c>
      <c r="G71" s="498">
        <v>71.400000000000006</v>
      </c>
      <c r="H71" s="462">
        <f t="shared" si="12"/>
        <v>2213.4</v>
      </c>
      <c r="I71" s="462">
        <f t="shared" si="13"/>
        <v>8568</v>
      </c>
      <c r="J71" s="463">
        <v>4</v>
      </c>
      <c r="K71" s="534">
        <v>50</v>
      </c>
      <c r="L71" s="462">
        <f t="shared" si="14"/>
        <v>1760</v>
      </c>
      <c r="M71" s="462">
        <v>1510</v>
      </c>
      <c r="N71" s="462">
        <v>250</v>
      </c>
      <c r="O71" s="462">
        <f t="shared" si="15"/>
        <v>4023.4</v>
      </c>
      <c r="P71" s="488">
        <f t="shared" si="16"/>
        <v>1234</v>
      </c>
      <c r="Q71" s="489">
        <f t="shared" si="17"/>
        <v>1217.0958904109589</v>
      </c>
      <c r="R71" s="489">
        <f t="shared" si="18"/>
        <v>65.753424657534239</v>
      </c>
      <c r="S71" s="490">
        <f t="shared" si="19"/>
        <v>15808</v>
      </c>
      <c r="T71" s="490">
        <f t="shared" si="20"/>
        <v>18324.849315068492</v>
      </c>
      <c r="U71" s="491">
        <f t="shared" si="21"/>
        <v>182.26</v>
      </c>
      <c r="V71" s="498"/>
      <c r="W71" s="498">
        <v>10</v>
      </c>
      <c r="X71" s="498"/>
      <c r="Y71" s="498">
        <v>1851.25</v>
      </c>
      <c r="Z71" s="462">
        <f t="shared" si="22"/>
        <v>2043.51</v>
      </c>
      <c r="AA71" s="462">
        <f t="shared" si="23"/>
        <v>1979.89</v>
      </c>
      <c r="AB71" s="489">
        <v>1000</v>
      </c>
    </row>
    <row r="72" spans="1:28" s="507" customFormat="1" ht="12">
      <c r="A72" s="456">
        <v>69</v>
      </c>
      <c r="B72" s="457" t="s">
        <v>1639</v>
      </c>
      <c r="C72" s="497">
        <v>9901443104</v>
      </c>
      <c r="D72" s="459" t="s">
        <v>1640</v>
      </c>
      <c r="E72" s="460" t="s">
        <v>32</v>
      </c>
      <c r="F72" s="461">
        <v>31</v>
      </c>
      <c r="G72" s="498">
        <v>71.400000000000006</v>
      </c>
      <c r="H72" s="462">
        <f t="shared" si="12"/>
        <v>2213.4</v>
      </c>
      <c r="I72" s="462">
        <f t="shared" si="13"/>
        <v>8568</v>
      </c>
      <c r="J72" s="463">
        <v>4</v>
      </c>
      <c r="K72" s="534">
        <v>50</v>
      </c>
      <c r="L72" s="462">
        <f t="shared" si="14"/>
        <v>1760</v>
      </c>
      <c r="M72" s="462">
        <v>1510</v>
      </c>
      <c r="N72" s="462">
        <v>250</v>
      </c>
      <c r="O72" s="462">
        <f t="shared" si="15"/>
        <v>4023.4</v>
      </c>
      <c r="P72" s="488">
        <f t="shared" si="16"/>
        <v>1234</v>
      </c>
      <c r="Q72" s="489">
        <f t="shared" si="17"/>
        <v>1217.0958904109589</v>
      </c>
      <c r="R72" s="489">
        <f t="shared" si="18"/>
        <v>65.753424657534239</v>
      </c>
      <c r="S72" s="490">
        <f t="shared" si="19"/>
        <v>15808</v>
      </c>
      <c r="T72" s="490">
        <f t="shared" si="20"/>
        <v>18324.849315068492</v>
      </c>
      <c r="U72" s="491">
        <f t="shared" si="21"/>
        <v>182.26</v>
      </c>
      <c r="V72" s="498">
        <f>(O72-N72)*11%</f>
        <v>415.07400000000001</v>
      </c>
      <c r="W72" s="498"/>
      <c r="X72" s="498"/>
      <c r="Y72" s="498">
        <v>1770.74</v>
      </c>
      <c r="Z72" s="462">
        <f t="shared" si="22"/>
        <v>2368.0739999999996</v>
      </c>
      <c r="AA72" s="462">
        <f t="shared" si="23"/>
        <v>1655.3260000000005</v>
      </c>
      <c r="AB72" s="489">
        <v>1000</v>
      </c>
    </row>
    <row r="73" spans="1:28" s="507" customFormat="1" ht="12">
      <c r="A73" s="456">
        <v>70</v>
      </c>
      <c r="B73" s="466" t="s">
        <v>1641</v>
      </c>
      <c r="C73" s="497">
        <v>9901443044</v>
      </c>
      <c r="D73" s="459" t="s">
        <v>1642</v>
      </c>
      <c r="E73" s="460" t="s">
        <v>32</v>
      </c>
      <c r="F73" s="461">
        <v>31</v>
      </c>
      <c r="G73" s="498">
        <v>71.400000000000006</v>
      </c>
      <c r="H73" s="462">
        <f t="shared" si="12"/>
        <v>2213.4</v>
      </c>
      <c r="I73" s="462">
        <f t="shared" si="13"/>
        <v>8568</v>
      </c>
      <c r="J73" s="463">
        <v>4</v>
      </c>
      <c r="K73" s="534"/>
      <c r="L73" s="462">
        <f t="shared" si="14"/>
        <v>1760</v>
      </c>
      <c r="M73" s="462">
        <v>1510</v>
      </c>
      <c r="N73" s="462">
        <v>250</v>
      </c>
      <c r="O73" s="462">
        <f t="shared" si="15"/>
        <v>3973.4</v>
      </c>
      <c r="P73" s="488">
        <f t="shared" si="16"/>
        <v>1217.3333333333333</v>
      </c>
      <c r="Q73" s="489">
        <f t="shared" si="17"/>
        <v>1200.6575342465753</v>
      </c>
      <c r="R73" s="489">
        <f t="shared" si="18"/>
        <v>65.753424657534239</v>
      </c>
      <c r="S73" s="490">
        <f t="shared" si="19"/>
        <v>15608</v>
      </c>
      <c r="T73" s="490">
        <f t="shared" si="20"/>
        <v>18091.744292237443</v>
      </c>
      <c r="U73" s="491">
        <f t="shared" si="21"/>
        <v>179.84</v>
      </c>
      <c r="V73" s="498">
        <f>(O73-N73)*11%</f>
        <v>409.57400000000001</v>
      </c>
      <c r="W73" s="498">
        <v>10</v>
      </c>
      <c r="X73" s="498"/>
      <c r="Y73" s="498"/>
      <c r="Z73" s="462">
        <f t="shared" si="22"/>
        <v>599.41399999999999</v>
      </c>
      <c r="AA73" s="462">
        <f t="shared" si="23"/>
        <v>3373.9859999999999</v>
      </c>
      <c r="AB73" s="489">
        <v>1000</v>
      </c>
    </row>
    <row r="74" spans="1:28" s="507" customFormat="1" ht="12">
      <c r="A74" s="456">
        <v>71</v>
      </c>
      <c r="B74" s="466" t="s">
        <v>1643</v>
      </c>
      <c r="C74" s="497">
        <v>9901443087</v>
      </c>
      <c r="D74" s="459" t="s">
        <v>1644</v>
      </c>
      <c r="E74" s="460" t="s">
        <v>54</v>
      </c>
      <c r="F74" s="461">
        <v>31</v>
      </c>
      <c r="G74" s="498">
        <v>71.400000000000006</v>
      </c>
      <c r="H74" s="462">
        <f t="shared" si="12"/>
        <v>2213.4</v>
      </c>
      <c r="I74" s="462">
        <f t="shared" si="13"/>
        <v>8568</v>
      </c>
      <c r="J74" s="463">
        <v>4</v>
      </c>
      <c r="K74" s="534">
        <v>75</v>
      </c>
      <c r="L74" s="462">
        <f t="shared" si="14"/>
        <v>1760</v>
      </c>
      <c r="M74" s="462">
        <v>1510</v>
      </c>
      <c r="N74" s="462">
        <v>250</v>
      </c>
      <c r="O74" s="462">
        <f t="shared" si="15"/>
        <v>4048.4</v>
      </c>
      <c r="P74" s="488">
        <f t="shared" si="16"/>
        <v>1242.3333333333333</v>
      </c>
      <c r="Q74" s="489">
        <f t="shared" si="17"/>
        <v>1225.3150684931506</v>
      </c>
      <c r="R74" s="489">
        <f t="shared" si="18"/>
        <v>65.753424657534239</v>
      </c>
      <c r="S74" s="490">
        <f t="shared" si="19"/>
        <v>15908</v>
      </c>
      <c r="T74" s="490">
        <f t="shared" si="20"/>
        <v>18441.401826484016</v>
      </c>
      <c r="U74" s="491">
        <f t="shared" si="21"/>
        <v>183.46</v>
      </c>
      <c r="V74" s="498">
        <f>(O74-N74)*11%</f>
        <v>417.82400000000001</v>
      </c>
      <c r="W74" s="498">
        <v>10</v>
      </c>
      <c r="X74" s="498"/>
      <c r="Y74" s="498">
        <v>871.81</v>
      </c>
      <c r="Z74" s="462">
        <f t="shared" si="22"/>
        <v>1483.0940000000001</v>
      </c>
      <c r="AA74" s="462">
        <f t="shared" si="23"/>
        <v>2565.306</v>
      </c>
      <c r="AB74" s="489">
        <v>1000</v>
      </c>
    </row>
    <row r="75" spans="1:28" s="507" customFormat="1" ht="12">
      <c r="A75" s="456">
        <v>72</v>
      </c>
      <c r="B75" s="457" t="s">
        <v>1645</v>
      </c>
      <c r="C75" s="497">
        <v>9901443884</v>
      </c>
      <c r="D75" s="459" t="s">
        <v>1646</v>
      </c>
      <c r="E75" s="460" t="s">
        <v>32</v>
      </c>
      <c r="F75" s="461">
        <v>31</v>
      </c>
      <c r="G75" s="498">
        <v>71.400000000000006</v>
      </c>
      <c r="H75" s="462">
        <f t="shared" si="12"/>
        <v>2213.4</v>
      </c>
      <c r="I75" s="462">
        <f t="shared" si="13"/>
        <v>8568</v>
      </c>
      <c r="J75" s="463">
        <v>4</v>
      </c>
      <c r="K75" s="534">
        <v>50</v>
      </c>
      <c r="L75" s="462">
        <f t="shared" si="14"/>
        <v>1760</v>
      </c>
      <c r="M75" s="462">
        <v>1510</v>
      </c>
      <c r="N75" s="462">
        <v>250</v>
      </c>
      <c r="O75" s="462">
        <f t="shared" si="15"/>
        <v>4023.4</v>
      </c>
      <c r="P75" s="488">
        <f t="shared" si="16"/>
        <v>1234</v>
      </c>
      <c r="Q75" s="489">
        <f t="shared" si="17"/>
        <v>1217.0958904109589</v>
      </c>
      <c r="R75" s="489">
        <f t="shared" si="18"/>
        <v>65.753424657534239</v>
      </c>
      <c r="S75" s="490">
        <f t="shared" si="19"/>
        <v>15808</v>
      </c>
      <c r="T75" s="490">
        <f t="shared" si="20"/>
        <v>18324.849315068492</v>
      </c>
      <c r="U75" s="491">
        <f t="shared" si="21"/>
        <v>182.26</v>
      </c>
      <c r="V75" s="498">
        <f>(O75-N75)*11%</f>
        <v>415.07400000000001</v>
      </c>
      <c r="W75" s="498">
        <v>10</v>
      </c>
      <c r="X75" s="498"/>
      <c r="Y75" s="498">
        <v>3291.07</v>
      </c>
      <c r="Z75" s="462">
        <f t="shared" si="22"/>
        <v>3898.4040000000005</v>
      </c>
      <c r="AA75" s="462">
        <f t="shared" si="23"/>
        <v>124.99599999999964</v>
      </c>
      <c r="AB75" s="489">
        <v>1000</v>
      </c>
    </row>
    <row r="76" spans="1:28" s="507" customFormat="1" ht="12">
      <c r="A76" s="456">
        <v>73</v>
      </c>
      <c r="B76" s="457" t="s">
        <v>1647</v>
      </c>
      <c r="C76" s="497">
        <v>9901442806</v>
      </c>
      <c r="D76" s="459" t="s">
        <v>1648</v>
      </c>
      <c r="E76" s="460" t="s">
        <v>44</v>
      </c>
      <c r="F76" s="461">
        <v>31</v>
      </c>
      <c r="G76" s="498">
        <v>72.540000000000006</v>
      </c>
      <c r="H76" s="462">
        <f t="shared" si="12"/>
        <v>2248.7400000000002</v>
      </c>
      <c r="I76" s="462">
        <f t="shared" si="13"/>
        <v>8704.8000000000011</v>
      </c>
      <c r="J76" s="463">
        <v>4</v>
      </c>
      <c r="K76" s="534">
        <v>75</v>
      </c>
      <c r="L76" s="462">
        <f t="shared" si="14"/>
        <v>1760</v>
      </c>
      <c r="M76" s="462">
        <v>1510</v>
      </c>
      <c r="N76" s="462">
        <v>250</v>
      </c>
      <c r="O76" s="462">
        <f t="shared" si="15"/>
        <v>4083.7400000000002</v>
      </c>
      <c r="P76" s="488">
        <f t="shared" si="16"/>
        <v>1253.7333333333333</v>
      </c>
      <c r="Q76" s="489">
        <f t="shared" si="17"/>
        <v>1236.5589041095891</v>
      </c>
      <c r="R76" s="489">
        <f t="shared" si="18"/>
        <v>65.753424657534239</v>
      </c>
      <c r="S76" s="490">
        <f t="shared" si="19"/>
        <v>16044.800000000001</v>
      </c>
      <c r="T76" s="490">
        <f t="shared" si="20"/>
        <v>18600.845662100459</v>
      </c>
      <c r="U76" s="491">
        <f t="shared" si="21"/>
        <v>185.17</v>
      </c>
      <c r="V76" s="498"/>
      <c r="W76" s="498">
        <v>10</v>
      </c>
      <c r="X76" s="498"/>
      <c r="Y76" s="498">
        <v>1849.13</v>
      </c>
      <c r="Z76" s="462">
        <f t="shared" si="22"/>
        <v>2044.3000000000002</v>
      </c>
      <c r="AA76" s="462">
        <f t="shared" si="23"/>
        <v>2039.44</v>
      </c>
      <c r="AB76" s="489">
        <v>1000</v>
      </c>
    </row>
    <row r="77" spans="1:28" s="507" customFormat="1" ht="12">
      <c r="A77" s="456">
        <v>74</v>
      </c>
      <c r="B77" s="466" t="s">
        <v>1649</v>
      </c>
      <c r="C77" s="497">
        <v>9901442410</v>
      </c>
      <c r="D77" s="459" t="s">
        <v>1650</v>
      </c>
      <c r="E77" s="460" t="s">
        <v>32</v>
      </c>
      <c r="F77" s="461">
        <v>31</v>
      </c>
      <c r="G77" s="498">
        <v>71.400000000000006</v>
      </c>
      <c r="H77" s="462">
        <f t="shared" si="12"/>
        <v>2213.4</v>
      </c>
      <c r="I77" s="462">
        <f t="shared" si="13"/>
        <v>8568</v>
      </c>
      <c r="J77" s="463">
        <v>4</v>
      </c>
      <c r="K77" s="534">
        <v>75</v>
      </c>
      <c r="L77" s="462">
        <f t="shared" si="14"/>
        <v>1760</v>
      </c>
      <c r="M77" s="462">
        <v>1510</v>
      </c>
      <c r="N77" s="462">
        <v>250</v>
      </c>
      <c r="O77" s="462">
        <f t="shared" si="15"/>
        <v>4048.4</v>
      </c>
      <c r="P77" s="488">
        <f t="shared" si="16"/>
        <v>1242.3333333333333</v>
      </c>
      <c r="Q77" s="489">
        <f t="shared" si="17"/>
        <v>1225.3150684931506</v>
      </c>
      <c r="R77" s="489">
        <f t="shared" si="18"/>
        <v>65.753424657534239</v>
      </c>
      <c r="S77" s="490">
        <f t="shared" si="19"/>
        <v>15908</v>
      </c>
      <c r="T77" s="490">
        <f t="shared" si="20"/>
        <v>18441.401826484016</v>
      </c>
      <c r="U77" s="491">
        <f t="shared" si="21"/>
        <v>183.46</v>
      </c>
      <c r="V77" s="498">
        <f>(O77-N77)*11%</f>
        <v>417.82400000000001</v>
      </c>
      <c r="W77" s="498">
        <v>10</v>
      </c>
      <c r="X77" s="498"/>
      <c r="Y77" s="498">
        <v>1395.67</v>
      </c>
      <c r="Z77" s="462">
        <f t="shared" si="22"/>
        <v>2006.9540000000002</v>
      </c>
      <c r="AA77" s="462">
        <f t="shared" si="23"/>
        <v>2041.4459999999999</v>
      </c>
      <c r="AB77" s="489">
        <v>1000</v>
      </c>
    </row>
    <row r="78" spans="1:28" s="507" customFormat="1" ht="12">
      <c r="A78" s="456">
        <v>75</v>
      </c>
      <c r="B78" s="466" t="s">
        <v>1651</v>
      </c>
      <c r="C78" s="497">
        <v>9901442634</v>
      </c>
      <c r="D78" s="459" t="s">
        <v>1652</v>
      </c>
      <c r="E78" s="460" t="s">
        <v>32</v>
      </c>
      <c r="F78" s="461">
        <v>31</v>
      </c>
      <c r="G78" s="498">
        <v>71.400000000000006</v>
      </c>
      <c r="H78" s="462">
        <f t="shared" si="12"/>
        <v>2213.4</v>
      </c>
      <c r="I78" s="462">
        <f t="shared" si="13"/>
        <v>8568</v>
      </c>
      <c r="J78" s="463">
        <v>4</v>
      </c>
      <c r="K78" s="534">
        <v>75</v>
      </c>
      <c r="L78" s="462">
        <f t="shared" si="14"/>
        <v>1760</v>
      </c>
      <c r="M78" s="462">
        <v>1510</v>
      </c>
      <c r="N78" s="462">
        <v>250</v>
      </c>
      <c r="O78" s="462">
        <f t="shared" si="15"/>
        <v>4048.4</v>
      </c>
      <c r="P78" s="488">
        <f t="shared" si="16"/>
        <v>1242.3333333333333</v>
      </c>
      <c r="Q78" s="489">
        <f t="shared" si="17"/>
        <v>1225.3150684931506</v>
      </c>
      <c r="R78" s="489">
        <f t="shared" si="18"/>
        <v>65.753424657534239</v>
      </c>
      <c r="S78" s="490">
        <f t="shared" si="19"/>
        <v>15908</v>
      </c>
      <c r="T78" s="490">
        <f t="shared" si="20"/>
        <v>18441.401826484016</v>
      </c>
      <c r="U78" s="491">
        <f t="shared" si="21"/>
        <v>183.46</v>
      </c>
      <c r="V78" s="498"/>
      <c r="W78" s="498">
        <v>10</v>
      </c>
      <c r="X78" s="498"/>
      <c r="Y78" s="498">
        <v>1880.17</v>
      </c>
      <c r="Z78" s="462">
        <f t="shared" si="22"/>
        <v>2073.63</v>
      </c>
      <c r="AA78" s="462">
        <f t="shared" si="23"/>
        <v>1974.77</v>
      </c>
      <c r="AB78" s="489">
        <v>1000</v>
      </c>
    </row>
    <row r="79" spans="1:28" s="507" customFormat="1" ht="12">
      <c r="A79" s="456">
        <v>76</v>
      </c>
      <c r="B79" s="466" t="s">
        <v>1653</v>
      </c>
      <c r="C79" s="497">
        <v>9901443080</v>
      </c>
      <c r="D79" s="459" t="s">
        <v>1654</v>
      </c>
      <c r="E79" s="460" t="s">
        <v>32</v>
      </c>
      <c r="F79" s="461">
        <v>31</v>
      </c>
      <c r="G79" s="498">
        <v>71.400000000000006</v>
      </c>
      <c r="H79" s="462">
        <f t="shared" si="12"/>
        <v>2213.4</v>
      </c>
      <c r="I79" s="462">
        <f t="shared" si="13"/>
        <v>8568</v>
      </c>
      <c r="J79" s="463">
        <v>4</v>
      </c>
      <c r="K79" s="534">
        <v>50</v>
      </c>
      <c r="L79" s="462">
        <f t="shared" si="14"/>
        <v>1760</v>
      </c>
      <c r="M79" s="462">
        <v>1510</v>
      </c>
      <c r="N79" s="462">
        <v>250</v>
      </c>
      <c r="O79" s="462">
        <f t="shared" si="15"/>
        <v>4023.4</v>
      </c>
      <c r="P79" s="488">
        <f t="shared" si="16"/>
        <v>1234</v>
      </c>
      <c r="Q79" s="489">
        <f t="shared" si="17"/>
        <v>1217.0958904109589</v>
      </c>
      <c r="R79" s="489">
        <f t="shared" si="18"/>
        <v>65.753424657534239</v>
      </c>
      <c r="S79" s="490">
        <f t="shared" si="19"/>
        <v>15808</v>
      </c>
      <c r="T79" s="490">
        <f t="shared" si="20"/>
        <v>18324.849315068492</v>
      </c>
      <c r="U79" s="491">
        <f t="shared" si="21"/>
        <v>182.26</v>
      </c>
      <c r="V79" s="498">
        <f>(O79-N79)*11%</f>
        <v>415.07400000000001</v>
      </c>
      <c r="W79" s="498"/>
      <c r="X79" s="498"/>
      <c r="Y79" s="498"/>
      <c r="Z79" s="462">
        <f t="shared" si="22"/>
        <v>597.33400000000006</v>
      </c>
      <c r="AA79" s="462">
        <f t="shared" si="23"/>
        <v>3426.0659999999998</v>
      </c>
      <c r="AB79" s="489">
        <v>1000</v>
      </c>
    </row>
    <row r="80" spans="1:28" s="507" customFormat="1" ht="12">
      <c r="A80" s="456">
        <v>77</v>
      </c>
      <c r="B80" s="457" t="s">
        <v>1655</v>
      </c>
      <c r="C80" s="497">
        <v>9901443111</v>
      </c>
      <c r="D80" s="459" t="s">
        <v>1656</v>
      </c>
      <c r="E80" s="460" t="s">
        <v>72</v>
      </c>
      <c r="F80" s="461">
        <v>31</v>
      </c>
      <c r="G80" s="498">
        <v>71.400000000000006</v>
      </c>
      <c r="H80" s="462">
        <f t="shared" si="12"/>
        <v>2213.4</v>
      </c>
      <c r="I80" s="462">
        <f t="shared" si="13"/>
        <v>8568</v>
      </c>
      <c r="J80" s="463">
        <v>4</v>
      </c>
      <c r="K80" s="534">
        <v>50</v>
      </c>
      <c r="L80" s="462">
        <f t="shared" si="14"/>
        <v>1760</v>
      </c>
      <c r="M80" s="462">
        <v>1510</v>
      </c>
      <c r="N80" s="462">
        <v>250</v>
      </c>
      <c r="O80" s="462">
        <f t="shared" si="15"/>
        <v>4023.4</v>
      </c>
      <c r="P80" s="488">
        <f t="shared" si="16"/>
        <v>1234</v>
      </c>
      <c r="Q80" s="489">
        <f t="shared" si="17"/>
        <v>1217.0958904109589</v>
      </c>
      <c r="R80" s="489">
        <f t="shared" si="18"/>
        <v>65.753424657534239</v>
      </c>
      <c r="S80" s="490">
        <f t="shared" si="19"/>
        <v>15808</v>
      </c>
      <c r="T80" s="490">
        <f t="shared" si="20"/>
        <v>18324.849315068492</v>
      </c>
      <c r="U80" s="491">
        <f t="shared" si="21"/>
        <v>182.26</v>
      </c>
      <c r="V80" s="498"/>
      <c r="W80" s="498"/>
      <c r="X80" s="498"/>
      <c r="Y80" s="498"/>
      <c r="Z80" s="462">
        <f t="shared" si="22"/>
        <v>182.26</v>
      </c>
      <c r="AA80" s="462">
        <f t="shared" si="23"/>
        <v>3841.1400000000003</v>
      </c>
      <c r="AB80" s="489">
        <v>1000</v>
      </c>
    </row>
    <row r="81" spans="1:28" s="507" customFormat="1" ht="12">
      <c r="A81" s="456">
        <v>78</v>
      </c>
      <c r="B81" s="466" t="s">
        <v>1657</v>
      </c>
      <c r="C81" s="497">
        <v>9901443720</v>
      </c>
      <c r="D81" s="459" t="s">
        <v>1658</v>
      </c>
      <c r="E81" s="460" t="s">
        <v>32</v>
      </c>
      <c r="F81" s="461">
        <v>31</v>
      </c>
      <c r="G81" s="498">
        <v>71.400000000000006</v>
      </c>
      <c r="H81" s="462">
        <f t="shared" si="12"/>
        <v>2213.4</v>
      </c>
      <c r="I81" s="462">
        <f t="shared" si="13"/>
        <v>8568</v>
      </c>
      <c r="J81" s="463">
        <v>4</v>
      </c>
      <c r="K81" s="534">
        <v>75</v>
      </c>
      <c r="L81" s="462">
        <f t="shared" si="14"/>
        <v>1760</v>
      </c>
      <c r="M81" s="462">
        <v>1510</v>
      </c>
      <c r="N81" s="462">
        <v>250</v>
      </c>
      <c r="O81" s="462">
        <f t="shared" si="15"/>
        <v>4048.4</v>
      </c>
      <c r="P81" s="488">
        <f t="shared" si="16"/>
        <v>1242.3333333333333</v>
      </c>
      <c r="Q81" s="489">
        <f t="shared" si="17"/>
        <v>1225.3150684931506</v>
      </c>
      <c r="R81" s="489">
        <f t="shared" si="18"/>
        <v>65.753424657534239</v>
      </c>
      <c r="S81" s="490">
        <f t="shared" si="19"/>
        <v>15908</v>
      </c>
      <c r="T81" s="490">
        <f t="shared" si="20"/>
        <v>18441.401826484016</v>
      </c>
      <c r="U81" s="491">
        <f t="shared" si="21"/>
        <v>183.46</v>
      </c>
      <c r="V81" s="498" t="e">
        <f>(#REF!-#REF!)*11%</f>
        <v>#REF!</v>
      </c>
      <c r="W81" s="498">
        <v>10</v>
      </c>
      <c r="X81" s="498"/>
      <c r="Y81" s="498"/>
      <c r="Z81" s="462" t="e">
        <f t="shared" si="22"/>
        <v>#REF!</v>
      </c>
      <c r="AA81" s="462" t="e">
        <f t="shared" si="23"/>
        <v>#REF!</v>
      </c>
      <c r="AB81" s="489">
        <v>1000</v>
      </c>
    </row>
    <row r="82" spans="1:28" s="507" customFormat="1" ht="12">
      <c r="A82" s="456">
        <v>79</v>
      </c>
      <c r="B82" s="466" t="s">
        <v>1659</v>
      </c>
      <c r="C82" s="497">
        <v>9901442603</v>
      </c>
      <c r="D82" s="459" t="s">
        <v>1660</v>
      </c>
      <c r="E82" s="460" t="s">
        <v>32</v>
      </c>
      <c r="F82" s="461">
        <v>31</v>
      </c>
      <c r="G82" s="498">
        <v>71.400000000000006</v>
      </c>
      <c r="H82" s="462">
        <f t="shared" si="12"/>
        <v>2213.4</v>
      </c>
      <c r="I82" s="462">
        <f t="shared" si="13"/>
        <v>8568</v>
      </c>
      <c r="J82" s="463">
        <v>4</v>
      </c>
      <c r="K82" s="534">
        <v>50</v>
      </c>
      <c r="L82" s="462">
        <f t="shared" si="14"/>
        <v>1760</v>
      </c>
      <c r="M82" s="462">
        <v>1510</v>
      </c>
      <c r="N82" s="462">
        <v>250</v>
      </c>
      <c r="O82" s="462">
        <f t="shared" si="15"/>
        <v>4023.4</v>
      </c>
      <c r="P82" s="488">
        <f t="shared" si="16"/>
        <v>1234</v>
      </c>
      <c r="Q82" s="489">
        <f t="shared" si="17"/>
        <v>1217.0958904109589</v>
      </c>
      <c r="R82" s="489">
        <f t="shared" si="18"/>
        <v>65.753424657534239</v>
      </c>
      <c r="S82" s="490">
        <f t="shared" si="19"/>
        <v>15808</v>
      </c>
      <c r="T82" s="490">
        <f t="shared" si="20"/>
        <v>18324.849315068492</v>
      </c>
      <c r="U82" s="491">
        <f t="shared" si="21"/>
        <v>182.26</v>
      </c>
      <c r="V82" s="498">
        <f>(O82-N82)*11%</f>
        <v>415.07400000000001</v>
      </c>
      <c r="W82" s="498">
        <v>10</v>
      </c>
      <c r="X82" s="498"/>
      <c r="Y82" s="498"/>
      <c r="Z82" s="462">
        <f t="shared" si="22"/>
        <v>607.33400000000006</v>
      </c>
      <c r="AA82" s="462">
        <f t="shared" si="23"/>
        <v>3416.0659999999998</v>
      </c>
      <c r="AB82" s="489">
        <v>1000</v>
      </c>
    </row>
    <row r="83" spans="1:28" s="507" customFormat="1" ht="12">
      <c r="A83" s="456">
        <v>80</v>
      </c>
      <c r="B83" s="466" t="s">
        <v>1661</v>
      </c>
      <c r="C83" s="497">
        <v>9901443117</v>
      </c>
      <c r="D83" s="459" t="s">
        <v>1662</v>
      </c>
      <c r="E83" s="460" t="s">
        <v>32</v>
      </c>
      <c r="F83" s="461">
        <v>31</v>
      </c>
      <c r="G83" s="498">
        <v>71.400000000000006</v>
      </c>
      <c r="H83" s="462">
        <f t="shared" si="12"/>
        <v>2213.4</v>
      </c>
      <c r="I83" s="462">
        <f t="shared" si="13"/>
        <v>8568</v>
      </c>
      <c r="J83" s="463">
        <v>4</v>
      </c>
      <c r="K83" s="534">
        <v>50</v>
      </c>
      <c r="L83" s="462">
        <f t="shared" si="14"/>
        <v>1760</v>
      </c>
      <c r="M83" s="462">
        <v>1510</v>
      </c>
      <c r="N83" s="462">
        <v>250</v>
      </c>
      <c r="O83" s="462">
        <f t="shared" si="15"/>
        <v>4023.4</v>
      </c>
      <c r="P83" s="488">
        <f t="shared" si="16"/>
        <v>1234</v>
      </c>
      <c r="Q83" s="489">
        <f t="shared" si="17"/>
        <v>1217.0958904109589</v>
      </c>
      <c r="R83" s="489">
        <f t="shared" si="18"/>
        <v>65.753424657534239</v>
      </c>
      <c r="S83" s="490">
        <f t="shared" si="19"/>
        <v>15808</v>
      </c>
      <c r="T83" s="490">
        <f t="shared" si="20"/>
        <v>18324.849315068492</v>
      </c>
      <c r="U83" s="491">
        <f t="shared" si="21"/>
        <v>182.26</v>
      </c>
      <c r="V83" s="498"/>
      <c r="W83" s="498">
        <v>10</v>
      </c>
      <c r="X83" s="498"/>
      <c r="Y83" s="498">
        <v>1388.62</v>
      </c>
      <c r="Z83" s="462">
        <f t="shared" si="22"/>
        <v>1580.8799999999999</v>
      </c>
      <c r="AA83" s="462">
        <f t="shared" si="23"/>
        <v>2442.5200000000004</v>
      </c>
      <c r="AB83" s="489">
        <v>1000</v>
      </c>
    </row>
    <row r="84" spans="1:28" s="507" customFormat="1" ht="12">
      <c r="A84" s="456">
        <v>81</v>
      </c>
      <c r="B84" s="466" t="s">
        <v>1663</v>
      </c>
      <c r="C84" s="497">
        <v>9901443098</v>
      </c>
      <c r="D84" s="459" t="s">
        <v>1664</v>
      </c>
      <c r="E84" s="460" t="s">
        <v>32</v>
      </c>
      <c r="F84" s="461">
        <v>31</v>
      </c>
      <c r="G84" s="498">
        <v>71.400000000000006</v>
      </c>
      <c r="H84" s="462">
        <f t="shared" si="12"/>
        <v>2213.4</v>
      </c>
      <c r="I84" s="462">
        <f t="shared" si="13"/>
        <v>8568</v>
      </c>
      <c r="J84" s="463">
        <v>4</v>
      </c>
      <c r="K84" s="534">
        <v>50</v>
      </c>
      <c r="L84" s="462">
        <f t="shared" si="14"/>
        <v>1760</v>
      </c>
      <c r="M84" s="462">
        <v>1510</v>
      </c>
      <c r="N84" s="462">
        <v>250</v>
      </c>
      <c r="O84" s="462">
        <f t="shared" si="15"/>
        <v>4023.4</v>
      </c>
      <c r="P84" s="488">
        <f t="shared" si="16"/>
        <v>1234</v>
      </c>
      <c r="Q84" s="489">
        <f t="shared" si="17"/>
        <v>1217.0958904109589</v>
      </c>
      <c r="R84" s="489">
        <f t="shared" si="18"/>
        <v>65.753424657534239</v>
      </c>
      <c r="S84" s="490">
        <f t="shared" si="19"/>
        <v>15808</v>
      </c>
      <c r="T84" s="490">
        <f t="shared" si="20"/>
        <v>18324.849315068492</v>
      </c>
      <c r="U84" s="491">
        <f t="shared" si="21"/>
        <v>182.26</v>
      </c>
      <c r="V84" s="498"/>
      <c r="W84" s="498">
        <v>10</v>
      </c>
      <c r="X84" s="498"/>
      <c r="Y84" s="498">
        <v>1886.06</v>
      </c>
      <c r="Z84" s="462">
        <f t="shared" si="22"/>
        <v>2078.3199999999997</v>
      </c>
      <c r="AA84" s="462">
        <f t="shared" si="23"/>
        <v>1945.0800000000004</v>
      </c>
      <c r="AB84" s="489">
        <v>1000</v>
      </c>
    </row>
    <row r="85" spans="1:28" s="507" customFormat="1" ht="12">
      <c r="A85" s="456">
        <v>82</v>
      </c>
      <c r="B85" s="457" t="s">
        <v>1665</v>
      </c>
      <c r="C85" s="497">
        <v>9901443096</v>
      </c>
      <c r="D85" s="459" t="s">
        <v>1666</v>
      </c>
      <c r="E85" s="460" t="s">
        <v>32</v>
      </c>
      <c r="F85" s="461">
        <v>31</v>
      </c>
      <c r="G85" s="498">
        <v>71.400000000000006</v>
      </c>
      <c r="H85" s="462">
        <f t="shared" si="12"/>
        <v>2213.4</v>
      </c>
      <c r="I85" s="462">
        <f t="shared" si="13"/>
        <v>8568</v>
      </c>
      <c r="J85" s="463">
        <v>4</v>
      </c>
      <c r="K85" s="534">
        <v>75</v>
      </c>
      <c r="L85" s="462">
        <f t="shared" si="14"/>
        <v>1760</v>
      </c>
      <c r="M85" s="462">
        <v>1510</v>
      </c>
      <c r="N85" s="462">
        <v>250</v>
      </c>
      <c r="O85" s="462">
        <f t="shared" si="15"/>
        <v>4048.4</v>
      </c>
      <c r="P85" s="488">
        <f t="shared" si="16"/>
        <v>1242.3333333333333</v>
      </c>
      <c r="Q85" s="489">
        <f t="shared" si="17"/>
        <v>1225.3150684931506</v>
      </c>
      <c r="R85" s="489">
        <f t="shared" si="18"/>
        <v>65.753424657534239</v>
      </c>
      <c r="S85" s="490">
        <f t="shared" si="19"/>
        <v>15908</v>
      </c>
      <c r="T85" s="490">
        <f t="shared" si="20"/>
        <v>18441.401826484016</v>
      </c>
      <c r="U85" s="491">
        <f t="shared" si="21"/>
        <v>183.46</v>
      </c>
      <c r="V85" s="498"/>
      <c r="W85" s="498">
        <v>10</v>
      </c>
      <c r="X85" s="498"/>
      <c r="Y85" s="498"/>
      <c r="Z85" s="462">
        <f t="shared" si="22"/>
        <v>193.46</v>
      </c>
      <c r="AA85" s="462">
        <f t="shared" si="23"/>
        <v>3854.94</v>
      </c>
      <c r="AB85" s="489">
        <v>1000</v>
      </c>
    </row>
    <row r="86" spans="1:28" s="507" customFormat="1" ht="12">
      <c r="A86" s="456">
        <v>83</v>
      </c>
      <c r="B86" s="599" t="s">
        <v>1667</v>
      </c>
      <c r="C86" s="497">
        <v>9901442274</v>
      </c>
      <c r="D86" s="459" t="s">
        <v>1668</v>
      </c>
      <c r="E86" s="460" t="s">
        <v>44</v>
      </c>
      <c r="F86" s="461">
        <v>31</v>
      </c>
      <c r="G86" s="498">
        <v>72.540000000000006</v>
      </c>
      <c r="H86" s="462">
        <f t="shared" si="12"/>
        <v>2248.7400000000002</v>
      </c>
      <c r="I86" s="462">
        <f t="shared" si="13"/>
        <v>8704.8000000000011</v>
      </c>
      <c r="J86" s="463">
        <v>4</v>
      </c>
      <c r="K86" s="534">
        <v>50</v>
      </c>
      <c r="L86" s="462">
        <f t="shared" si="14"/>
        <v>1760</v>
      </c>
      <c r="M86" s="462">
        <v>1510</v>
      </c>
      <c r="N86" s="462">
        <v>250</v>
      </c>
      <c r="O86" s="462">
        <f t="shared" si="15"/>
        <v>4058.7400000000002</v>
      </c>
      <c r="P86" s="488">
        <f t="shared" si="16"/>
        <v>1245.4000000000001</v>
      </c>
      <c r="Q86" s="489">
        <f t="shared" si="17"/>
        <v>1228.3397260273973</v>
      </c>
      <c r="R86" s="489">
        <f t="shared" si="18"/>
        <v>65.753424657534239</v>
      </c>
      <c r="S86" s="490">
        <f t="shared" si="19"/>
        <v>15944.800000000001</v>
      </c>
      <c r="T86" s="490">
        <f t="shared" si="20"/>
        <v>18484.293150684935</v>
      </c>
      <c r="U86" s="491">
        <f t="shared" si="21"/>
        <v>183.96</v>
      </c>
      <c r="V86" s="498"/>
      <c r="W86" s="498">
        <v>10</v>
      </c>
      <c r="X86" s="498"/>
      <c r="Y86" s="498">
        <v>1630.85</v>
      </c>
      <c r="Z86" s="462">
        <f t="shared" si="22"/>
        <v>1824.81</v>
      </c>
      <c r="AA86" s="462">
        <f t="shared" si="23"/>
        <v>2233.9300000000003</v>
      </c>
      <c r="AB86" s="489">
        <v>1000</v>
      </c>
    </row>
    <row r="87" spans="1:28" s="507" customFormat="1" ht="12">
      <c r="A87" s="456">
        <v>84</v>
      </c>
      <c r="B87" s="466" t="s">
        <v>1669</v>
      </c>
      <c r="C87" s="497">
        <v>9901443171</v>
      </c>
      <c r="D87" s="459" t="s">
        <v>1670</v>
      </c>
      <c r="E87" s="460" t="s">
        <v>32</v>
      </c>
      <c r="F87" s="461">
        <v>31</v>
      </c>
      <c r="G87" s="498">
        <v>71.400000000000006</v>
      </c>
      <c r="H87" s="462">
        <f t="shared" si="12"/>
        <v>2213.4</v>
      </c>
      <c r="I87" s="462">
        <f t="shared" si="13"/>
        <v>8568</v>
      </c>
      <c r="J87" s="463">
        <v>4</v>
      </c>
      <c r="K87" s="534">
        <v>50</v>
      </c>
      <c r="L87" s="462">
        <f t="shared" si="14"/>
        <v>1760</v>
      </c>
      <c r="M87" s="462">
        <v>1510</v>
      </c>
      <c r="N87" s="462">
        <v>250</v>
      </c>
      <c r="O87" s="462">
        <f t="shared" si="15"/>
        <v>4023.4</v>
      </c>
      <c r="P87" s="488">
        <f t="shared" si="16"/>
        <v>1234</v>
      </c>
      <c r="Q87" s="489">
        <f t="shared" si="17"/>
        <v>1217.0958904109589</v>
      </c>
      <c r="R87" s="489">
        <f t="shared" si="18"/>
        <v>65.753424657534239</v>
      </c>
      <c r="S87" s="490">
        <f t="shared" si="19"/>
        <v>15808</v>
      </c>
      <c r="T87" s="490">
        <f t="shared" si="20"/>
        <v>18324.849315068492</v>
      </c>
      <c r="U87" s="491">
        <f t="shared" si="21"/>
        <v>182.26</v>
      </c>
      <c r="V87" s="498"/>
      <c r="W87" s="498">
        <v>10</v>
      </c>
      <c r="X87" s="498"/>
      <c r="Y87" s="498">
        <v>1781.42</v>
      </c>
      <c r="Z87" s="462">
        <f t="shared" si="22"/>
        <v>1973.68</v>
      </c>
      <c r="AA87" s="462">
        <f t="shared" si="23"/>
        <v>2049.7200000000003</v>
      </c>
      <c r="AB87" s="489">
        <v>1000</v>
      </c>
    </row>
    <row r="88" spans="1:28" s="507" customFormat="1" ht="12">
      <c r="A88" s="456">
        <v>85</v>
      </c>
      <c r="B88" s="466" t="s">
        <v>1671</v>
      </c>
      <c r="C88" s="497">
        <v>9901442392</v>
      </c>
      <c r="D88" s="459" t="s">
        <v>1672</v>
      </c>
      <c r="E88" s="460" t="s">
        <v>32</v>
      </c>
      <c r="F88" s="461">
        <v>31</v>
      </c>
      <c r="G88" s="498">
        <v>71.400000000000006</v>
      </c>
      <c r="H88" s="462">
        <f t="shared" si="12"/>
        <v>2213.4</v>
      </c>
      <c r="I88" s="462">
        <f t="shared" si="13"/>
        <v>8568</v>
      </c>
      <c r="J88" s="463">
        <v>4</v>
      </c>
      <c r="K88" s="534">
        <v>75</v>
      </c>
      <c r="L88" s="462">
        <f t="shared" si="14"/>
        <v>1760</v>
      </c>
      <c r="M88" s="462">
        <v>1510</v>
      </c>
      <c r="N88" s="462">
        <v>250</v>
      </c>
      <c r="O88" s="462">
        <f t="shared" si="15"/>
        <v>4048.4</v>
      </c>
      <c r="P88" s="488">
        <f t="shared" si="16"/>
        <v>1242.3333333333333</v>
      </c>
      <c r="Q88" s="489">
        <f t="shared" si="17"/>
        <v>1225.3150684931506</v>
      </c>
      <c r="R88" s="489">
        <f t="shared" si="18"/>
        <v>65.753424657534239</v>
      </c>
      <c r="S88" s="490">
        <f t="shared" si="19"/>
        <v>15908</v>
      </c>
      <c r="T88" s="490">
        <f t="shared" si="20"/>
        <v>18441.401826484016</v>
      </c>
      <c r="U88" s="491">
        <f t="shared" si="21"/>
        <v>183.46</v>
      </c>
      <c r="V88" s="498"/>
      <c r="W88" s="498">
        <v>10</v>
      </c>
      <c r="X88" s="498"/>
      <c r="Y88" s="498">
        <v>1758.89</v>
      </c>
      <c r="Z88" s="462">
        <f t="shared" si="22"/>
        <v>1952.3500000000001</v>
      </c>
      <c r="AA88" s="462">
        <f t="shared" si="23"/>
        <v>2096.0500000000002</v>
      </c>
      <c r="AB88" s="489">
        <v>1000</v>
      </c>
    </row>
    <row r="89" spans="1:28" s="507" customFormat="1" ht="12">
      <c r="A89" s="456">
        <v>86</v>
      </c>
      <c r="B89" s="457" t="s">
        <v>1673</v>
      </c>
      <c r="C89" s="497">
        <v>9901442610</v>
      </c>
      <c r="D89" s="459" t="s">
        <v>1674</v>
      </c>
      <c r="E89" s="460" t="s">
        <v>44</v>
      </c>
      <c r="F89" s="461">
        <v>31</v>
      </c>
      <c r="G89" s="498">
        <v>72.540000000000006</v>
      </c>
      <c r="H89" s="462">
        <f t="shared" si="12"/>
        <v>2248.7400000000002</v>
      </c>
      <c r="I89" s="462">
        <f t="shared" si="13"/>
        <v>8704.8000000000011</v>
      </c>
      <c r="J89" s="463">
        <v>4</v>
      </c>
      <c r="K89" s="534">
        <v>50</v>
      </c>
      <c r="L89" s="462">
        <f t="shared" si="14"/>
        <v>1760</v>
      </c>
      <c r="M89" s="462">
        <v>1510</v>
      </c>
      <c r="N89" s="462">
        <v>250</v>
      </c>
      <c r="O89" s="462">
        <f t="shared" si="15"/>
        <v>4058.7400000000002</v>
      </c>
      <c r="P89" s="488">
        <f t="shared" si="16"/>
        <v>1245.4000000000001</v>
      </c>
      <c r="Q89" s="489">
        <f t="shared" si="17"/>
        <v>1228.3397260273973</v>
      </c>
      <c r="R89" s="489">
        <f t="shared" si="18"/>
        <v>65.753424657534239</v>
      </c>
      <c r="S89" s="490">
        <f t="shared" si="19"/>
        <v>15944.800000000001</v>
      </c>
      <c r="T89" s="490">
        <f t="shared" si="20"/>
        <v>18484.293150684935</v>
      </c>
      <c r="U89" s="491">
        <f t="shared" si="21"/>
        <v>183.96</v>
      </c>
      <c r="V89" s="498"/>
      <c r="W89" s="498"/>
      <c r="X89" s="498"/>
      <c r="Y89" s="498">
        <v>1084.2</v>
      </c>
      <c r="Z89" s="462">
        <f t="shared" si="22"/>
        <v>1268.1600000000001</v>
      </c>
      <c r="AA89" s="462">
        <f t="shared" si="23"/>
        <v>2790.58</v>
      </c>
      <c r="AB89" s="489">
        <v>1000</v>
      </c>
    </row>
    <row r="90" spans="1:28" s="507" customFormat="1" ht="12">
      <c r="A90" s="456">
        <v>87</v>
      </c>
      <c r="B90" s="457" t="s">
        <v>1675</v>
      </c>
      <c r="C90" s="497">
        <v>9901106633</v>
      </c>
      <c r="D90" s="459" t="s">
        <v>1676</v>
      </c>
      <c r="E90" s="460" t="s">
        <v>83</v>
      </c>
      <c r="F90" s="461">
        <v>31</v>
      </c>
      <c r="G90" s="498">
        <v>71.400000000000006</v>
      </c>
      <c r="H90" s="462">
        <f t="shared" si="12"/>
        <v>2213.4</v>
      </c>
      <c r="I90" s="462">
        <f t="shared" si="13"/>
        <v>8568</v>
      </c>
      <c r="J90" s="463">
        <v>4</v>
      </c>
      <c r="K90" s="534"/>
      <c r="L90" s="462">
        <f t="shared" si="14"/>
        <v>1760</v>
      </c>
      <c r="M90" s="462">
        <v>1510</v>
      </c>
      <c r="N90" s="462">
        <v>250</v>
      </c>
      <c r="O90" s="462">
        <f t="shared" si="15"/>
        <v>3973.4</v>
      </c>
      <c r="P90" s="488">
        <f t="shared" si="16"/>
        <v>1217.3333333333333</v>
      </c>
      <c r="Q90" s="489">
        <f t="shared" si="17"/>
        <v>1200.6575342465753</v>
      </c>
      <c r="R90" s="489">
        <f t="shared" si="18"/>
        <v>65.753424657534239</v>
      </c>
      <c r="S90" s="490">
        <f t="shared" si="19"/>
        <v>15608</v>
      </c>
      <c r="T90" s="490">
        <f t="shared" si="20"/>
        <v>18091.744292237443</v>
      </c>
      <c r="U90" s="491">
        <f t="shared" si="21"/>
        <v>179.84</v>
      </c>
      <c r="V90" s="498"/>
      <c r="W90" s="498"/>
      <c r="X90" s="498"/>
      <c r="Y90" s="498"/>
      <c r="Z90" s="462">
        <f t="shared" si="22"/>
        <v>179.84</v>
      </c>
      <c r="AA90" s="462">
        <f t="shared" si="23"/>
        <v>3793.56</v>
      </c>
      <c r="AB90" s="489">
        <v>1000</v>
      </c>
    </row>
    <row r="91" spans="1:28" s="507" customFormat="1" ht="12">
      <c r="A91" s="456">
        <v>88</v>
      </c>
      <c r="B91" s="457" t="s">
        <v>1677</v>
      </c>
      <c r="C91" s="497">
        <v>9901442844</v>
      </c>
      <c r="D91" s="459" t="s">
        <v>1678</v>
      </c>
      <c r="E91" s="460" t="s">
        <v>32</v>
      </c>
      <c r="F91" s="461">
        <v>31</v>
      </c>
      <c r="G91" s="498">
        <v>71.400000000000006</v>
      </c>
      <c r="H91" s="462">
        <f t="shared" si="12"/>
        <v>2213.4</v>
      </c>
      <c r="I91" s="462">
        <f t="shared" si="13"/>
        <v>8568</v>
      </c>
      <c r="J91" s="463">
        <v>4</v>
      </c>
      <c r="K91" s="534">
        <v>50</v>
      </c>
      <c r="L91" s="462">
        <f t="shared" si="14"/>
        <v>1760</v>
      </c>
      <c r="M91" s="462">
        <v>1510</v>
      </c>
      <c r="N91" s="462">
        <v>250</v>
      </c>
      <c r="O91" s="462">
        <f t="shared" si="15"/>
        <v>4023.4</v>
      </c>
      <c r="P91" s="488">
        <f t="shared" si="16"/>
        <v>1234</v>
      </c>
      <c r="Q91" s="489">
        <f t="shared" si="17"/>
        <v>1217.0958904109589</v>
      </c>
      <c r="R91" s="489">
        <f t="shared" si="18"/>
        <v>65.753424657534239</v>
      </c>
      <c r="S91" s="490">
        <f t="shared" si="19"/>
        <v>15808</v>
      </c>
      <c r="T91" s="490">
        <f t="shared" si="20"/>
        <v>18324.849315068492</v>
      </c>
      <c r="U91" s="491">
        <f t="shared" si="21"/>
        <v>182.26</v>
      </c>
      <c r="V91" s="498">
        <f>(O94-N94)*11%</f>
        <v>415.07400000000001</v>
      </c>
      <c r="W91" s="498">
        <v>10</v>
      </c>
      <c r="X91" s="498"/>
      <c r="Y91" s="498">
        <v>1310.51</v>
      </c>
      <c r="Z91" s="462">
        <f t="shared" si="22"/>
        <v>1917.8440000000001</v>
      </c>
      <c r="AA91" s="462">
        <f t="shared" si="23"/>
        <v>2105.556</v>
      </c>
      <c r="AB91" s="489">
        <v>1000</v>
      </c>
    </row>
    <row r="92" spans="1:28" s="507" customFormat="1" ht="12">
      <c r="A92" s="456">
        <v>89</v>
      </c>
      <c r="B92" s="457" t="s">
        <v>1679</v>
      </c>
      <c r="C92" s="497">
        <v>9901443107</v>
      </c>
      <c r="D92" s="459" t="s">
        <v>1680</v>
      </c>
      <c r="E92" s="460" t="s">
        <v>32</v>
      </c>
      <c r="F92" s="461">
        <v>31</v>
      </c>
      <c r="G92" s="498">
        <v>71.400000000000006</v>
      </c>
      <c r="H92" s="462">
        <f t="shared" si="12"/>
        <v>2213.4</v>
      </c>
      <c r="I92" s="462">
        <f t="shared" si="13"/>
        <v>8568</v>
      </c>
      <c r="J92" s="463">
        <v>4</v>
      </c>
      <c r="K92" s="534">
        <v>50</v>
      </c>
      <c r="L92" s="462">
        <f t="shared" si="14"/>
        <v>1760</v>
      </c>
      <c r="M92" s="462">
        <v>1510</v>
      </c>
      <c r="N92" s="462">
        <v>250</v>
      </c>
      <c r="O92" s="462">
        <f t="shared" si="15"/>
        <v>4023.4</v>
      </c>
      <c r="P92" s="488">
        <f t="shared" si="16"/>
        <v>1234</v>
      </c>
      <c r="Q92" s="489">
        <f t="shared" si="17"/>
        <v>1217.0958904109589</v>
      </c>
      <c r="R92" s="489">
        <f t="shared" si="18"/>
        <v>65.753424657534239</v>
      </c>
      <c r="S92" s="490">
        <f t="shared" si="19"/>
        <v>15808</v>
      </c>
      <c r="T92" s="490">
        <f t="shared" si="20"/>
        <v>18324.849315068492</v>
      </c>
      <c r="U92" s="491">
        <f t="shared" si="21"/>
        <v>182.26</v>
      </c>
      <c r="V92" s="498">
        <f>(O92-N92)*11%</f>
        <v>415.07400000000001</v>
      </c>
      <c r="W92" s="498">
        <v>10</v>
      </c>
      <c r="X92" s="498"/>
      <c r="Y92" s="498"/>
      <c r="Z92" s="462">
        <f t="shared" si="22"/>
        <v>607.33400000000006</v>
      </c>
      <c r="AA92" s="462">
        <f t="shared" si="23"/>
        <v>3416.0659999999998</v>
      </c>
      <c r="AB92" s="489">
        <v>1000</v>
      </c>
    </row>
    <row r="93" spans="1:28" s="507" customFormat="1" ht="12">
      <c r="A93" s="456">
        <v>90</v>
      </c>
      <c r="B93" s="466" t="s">
        <v>1681</v>
      </c>
      <c r="C93" s="497">
        <v>9901442633</v>
      </c>
      <c r="D93" s="459" t="s">
        <v>1682</v>
      </c>
      <c r="E93" s="460" t="s">
        <v>32</v>
      </c>
      <c r="F93" s="461">
        <v>31</v>
      </c>
      <c r="G93" s="498">
        <v>71.400000000000006</v>
      </c>
      <c r="H93" s="462">
        <f t="shared" si="12"/>
        <v>2213.4</v>
      </c>
      <c r="I93" s="462">
        <f t="shared" si="13"/>
        <v>8568</v>
      </c>
      <c r="J93" s="463">
        <v>4</v>
      </c>
      <c r="K93" s="534">
        <v>75</v>
      </c>
      <c r="L93" s="462">
        <f t="shared" si="14"/>
        <v>1760</v>
      </c>
      <c r="M93" s="462">
        <v>1510</v>
      </c>
      <c r="N93" s="462">
        <v>250</v>
      </c>
      <c r="O93" s="462">
        <f t="shared" si="15"/>
        <v>4048.4</v>
      </c>
      <c r="P93" s="488">
        <f t="shared" si="16"/>
        <v>1242.3333333333333</v>
      </c>
      <c r="Q93" s="489">
        <f t="shared" si="17"/>
        <v>1225.3150684931506</v>
      </c>
      <c r="R93" s="489">
        <f t="shared" si="18"/>
        <v>65.753424657534239</v>
      </c>
      <c r="S93" s="490">
        <f t="shared" si="19"/>
        <v>15908</v>
      </c>
      <c r="T93" s="490">
        <f t="shared" si="20"/>
        <v>18441.401826484016</v>
      </c>
      <c r="U93" s="491">
        <f t="shared" si="21"/>
        <v>183.46</v>
      </c>
      <c r="V93" s="498">
        <f>(O93-N93)*11%</f>
        <v>417.82400000000001</v>
      </c>
      <c r="W93" s="498">
        <v>10</v>
      </c>
      <c r="X93" s="498"/>
      <c r="Y93" s="498"/>
      <c r="Z93" s="462">
        <f t="shared" si="22"/>
        <v>611.28399999999999</v>
      </c>
      <c r="AA93" s="462">
        <f t="shared" si="23"/>
        <v>3437.116</v>
      </c>
      <c r="AB93" s="489">
        <v>1000</v>
      </c>
    </row>
    <row r="94" spans="1:28" s="507" customFormat="1" ht="12">
      <c r="A94" s="456">
        <v>91</v>
      </c>
      <c r="B94" s="457" t="s">
        <v>1683</v>
      </c>
      <c r="C94" s="497">
        <v>9901442846</v>
      </c>
      <c r="D94" s="459" t="s">
        <v>1684</v>
      </c>
      <c r="E94" s="460" t="s">
        <v>32</v>
      </c>
      <c r="F94" s="461">
        <v>31</v>
      </c>
      <c r="G94" s="498">
        <v>71.400000000000006</v>
      </c>
      <c r="H94" s="462">
        <f t="shared" si="12"/>
        <v>2213.4</v>
      </c>
      <c r="I94" s="462">
        <f t="shared" si="13"/>
        <v>8568</v>
      </c>
      <c r="J94" s="463">
        <v>4</v>
      </c>
      <c r="K94" s="534">
        <v>50</v>
      </c>
      <c r="L94" s="462">
        <f t="shared" si="14"/>
        <v>1760</v>
      </c>
      <c r="M94" s="462">
        <v>1510</v>
      </c>
      <c r="N94" s="462">
        <v>250</v>
      </c>
      <c r="O94" s="462">
        <f t="shared" si="15"/>
        <v>4023.4</v>
      </c>
      <c r="P94" s="488">
        <f t="shared" si="16"/>
        <v>1234</v>
      </c>
      <c r="Q94" s="489">
        <f t="shared" si="17"/>
        <v>1217.0958904109589</v>
      </c>
      <c r="R94" s="489">
        <f t="shared" si="18"/>
        <v>65.753424657534239</v>
      </c>
      <c r="S94" s="490">
        <f t="shared" si="19"/>
        <v>15808</v>
      </c>
      <c r="T94" s="490">
        <f t="shared" si="20"/>
        <v>18324.849315068492</v>
      </c>
      <c r="U94" s="491">
        <f t="shared" si="21"/>
        <v>182.26</v>
      </c>
      <c r="V94" s="498"/>
      <c r="W94" s="498">
        <v>10</v>
      </c>
      <c r="X94" s="498"/>
      <c r="Y94" s="498"/>
      <c r="Z94" s="462">
        <f t="shared" si="22"/>
        <v>192.26</v>
      </c>
      <c r="AA94" s="462">
        <f t="shared" si="23"/>
        <v>3831.1400000000003</v>
      </c>
      <c r="AB94" s="489">
        <v>1000</v>
      </c>
    </row>
    <row r="95" spans="1:28" s="507" customFormat="1" ht="12">
      <c r="A95" s="456">
        <v>92</v>
      </c>
      <c r="B95" s="466" t="s">
        <v>1685</v>
      </c>
      <c r="C95" s="497">
        <v>9901443093</v>
      </c>
      <c r="D95" s="459" t="s">
        <v>1686</v>
      </c>
      <c r="E95" s="460" t="s">
        <v>54</v>
      </c>
      <c r="F95" s="461">
        <v>31</v>
      </c>
      <c r="G95" s="498">
        <v>71.400000000000006</v>
      </c>
      <c r="H95" s="462">
        <f t="shared" si="12"/>
        <v>2213.4</v>
      </c>
      <c r="I95" s="462">
        <f t="shared" si="13"/>
        <v>8568</v>
      </c>
      <c r="J95" s="463">
        <v>4</v>
      </c>
      <c r="K95" s="534">
        <v>75</v>
      </c>
      <c r="L95" s="462">
        <f t="shared" si="14"/>
        <v>1760</v>
      </c>
      <c r="M95" s="462">
        <v>1510</v>
      </c>
      <c r="N95" s="462">
        <v>250</v>
      </c>
      <c r="O95" s="462">
        <f t="shared" si="15"/>
        <v>4048.4</v>
      </c>
      <c r="P95" s="488">
        <f t="shared" si="16"/>
        <v>1242.3333333333333</v>
      </c>
      <c r="Q95" s="489">
        <f t="shared" si="17"/>
        <v>1225.3150684931506</v>
      </c>
      <c r="R95" s="489">
        <f t="shared" si="18"/>
        <v>65.753424657534239</v>
      </c>
      <c r="S95" s="490">
        <f t="shared" si="19"/>
        <v>15908</v>
      </c>
      <c r="T95" s="490">
        <f t="shared" si="20"/>
        <v>18441.401826484016</v>
      </c>
      <c r="U95" s="491">
        <f t="shared" si="21"/>
        <v>183.46</v>
      </c>
      <c r="V95" s="498">
        <f>(O95-N95)*11%</f>
        <v>417.82400000000001</v>
      </c>
      <c r="W95" s="498">
        <v>10</v>
      </c>
      <c r="X95" s="498"/>
      <c r="Y95" s="498">
        <v>964.62</v>
      </c>
      <c r="Z95" s="462">
        <f t="shared" si="22"/>
        <v>1575.904</v>
      </c>
      <c r="AA95" s="462">
        <f t="shared" si="23"/>
        <v>2472.4960000000001</v>
      </c>
      <c r="AB95" s="489">
        <v>1000</v>
      </c>
    </row>
    <row r="96" spans="1:28" s="507" customFormat="1" ht="12">
      <c r="A96" s="456">
        <v>93</v>
      </c>
      <c r="B96" s="466" t="s">
        <v>1687</v>
      </c>
      <c r="C96" s="497">
        <v>9901443090</v>
      </c>
      <c r="D96" s="459" t="s">
        <v>1688</v>
      </c>
      <c r="E96" s="460" t="s">
        <v>54</v>
      </c>
      <c r="F96" s="461">
        <v>31</v>
      </c>
      <c r="G96" s="498">
        <v>71.400000000000006</v>
      </c>
      <c r="H96" s="462">
        <f t="shared" si="12"/>
        <v>2213.4</v>
      </c>
      <c r="I96" s="462">
        <f t="shared" si="13"/>
        <v>8568</v>
      </c>
      <c r="J96" s="463">
        <v>4</v>
      </c>
      <c r="K96" s="533">
        <v>35</v>
      </c>
      <c r="L96" s="462">
        <f t="shared" si="14"/>
        <v>1760</v>
      </c>
      <c r="M96" s="462">
        <v>1510</v>
      </c>
      <c r="N96" s="462">
        <v>250</v>
      </c>
      <c r="O96" s="462">
        <f t="shared" si="15"/>
        <v>4008.4</v>
      </c>
      <c r="P96" s="488">
        <f t="shared" si="16"/>
        <v>1229</v>
      </c>
      <c r="Q96" s="489">
        <f t="shared" si="17"/>
        <v>1212.1643835616437</v>
      </c>
      <c r="R96" s="489">
        <f t="shared" si="18"/>
        <v>65.753424657534239</v>
      </c>
      <c r="S96" s="490">
        <f t="shared" si="19"/>
        <v>15748</v>
      </c>
      <c r="T96" s="490">
        <f t="shared" si="20"/>
        <v>18254.917808219179</v>
      </c>
      <c r="U96" s="491">
        <f t="shared" si="21"/>
        <v>181.53</v>
      </c>
      <c r="V96" s="498"/>
      <c r="W96" s="498">
        <v>10</v>
      </c>
      <c r="X96" s="498"/>
      <c r="Y96" s="498">
        <v>1387.82</v>
      </c>
      <c r="Z96" s="462">
        <f t="shared" si="22"/>
        <v>1579.35</v>
      </c>
      <c r="AA96" s="462">
        <f t="shared" si="23"/>
        <v>2429.0500000000002</v>
      </c>
      <c r="AB96" s="489">
        <v>1000</v>
      </c>
    </row>
    <row r="97" spans="1:28" s="507" customFormat="1" ht="12">
      <c r="A97" s="456">
        <v>94</v>
      </c>
      <c r="B97" s="466" t="s">
        <v>1689</v>
      </c>
      <c r="C97" s="497">
        <v>9901443172</v>
      </c>
      <c r="D97" s="459" t="s">
        <v>1690</v>
      </c>
      <c r="E97" s="460" t="s">
        <v>32</v>
      </c>
      <c r="F97" s="461">
        <v>31</v>
      </c>
      <c r="G97" s="498">
        <v>71.400000000000006</v>
      </c>
      <c r="H97" s="462">
        <f t="shared" si="12"/>
        <v>2213.4</v>
      </c>
      <c r="I97" s="462">
        <f t="shared" si="13"/>
        <v>8568</v>
      </c>
      <c r="J97" s="463">
        <v>4</v>
      </c>
      <c r="K97" s="534">
        <v>50</v>
      </c>
      <c r="L97" s="462">
        <f t="shared" si="14"/>
        <v>1760</v>
      </c>
      <c r="M97" s="462">
        <v>1510</v>
      </c>
      <c r="N97" s="462">
        <v>250</v>
      </c>
      <c r="O97" s="462">
        <f t="shared" si="15"/>
        <v>4023.4</v>
      </c>
      <c r="P97" s="488">
        <f t="shared" si="16"/>
        <v>1234</v>
      </c>
      <c r="Q97" s="489">
        <f t="shared" si="17"/>
        <v>1217.0958904109589</v>
      </c>
      <c r="R97" s="489">
        <f t="shared" si="18"/>
        <v>65.753424657534239</v>
      </c>
      <c r="S97" s="490">
        <f t="shared" si="19"/>
        <v>15808</v>
      </c>
      <c r="T97" s="490">
        <f t="shared" si="20"/>
        <v>18324.849315068492</v>
      </c>
      <c r="U97" s="491">
        <f t="shared" si="21"/>
        <v>182.26</v>
      </c>
      <c r="V97" s="498"/>
      <c r="W97" s="498">
        <v>10</v>
      </c>
      <c r="X97" s="498"/>
      <c r="Y97" s="498">
        <v>1781.42</v>
      </c>
      <c r="Z97" s="462">
        <f t="shared" si="22"/>
        <v>1973.68</v>
      </c>
      <c r="AA97" s="462">
        <f t="shared" si="23"/>
        <v>2049.7200000000003</v>
      </c>
      <c r="AB97" s="489">
        <v>1000</v>
      </c>
    </row>
    <row r="98" spans="1:28" s="507" customFormat="1" ht="12">
      <c r="A98" s="456">
        <v>95</v>
      </c>
      <c r="B98" s="466" t="s">
        <v>1691</v>
      </c>
      <c r="C98" s="497">
        <v>9901442604</v>
      </c>
      <c r="D98" s="459" t="s">
        <v>1692</v>
      </c>
      <c r="E98" s="460" t="s">
        <v>44</v>
      </c>
      <c r="F98" s="461">
        <v>31</v>
      </c>
      <c r="G98" s="498">
        <v>72.540000000000006</v>
      </c>
      <c r="H98" s="462">
        <f t="shared" si="12"/>
        <v>2248.7400000000002</v>
      </c>
      <c r="I98" s="462">
        <f t="shared" si="13"/>
        <v>8704.8000000000011</v>
      </c>
      <c r="J98" s="463">
        <v>4</v>
      </c>
      <c r="K98" s="534">
        <v>50</v>
      </c>
      <c r="L98" s="462">
        <f t="shared" si="14"/>
        <v>1760</v>
      </c>
      <c r="M98" s="462">
        <v>1510</v>
      </c>
      <c r="N98" s="462">
        <v>250</v>
      </c>
      <c r="O98" s="462">
        <f t="shared" si="15"/>
        <v>4058.7400000000002</v>
      </c>
      <c r="P98" s="488">
        <f t="shared" si="16"/>
        <v>1245.4000000000001</v>
      </c>
      <c r="Q98" s="489">
        <f t="shared" si="17"/>
        <v>1228.3397260273973</v>
      </c>
      <c r="R98" s="489">
        <f t="shared" si="18"/>
        <v>65.753424657534239</v>
      </c>
      <c r="S98" s="490">
        <f t="shared" si="19"/>
        <v>15944.800000000001</v>
      </c>
      <c r="T98" s="490">
        <f t="shared" si="20"/>
        <v>18484.293150684935</v>
      </c>
      <c r="U98" s="491">
        <f t="shared" si="21"/>
        <v>183.96</v>
      </c>
      <c r="V98" s="498"/>
      <c r="W98" s="498">
        <v>10</v>
      </c>
      <c r="X98" s="498"/>
      <c r="Y98" s="498">
        <v>661.24</v>
      </c>
      <c r="Z98" s="462">
        <f t="shared" si="22"/>
        <v>855.2</v>
      </c>
      <c r="AA98" s="462">
        <f t="shared" si="23"/>
        <v>3203.54</v>
      </c>
      <c r="AB98" s="489">
        <v>1000</v>
      </c>
    </row>
    <row r="99" spans="1:28" s="507" customFormat="1" ht="12">
      <c r="A99" s="456">
        <v>96</v>
      </c>
      <c r="B99" s="457" t="s">
        <v>1693</v>
      </c>
      <c r="C99" s="497">
        <v>9901443088</v>
      </c>
      <c r="D99" s="459" t="s">
        <v>1694</v>
      </c>
      <c r="E99" s="460" t="s">
        <v>32</v>
      </c>
      <c r="F99" s="461">
        <v>31</v>
      </c>
      <c r="G99" s="498">
        <v>71.400000000000006</v>
      </c>
      <c r="H99" s="462">
        <f t="shared" si="12"/>
        <v>2213.4</v>
      </c>
      <c r="I99" s="462">
        <f t="shared" si="13"/>
        <v>8568</v>
      </c>
      <c r="J99" s="463">
        <v>4</v>
      </c>
      <c r="K99" s="534">
        <v>75</v>
      </c>
      <c r="L99" s="462">
        <f t="shared" si="14"/>
        <v>1760</v>
      </c>
      <c r="M99" s="462">
        <v>1510</v>
      </c>
      <c r="N99" s="462">
        <v>250</v>
      </c>
      <c r="O99" s="462">
        <f t="shared" si="15"/>
        <v>4048.4</v>
      </c>
      <c r="P99" s="488">
        <f t="shared" si="16"/>
        <v>1242.3333333333333</v>
      </c>
      <c r="Q99" s="489">
        <f t="shared" si="17"/>
        <v>1225.3150684931506</v>
      </c>
      <c r="R99" s="489">
        <f t="shared" si="18"/>
        <v>65.753424657534239</v>
      </c>
      <c r="S99" s="490">
        <f t="shared" si="19"/>
        <v>15908</v>
      </c>
      <c r="T99" s="490">
        <f t="shared" si="20"/>
        <v>18441.401826484016</v>
      </c>
      <c r="U99" s="491">
        <f t="shared" si="21"/>
        <v>183.46</v>
      </c>
      <c r="V99" s="498">
        <f>(O99-N99)*11%</f>
        <v>417.82400000000001</v>
      </c>
      <c r="W99" s="498">
        <v>10</v>
      </c>
      <c r="X99" s="498"/>
      <c r="Y99" s="498"/>
      <c r="Z99" s="462">
        <f t="shared" si="22"/>
        <v>611.28399999999999</v>
      </c>
      <c r="AA99" s="462">
        <f t="shared" si="23"/>
        <v>3437.116</v>
      </c>
      <c r="AB99" s="489">
        <v>1000</v>
      </c>
    </row>
    <row r="100" spans="1:28" s="507" customFormat="1" ht="12">
      <c r="A100" s="456">
        <v>97</v>
      </c>
      <c r="B100" s="466" t="s">
        <v>1695</v>
      </c>
      <c r="C100" s="497">
        <v>9901442847</v>
      </c>
      <c r="D100" s="459" t="s">
        <v>1696</v>
      </c>
      <c r="E100" s="460" t="s">
        <v>32</v>
      </c>
      <c r="F100" s="461">
        <v>31</v>
      </c>
      <c r="G100" s="498">
        <v>71.400000000000006</v>
      </c>
      <c r="H100" s="462">
        <f t="shared" si="12"/>
        <v>2213.4</v>
      </c>
      <c r="I100" s="462">
        <f t="shared" si="13"/>
        <v>8568</v>
      </c>
      <c r="J100" s="463">
        <v>4</v>
      </c>
      <c r="K100" s="534">
        <v>50</v>
      </c>
      <c r="L100" s="462">
        <f t="shared" si="14"/>
        <v>1760</v>
      </c>
      <c r="M100" s="462">
        <v>1510</v>
      </c>
      <c r="N100" s="462">
        <v>250</v>
      </c>
      <c r="O100" s="462">
        <f t="shared" si="15"/>
        <v>4023.4</v>
      </c>
      <c r="P100" s="488">
        <f t="shared" si="16"/>
        <v>1234</v>
      </c>
      <c r="Q100" s="489">
        <f t="shared" si="17"/>
        <v>1217.0958904109589</v>
      </c>
      <c r="R100" s="489">
        <f t="shared" si="18"/>
        <v>65.753424657534239</v>
      </c>
      <c r="S100" s="490">
        <f t="shared" si="19"/>
        <v>15808</v>
      </c>
      <c r="T100" s="490">
        <f t="shared" si="20"/>
        <v>18324.849315068492</v>
      </c>
      <c r="U100" s="491">
        <f t="shared" si="21"/>
        <v>182.26</v>
      </c>
      <c r="V100" s="498">
        <f>(O100-N100)*11%</f>
        <v>415.07400000000001</v>
      </c>
      <c r="W100" s="498">
        <v>10</v>
      </c>
      <c r="X100" s="498"/>
      <c r="Y100" s="498">
        <v>1770.74</v>
      </c>
      <c r="Z100" s="462">
        <f t="shared" si="22"/>
        <v>2378.0739999999996</v>
      </c>
      <c r="AA100" s="462">
        <f t="shared" si="23"/>
        <v>1645.3260000000005</v>
      </c>
      <c r="AB100" s="489">
        <v>1000</v>
      </c>
    </row>
    <row r="101" spans="1:28" s="507" customFormat="1" ht="12">
      <c r="A101" s="456">
        <v>98</v>
      </c>
      <c r="B101" s="466" t="s">
        <v>1697</v>
      </c>
      <c r="C101" s="497">
        <v>9901442834</v>
      </c>
      <c r="D101" s="459" t="s">
        <v>1698</v>
      </c>
      <c r="E101" s="460" t="s">
        <v>32</v>
      </c>
      <c r="F101" s="461">
        <v>31</v>
      </c>
      <c r="G101" s="498">
        <v>71.400000000000006</v>
      </c>
      <c r="H101" s="462">
        <f t="shared" si="12"/>
        <v>2213.4</v>
      </c>
      <c r="I101" s="462">
        <f t="shared" si="13"/>
        <v>8568</v>
      </c>
      <c r="J101" s="463">
        <v>4</v>
      </c>
      <c r="K101" s="534">
        <v>50</v>
      </c>
      <c r="L101" s="462">
        <f t="shared" si="14"/>
        <v>1760</v>
      </c>
      <c r="M101" s="462">
        <v>1510</v>
      </c>
      <c r="N101" s="462">
        <v>250</v>
      </c>
      <c r="O101" s="462">
        <f t="shared" si="15"/>
        <v>4023.4</v>
      </c>
      <c r="P101" s="488">
        <f t="shared" si="16"/>
        <v>1234</v>
      </c>
      <c r="Q101" s="489">
        <f t="shared" si="17"/>
        <v>1217.0958904109589</v>
      </c>
      <c r="R101" s="489">
        <f t="shared" si="18"/>
        <v>65.753424657534239</v>
      </c>
      <c r="S101" s="490">
        <f t="shared" si="19"/>
        <v>15808</v>
      </c>
      <c r="T101" s="490">
        <f t="shared" si="20"/>
        <v>18324.849315068492</v>
      </c>
      <c r="U101" s="491">
        <f t="shared" si="21"/>
        <v>182.26</v>
      </c>
      <c r="V101" s="498">
        <f>(O101-N101)*11%</f>
        <v>415.07400000000001</v>
      </c>
      <c r="W101" s="498">
        <v>10</v>
      </c>
      <c r="X101" s="498"/>
      <c r="Y101" s="498"/>
      <c r="Z101" s="462">
        <f t="shared" si="22"/>
        <v>607.33400000000006</v>
      </c>
      <c r="AA101" s="462">
        <f t="shared" si="23"/>
        <v>3416.0659999999998</v>
      </c>
      <c r="AB101" s="489">
        <v>1000</v>
      </c>
    </row>
    <row r="102" spans="1:28" s="507" customFormat="1">
      <c r="A102" s="456">
        <v>99</v>
      </c>
      <c r="B102" s="466" t="s">
        <v>1699</v>
      </c>
      <c r="C102" s="497">
        <v>9901443800</v>
      </c>
      <c r="D102" s="459" t="s">
        <v>1700</v>
      </c>
      <c r="E102" s="460" t="s">
        <v>32</v>
      </c>
      <c r="F102" s="461">
        <v>31</v>
      </c>
      <c r="G102" s="498">
        <v>71.400000000000006</v>
      </c>
      <c r="H102" s="462">
        <f t="shared" si="12"/>
        <v>2213.4</v>
      </c>
      <c r="I102" s="462">
        <f t="shared" si="13"/>
        <v>8568</v>
      </c>
      <c r="J102" s="463">
        <v>4</v>
      </c>
      <c r="K102" s="534"/>
      <c r="L102" s="462">
        <f t="shared" si="14"/>
        <v>1760</v>
      </c>
      <c r="M102" s="462">
        <v>1510</v>
      </c>
      <c r="N102" s="462">
        <v>250</v>
      </c>
      <c r="O102" s="462">
        <f t="shared" si="15"/>
        <v>3973.4</v>
      </c>
      <c r="P102" s="488">
        <f t="shared" si="16"/>
        <v>1217.3333333333333</v>
      </c>
      <c r="Q102" s="489">
        <f t="shared" si="17"/>
        <v>1200.6575342465753</v>
      </c>
      <c r="R102" s="489">
        <f t="shared" si="18"/>
        <v>65.753424657534239</v>
      </c>
      <c r="S102" s="490">
        <f t="shared" si="19"/>
        <v>15608</v>
      </c>
      <c r="T102" s="490">
        <f t="shared" si="20"/>
        <v>18091.744292237443</v>
      </c>
      <c r="U102" s="491">
        <f t="shared" si="21"/>
        <v>179.84</v>
      </c>
      <c r="V102" s="498"/>
      <c r="W102" s="498"/>
      <c r="X102" s="512">
        <v>1303.19</v>
      </c>
      <c r="Y102" s="498"/>
      <c r="Z102" s="462">
        <f t="shared" si="22"/>
        <v>1483.03</v>
      </c>
      <c r="AA102" s="462">
        <f t="shared" si="23"/>
        <v>2490.37</v>
      </c>
      <c r="AB102" s="489">
        <v>1000</v>
      </c>
    </row>
    <row r="103" spans="1:28" s="507" customFormat="1" ht="12">
      <c r="A103" s="456">
        <v>100</v>
      </c>
      <c r="B103" s="457" t="s">
        <v>1701</v>
      </c>
      <c r="C103" s="497">
        <v>9901442351</v>
      </c>
      <c r="D103" s="459" t="s">
        <v>1702</v>
      </c>
      <c r="E103" s="460" t="s">
        <v>32</v>
      </c>
      <c r="F103" s="461">
        <v>31</v>
      </c>
      <c r="G103" s="498">
        <v>71.400000000000006</v>
      </c>
      <c r="H103" s="462">
        <f t="shared" si="12"/>
        <v>2213.4</v>
      </c>
      <c r="I103" s="462">
        <f t="shared" si="13"/>
        <v>8568</v>
      </c>
      <c r="J103" s="463">
        <v>4</v>
      </c>
      <c r="K103" s="534">
        <v>50</v>
      </c>
      <c r="L103" s="462">
        <f t="shared" si="14"/>
        <v>1760</v>
      </c>
      <c r="M103" s="462">
        <v>1510</v>
      </c>
      <c r="N103" s="462">
        <v>250</v>
      </c>
      <c r="O103" s="462">
        <f t="shared" si="15"/>
        <v>4023.4</v>
      </c>
      <c r="P103" s="488">
        <f t="shared" si="16"/>
        <v>1234</v>
      </c>
      <c r="Q103" s="489">
        <f t="shared" si="17"/>
        <v>1217.0958904109589</v>
      </c>
      <c r="R103" s="489">
        <f t="shared" si="18"/>
        <v>65.753424657534239</v>
      </c>
      <c r="S103" s="490">
        <f t="shared" si="19"/>
        <v>15808</v>
      </c>
      <c r="T103" s="490">
        <f t="shared" si="20"/>
        <v>18324.849315068492</v>
      </c>
      <c r="U103" s="491">
        <f t="shared" si="21"/>
        <v>182.26</v>
      </c>
      <c r="V103" s="498"/>
      <c r="W103" s="498">
        <v>10</v>
      </c>
      <c r="X103" s="498"/>
      <c r="Y103" s="498">
        <v>981.08</v>
      </c>
      <c r="Z103" s="462">
        <f t="shared" si="22"/>
        <v>1173.3400000000001</v>
      </c>
      <c r="AA103" s="462">
        <f t="shared" si="23"/>
        <v>2850.06</v>
      </c>
      <c r="AB103" s="489">
        <v>1000</v>
      </c>
    </row>
    <row r="104" spans="1:28" s="507" customFormat="1" ht="12">
      <c r="A104" s="456">
        <v>101</v>
      </c>
      <c r="B104" s="466" t="s">
        <v>1703</v>
      </c>
      <c r="C104" s="497">
        <v>9901443086</v>
      </c>
      <c r="D104" s="459" t="s">
        <v>1704</v>
      </c>
      <c r="E104" s="460" t="s">
        <v>32</v>
      </c>
      <c r="F104" s="461">
        <v>31</v>
      </c>
      <c r="G104" s="498">
        <v>71.400000000000006</v>
      </c>
      <c r="H104" s="462">
        <f t="shared" si="12"/>
        <v>2213.4</v>
      </c>
      <c r="I104" s="462">
        <f t="shared" si="13"/>
        <v>8568</v>
      </c>
      <c r="J104" s="463">
        <v>4</v>
      </c>
      <c r="K104" s="534">
        <v>75</v>
      </c>
      <c r="L104" s="462">
        <f t="shared" si="14"/>
        <v>1760</v>
      </c>
      <c r="M104" s="462">
        <v>1510</v>
      </c>
      <c r="N104" s="462">
        <v>250</v>
      </c>
      <c r="O104" s="462">
        <f t="shared" si="15"/>
        <v>4048.4</v>
      </c>
      <c r="P104" s="488">
        <f t="shared" si="16"/>
        <v>1242.3333333333333</v>
      </c>
      <c r="Q104" s="489">
        <f t="shared" si="17"/>
        <v>1225.3150684931506</v>
      </c>
      <c r="R104" s="489">
        <f t="shared" si="18"/>
        <v>65.753424657534239</v>
      </c>
      <c r="S104" s="490">
        <f t="shared" si="19"/>
        <v>15908</v>
      </c>
      <c r="T104" s="490">
        <f t="shared" si="20"/>
        <v>18441.401826484016</v>
      </c>
      <c r="U104" s="491">
        <f t="shared" si="21"/>
        <v>183.46</v>
      </c>
      <c r="V104" s="498">
        <f>(O104-N104)*11%</f>
        <v>417.82400000000001</v>
      </c>
      <c r="W104" s="498">
        <v>10</v>
      </c>
      <c r="X104" s="498"/>
      <c r="Y104" s="498"/>
      <c r="Z104" s="462">
        <f t="shared" si="22"/>
        <v>611.28399999999999</v>
      </c>
      <c r="AA104" s="462">
        <f t="shared" si="23"/>
        <v>3437.116</v>
      </c>
      <c r="AB104" s="489">
        <v>1000</v>
      </c>
    </row>
    <row r="105" spans="1:28" s="507" customFormat="1" ht="12">
      <c r="A105" s="456">
        <v>102</v>
      </c>
      <c r="B105" s="457" t="s">
        <v>1705</v>
      </c>
      <c r="C105" s="497">
        <v>9901442832</v>
      </c>
      <c r="D105" s="459" t="s">
        <v>1706</v>
      </c>
      <c r="E105" s="460" t="s">
        <v>54</v>
      </c>
      <c r="F105" s="461">
        <v>31</v>
      </c>
      <c r="G105" s="498">
        <v>71.400000000000006</v>
      </c>
      <c r="H105" s="462">
        <f t="shared" si="12"/>
        <v>2213.4</v>
      </c>
      <c r="I105" s="462">
        <f t="shared" si="13"/>
        <v>8568</v>
      </c>
      <c r="J105" s="463">
        <v>4</v>
      </c>
      <c r="K105" s="534">
        <v>50</v>
      </c>
      <c r="L105" s="462">
        <f t="shared" si="14"/>
        <v>1760</v>
      </c>
      <c r="M105" s="462">
        <v>1510</v>
      </c>
      <c r="N105" s="462">
        <v>250</v>
      </c>
      <c r="O105" s="462">
        <f t="shared" si="15"/>
        <v>4023.4</v>
      </c>
      <c r="P105" s="488">
        <f t="shared" si="16"/>
        <v>1234</v>
      </c>
      <c r="Q105" s="489">
        <f t="shared" si="17"/>
        <v>1217.0958904109589</v>
      </c>
      <c r="R105" s="489">
        <f t="shared" si="18"/>
        <v>65.753424657534239</v>
      </c>
      <c r="S105" s="490">
        <f t="shared" si="19"/>
        <v>15808</v>
      </c>
      <c r="T105" s="490">
        <f t="shared" si="20"/>
        <v>18324.849315068492</v>
      </c>
      <c r="U105" s="491">
        <f t="shared" si="21"/>
        <v>182.26</v>
      </c>
      <c r="V105" s="498"/>
      <c r="W105" s="498"/>
      <c r="X105" s="498"/>
      <c r="Y105" s="498"/>
      <c r="Z105" s="462">
        <f t="shared" si="22"/>
        <v>182.26</v>
      </c>
      <c r="AA105" s="462">
        <f t="shared" si="23"/>
        <v>3841.1400000000003</v>
      </c>
      <c r="AB105" s="489">
        <v>1000</v>
      </c>
    </row>
    <row r="106" spans="1:28" s="507" customFormat="1" ht="12">
      <c r="A106" s="456">
        <v>103</v>
      </c>
      <c r="B106" s="457" t="s">
        <v>1707</v>
      </c>
      <c r="C106" s="497">
        <v>9901451149</v>
      </c>
      <c r="D106" s="459" t="s">
        <v>1708</v>
      </c>
      <c r="E106" s="460" t="s">
        <v>35</v>
      </c>
      <c r="F106" s="461">
        <v>31</v>
      </c>
      <c r="G106" s="498">
        <v>71.400000000000006</v>
      </c>
      <c r="H106" s="462">
        <f t="shared" si="12"/>
        <v>2213.4</v>
      </c>
      <c r="I106" s="462">
        <f t="shared" si="13"/>
        <v>8568</v>
      </c>
      <c r="J106" s="463">
        <v>4</v>
      </c>
      <c r="K106" s="534"/>
      <c r="L106" s="462">
        <f t="shared" si="14"/>
        <v>1760</v>
      </c>
      <c r="M106" s="462">
        <v>1510</v>
      </c>
      <c r="N106" s="462">
        <v>250</v>
      </c>
      <c r="O106" s="462">
        <f t="shared" si="15"/>
        <v>3973.4</v>
      </c>
      <c r="P106" s="488">
        <f t="shared" si="16"/>
        <v>1217.3333333333333</v>
      </c>
      <c r="Q106" s="489">
        <f t="shared" si="17"/>
        <v>1200.6575342465753</v>
      </c>
      <c r="R106" s="489">
        <f t="shared" si="18"/>
        <v>65.753424657534239</v>
      </c>
      <c r="S106" s="490">
        <f t="shared" si="19"/>
        <v>15608</v>
      </c>
      <c r="T106" s="490">
        <f t="shared" si="20"/>
        <v>18091.744292237443</v>
      </c>
      <c r="U106" s="491">
        <f t="shared" si="21"/>
        <v>179.84</v>
      </c>
      <c r="V106" s="498"/>
      <c r="W106" s="498"/>
      <c r="X106" s="498"/>
      <c r="Y106" s="498"/>
      <c r="Z106" s="462">
        <f t="shared" si="22"/>
        <v>179.84</v>
      </c>
      <c r="AA106" s="462">
        <f t="shared" si="23"/>
        <v>3793.56</v>
      </c>
      <c r="AB106" s="489">
        <v>1000</v>
      </c>
    </row>
    <row r="107" spans="1:28" s="507" customFormat="1" ht="12">
      <c r="A107" s="456">
        <v>104</v>
      </c>
      <c r="B107" s="466" t="s">
        <v>1709</v>
      </c>
      <c r="C107" s="497">
        <v>9901443194</v>
      </c>
      <c r="D107" s="459" t="s">
        <v>1710</v>
      </c>
      <c r="E107" s="460" t="s">
        <v>32</v>
      </c>
      <c r="F107" s="461">
        <v>31</v>
      </c>
      <c r="G107" s="498">
        <v>71.400000000000006</v>
      </c>
      <c r="H107" s="462">
        <f t="shared" si="12"/>
        <v>2213.4</v>
      </c>
      <c r="I107" s="462">
        <f t="shared" si="13"/>
        <v>8568</v>
      </c>
      <c r="J107" s="463">
        <v>4</v>
      </c>
      <c r="K107" s="534"/>
      <c r="L107" s="462">
        <f t="shared" si="14"/>
        <v>1760</v>
      </c>
      <c r="M107" s="462">
        <v>1510</v>
      </c>
      <c r="N107" s="462">
        <v>250</v>
      </c>
      <c r="O107" s="462">
        <f t="shared" si="15"/>
        <v>3973.4</v>
      </c>
      <c r="P107" s="488">
        <f t="shared" si="16"/>
        <v>1217.3333333333333</v>
      </c>
      <c r="Q107" s="489">
        <f t="shared" si="17"/>
        <v>1200.6575342465753</v>
      </c>
      <c r="R107" s="489">
        <f t="shared" si="18"/>
        <v>65.753424657534239</v>
      </c>
      <c r="S107" s="490">
        <f t="shared" si="19"/>
        <v>15608</v>
      </c>
      <c r="T107" s="490">
        <f t="shared" si="20"/>
        <v>18091.744292237443</v>
      </c>
      <c r="U107" s="491">
        <f t="shared" si="21"/>
        <v>179.84</v>
      </c>
      <c r="V107" s="498"/>
      <c r="W107" s="498"/>
      <c r="X107" s="498"/>
      <c r="Y107" s="498"/>
      <c r="Z107" s="462">
        <f t="shared" si="22"/>
        <v>179.84</v>
      </c>
      <c r="AA107" s="462">
        <f t="shared" si="23"/>
        <v>3793.56</v>
      </c>
      <c r="AB107" s="489">
        <v>1000</v>
      </c>
    </row>
    <row r="108" spans="1:28" s="507" customFormat="1" ht="12">
      <c r="A108" s="456">
        <v>105</v>
      </c>
      <c r="B108" s="466" t="s">
        <v>1711</v>
      </c>
      <c r="C108" s="497">
        <v>9901442184</v>
      </c>
      <c r="D108" s="459" t="s">
        <v>1712</v>
      </c>
      <c r="E108" s="460" t="s">
        <v>32</v>
      </c>
      <c r="F108" s="461">
        <v>31</v>
      </c>
      <c r="G108" s="498">
        <v>71.400000000000006</v>
      </c>
      <c r="H108" s="462">
        <f t="shared" si="12"/>
        <v>2213.4</v>
      </c>
      <c r="I108" s="462">
        <f t="shared" si="13"/>
        <v>8568</v>
      </c>
      <c r="J108" s="463">
        <v>4</v>
      </c>
      <c r="K108" s="534">
        <v>50</v>
      </c>
      <c r="L108" s="462">
        <f t="shared" si="14"/>
        <v>1760</v>
      </c>
      <c r="M108" s="462">
        <v>1510</v>
      </c>
      <c r="N108" s="462">
        <v>250</v>
      </c>
      <c r="O108" s="462">
        <f t="shared" si="15"/>
        <v>4023.4</v>
      </c>
      <c r="P108" s="488">
        <f t="shared" si="16"/>
        <v>1234</v>
      </c>
      <c r="Q108" s="489">
        <f t="shared" si="17"/>
        <v>1217.0958904109589</v>
      </c>
      <c r="R108" s="489">
        <f t="shared" si="18"/>
        <v>65.753424657534239</v>
      </c>
      <c r="S108" s="490">
        <f t="shared" si="19"/>
        <v>15808</v>
      </c>
      <c r="T108" s="490">
        <f t="shared" si="20"/>
        <v>18324.849315068492</v>
      </c>
      <c r="U108" s="491">
        <f t="shared" si="21"/>
        <v>182.26</v>
      </c>
      <c r="V108" s="498"/>
      <c r="W108" s="498"/>
      <c r="X108" s="498"/>
      <c r="Y108" s="498"/>
      <c r="Z108" s="462">
        <f t="shared" si="22"/>
        <v>182.26</v>
      </c>
      <c r="AA108" s="462">
        <f t="shared" si="23"/>
        <v>3841.1400000000003</v>
      </c>
      <c r="AB108" s="489">
        <v>1000</v>
      </c>
    </row>
    <row r="109" spans="1:28" s="507" customFormat="1" ht="12">
      <c r="A109" s="456">
        <v>106</v>
      </c>
      <c r="B109" s="466" t="s">
        <v>1713</v>
      </c>
      <c r="C109" s="497">
        <v>9901442826</v>
      </c>
      <c r="D109" s="459" t="s">
        <v>1714</v>
      </c>
      <c r="E109" s="460" t="s">
        <v>32</v>
      </c>
      <c r="F109" s="461">
        <v>31</v>
      </c>
      <c r="G109" s="498">
        <v>71.400000000000006</v>
      </c>
      <c r="H109" s="462">
        <f t="shared" si="12"/>
        <v>2213.4</v>
      </c>
      <c r="I109" s="462">
        <f t="shared" si="13"/>
        <v>8568</v>
      </c>
      <c r="J109" s="463">
        <v>4</v>
      </c>
      <c r="K109" s="534">
        <v>50</v>
      </c>
      <c r="L109" s="462">
        <f t="shared" si="14"/>
        <v>1760</v>
      </c>
      <c r="M109" s="462">
        <v>1510</v>
      </c>
      <c r="N109" s="462">
        <v>250</v>
      </c>
      <c r="O109" s="462">
        <f t="shared" si="15"/>
        <v>4023.4</v>
      </c>
      <c r="P109" s="488">
        <f t="shared" si="16"/>
        <v>1234</v>
      </c>
      <c r="Q109" s="489">
        <f t="shared" si="17"/>
        <v>1217.0958904109589</v>
      </c>
      <c r="R109" s="489">
        <f t="shared" si="18"/>
        <v>65.753424657534239</v>
      </c>
      <c r="S109" s="490">
        <f t="shared" si="19"/>
        <v>15808</v>
      </c>
      <c r="T109" s="490">
        <f t="shared" si="20"/>
        <v>18324.849315068492</v>
      </c>
      <c r="U109" s="491">
        <f t="shared" si="21"/>
        <v>182.26</v>
      </c>
      <c r="V109" s="498">
        <f>(O109-N109)*11%</f>
        <v>415.07400000000001</v>
      </c>
      <c r="W109" s="498"/>
      <c r="X109" s="498"/>
      <c r="Y109" s="498"/>
      <c r="Z109" s="462">
        <f t="shared" si="22"/>
        <v>597.33400000000006</v>
      </c>
      <c r="AA109" s="462">
        <f t="shared" si="23"/>
        <v>3426.0659999999998</v>
      </c>
      <c r="AB109" s="489">
        <v>1000</v>
      </c>
    </row>
    <row r="110" spans="1:28" s="507" customFormat="1" ht="12">
      <c r="A110" s="456">
        <v>107</v>
      </c>
      <c r="B110" s="466" t="s">
        <v>1715</v>
      </c>
      <c r="C110" s="497">
        <v>9901442393</v>
      </c>
      <c r="D110" s="459" t="s">
        <v>1716</v>
      </c>
      <c r="E110" s="460" t="s">
        <v>32</v>
      </c>
      <c r="F110" s="461">
        <v>31</v>
      </c>
      <c r="G110" s="498">
        <v>71.400000000000006</v>
      </c>
      <c r="H110" s="462">
        <f t="shared" si="12"/>
        <v>2213.4</v>
      </c>
      <c r="I110" s="462">
        <f t="shared" si="13"/>
        <v>8568</v>
      </c>
      <c r="J110" s="463">
        <v>4</v>
      </c>
      <c r="K110" s="534">
        <v>75</v>
      </c>
      <c r="L110" s="462">
        <f t="shared" si="14"/>
        <v>1760</v>
      </c>
      <c r="M110" s="462">
        <v>1510</v>
      </c>
      <c r="N110" s="462">
        <v>250</v>
      </c>
      <c r="O110" s="462">
        <f t="shared" si="15"/>
        <v>4048.4</v>
      </c>
      <c r="P110" s="488">
        <f t="shared" si="16"/>
        <v>1242.3333333333333</v>
      </c>
      <c r="Q110" s="489">
        <f t="shared" si="17"/>
        <v>1225.3150684931506</v>
      </c>
      <c r="R110" s="489">
        <f t="shared" si="18"/>
        <v>65.753424657534239</v>
      </c>
      <c r="S110" s="490">
        <f t="shared" si="19"/>
        <v>15908</v>
      </c>
      <c r="T110" s="490">
        <f t="shared" si="20"/>
        <v>18441.401826484016</v>
      </c>
      <c r="U110" s="491">
        <f t="shared" si="21"/>
        <v>183.46</v>
      </c>
      <c r="V110" s="498"/>
      <c r="W110" s="498">
        <v>10</v>
      </c>
      <c r="X110" s="498"/>
      <c r="Y110" s="498"/>
      <c r="Z110" s="462">
        <f t="shared" si="22"/>
        <v>193.46</v>
      </c>
      <c r="AA110" s="462">
        <f t="shared" si="23"/>
        <v>3854.94</v>
      </c>
      <c r="AB110" s="489">
        <v>1000</v>
      </c>
    </row>
    <row r="111" spans="1:28" s="507" customFormat="1" ht="12">
      <c r="A111" s="456">
        <v>108</v>
      </c>
      <c r="B111" s="457" t="s">
        <v>1717</v>
      </c>
      <c r="C111" s="497">
        <v>9901442269</v>
      </c>
      <c r="D111" s="459" t="s">
        <v>1718</v>
      </c>
      <c r="E111" s="460" t="s">
        <v>32</v>
      </c>
      <c r="F111" s="461">
        <v>31</v>
      </c>
      <c r="G111" s="498">
        <v>71.400000000000006</v>
      </c>
      <c r="H111" s="462">
        <f t="shared" si="12"/>
        <v>2213.4</v>
      </c>
      <c r="I111" s="462">
        <f t="shared" si="13"/>
        <v>8568</v>
      </c>
      <c r="J111" s="463">
        <v>4</v>
      </c>
      <c r="K111" s="534">
        <v>75</v>
      </c>
      <c r="L111" s="462">
        <f t="shared" si="14"/>
        <v>1760</v>
      </c>
      <c r="M111" s="462">
        <v>1510</v>
      </c>
      <c r="N111" s="462">
        <v>250</v>
      </c>
      <c r="O111" s="462">
        <f t="shared" si="15"/>
        <v>4048.4</v>
      </c>
      <c r="P111" s="488">
        <f t="shared" si="16"/>
        <v>1242.3333333333333</v>
      </c>
      <c r="Q111" s="489">
        <f t="shared" si="17"/>
        <v>1225.3150684931506</v>
      </c>
      <c r="R111" s="489">
        <f t="shared" si="18"/>
        <v>65.753424657534239</v>
      </c>
      <c r="S111" s="490">
        <f t="shared" si="19"/>
        <v>15908</v>
      </c>
      <c r="T111" s="490">
        <f t="shared" si="20"/>
        <v>18441.401826484016</v>
      </c>
      <c r="U111" s="491">
        <f t="shared" si="21"/>
        <v>183.46</v>
      </c>
      <c r="V111" s="498">
        <f>(O111-N111)*11%</f>
        <v>417.82400000000001</v>
      </c>
      <c r="W111" s="498">
        <v>10</v>
      </c>
      <c r="X111" s="498"/>
      <c r="Y111" s="498"/>
      <c r="Z111" s="462">
        <f t="shared" si="22"/>
        <v>611.28399999999999</v>
      </c>
      <c r="AA111" s="462">
        <f t="shared" si="23"/>
        <v>3437.116</v>
      </c>
      <c r="AB111" s="489">
        <v>1000</v>
      </c>
    </row>
    <row r="112" spans="1:28" s="507" customFormat="1" ht="12">
      <c r="A112" s="456">
        <v>109</v>
      </c>
      <c r="B112" s="457" t="s">
        <v>1719</v>
      </c>
      <c r="C112" s="497">
        <v>9901442831</v>
      </c>
      <c r="D112" s="459" t="s">
        <v>1720</v>
      </c>
      <c r="E112" s="460" t="s">
        <v>32</v>
      </c>
      <c r="F112" s="461">
        <v>31</v>
      </c>
      <c r="G112" s="498">
        <v>71.400000000000006</v>
      </c>
      <c r="H112" s="462">
        <f t="shared" si="12"/>
        <v>2213.4</v>
      </c>
      <c r="I112" s="462">
        <f t="shared" si="13"/>
        <v>8568</v>
      </c>
      <c r="J112" s="463">
        <v>4</v>
      </c>
      <c r="K112" s="534">
        <v>50</v>
      </c>
      <c r="L112" s="462">
        <f t="shared" si="14"/>
        <v>1760</v>
      </c>
      <c r="M112" s="462">
        <v>1510</v>
      </c>
      <c r="N112" s="462">
        <v>250</v>
      </c>
      <c r="O112" s="462">
        <f t="shared" si="15"/>
        <v>4023.4</v>
      </c>
      <c r="P112" s="488">
        <f t="shared" si="16"/>
        <v>1234</v>
      </c>
      <c r="Q112" s="489">
        <f t="shared" si="17"/>
        <v>1217.0958904109589</v>
      </c>
      <c r="R112" s="489">
        <f t="shared" si="18"/>
        <v>65.753424657534239</v>
      </c>
      <c r="S112" s="490">
        <f t="shared" si="19"/>
        <v>15808</v>
      </c>
      <c r="T112" s="490">
        <f t="shared" si="20"/>
        <v>18324.849315068492</v>
      </c>
      <c r="U112" s="491">
        <f t="shared" si="21"/>
        <v>182.26</v>
      </c>
      <c r="V112" s="498"/>
      <c r="W112" s="498">
        <v>10</v>
      </c>
      <c r="X112" s="498"/>
      <c r="Y112" s="498"/>
      <c r="Z112" s="462">
        <f t="shared" si="22"/>
        <v>192.26</v>
      </c>
      <c r="AA112" s="462">
        <f t="shared" si="23"/>
        <v>3831.1400000000003</v>
      </c>
      <c r="AB112" s="489">
        <v>1000</v>
      </c>
    </row>
    <row r="113" spans="1:28" s="507" customFormat="1" ht="12">
      <c r="A113" s="456">
        <v>110</v>
      </c>
      <c r="B113" s="466" t="s">
        <v>1721</v>
      </c>
      <c r="C113" s="497">
        <v>9901442907</v>
      </c>
      <c r="D113" s="459" t="s">
        <v>1722</v>
      </c>
      <c r="E113" s="460" t="s">
        <v>32</v>
      </c>
      <c r="F113" s="461">
        <v>31</v>
      </c>
      <c r="G113" s="498">
        <v>71.400000000000006</v>
      </c>
      <c r="H113" s="462">
        <f t="shared" si="12"/>
        <v>2213.4</v>
      </c>
      <c r="I113" s="462">
        <f t="shared" si="13"/>
        <v>8568</v>
      </c>
      <c r="J113" s="463">
        <v>4</v>
      </c>
      <c r="K113" s="534">
        <v>50</v>
      </c>
      <c r="L113" s="462">
        <f t="shared" si="14"/>
        <v>1760</v>
      </c>
      <c r="M113" s="462">
        <v>1510</v>
      </c>
      <c r="N113" s="462">
        <v>250</v>
      </c>
      <c r="O113" s="462">
        <f t="shared" si="15"/>
        <v>4023.4</v>
      </c>
      <c r="P113" s="488">
        <f t="shared" si="16"/>
        <v>1234</v>
      </c>
      <c r="Q113" s="489">
        <f t="shared" si="17"/>
        <v>1217.0958904109589</v>
      </c>
      <c r="R113" s="489">
        <f t="shared" si="18"/>
        <v>65.753424657534239</v>
      </c>
      <c r="S113" s="490">
        <f t="shared" si="19"/>
        <v>15808</v>
      </c>
      <c r="T113" s="490">
        <f t="shared" si="20"/>
        <v>18324.849315068492</v>
      </c>
      <c r="U113" s="491">
        <f t="shared" si="21"/>
        <v>182.26</v>
      </c>
      <c r="V113" s="498">
        <f>(O113-N113)*11%</f>
        <v>415.07400000000001</v>
      </c>
      <c r="W113" s="498"/>
      <c r="X113" s="498"/>
      <c r="Y113" s="498">
        <v>1382.89</v>
      </c>
      <c r="Z113" s="462">
        <f t="shared" si="22"/>
        <v>1980.2240000000002</v>
      </c>
      <c r="AA113" s="462">
        <f t="shared" si="23"/>
        <v>2043.1759999999999</v>
      </c>
      <c r="AB113" s="489">
        <v>1000</v>
      </c>
    </row>
    <row r="114" spans="1:28" s="507" customFormat="1" ht="12">
      <c r="A114" s="456">
        <v>111</v>
      </c>
      <c r="B114" s="466" t="s">
        <v>1723</v>
      </c>
      <c r="C114" s="497">
        <v>9901442906</v>
      </c>
      <c r="D114" s="459" t="s">
        <v>1724</v>
      </c>
      <c r="E114" s="460" t="s">
        <v>32</v>
      </c>
      <c r="F114" s="461">
        <v>31</v>
      </c>
      <c r="G114" s="498">
        <v>71.400000000000006</v>
      </c>
      <c r="H114" s="462">
        <f t="shared" si="12"/>
        <v>2213.4</v>
      </c>
      <c r="I114" s="462">
        <f t="shared" si="13"/>
        <v>8568</v>
      </c>
      <c r="J114" s="463">
        <v>4</v>
      </c>
      <c r="K114" s="534">
        <v>50</v>
      </c>
      <c r="L114" s="462">
        <f t="shared" si="14"/>
        <v>1760</v>
      </c>
      <c r="M114" s="462">
        <v>1510</v>
      </c>
      <c r="N114" s="462">
        <v>250</v>
      </c>
      <c r="O114" s="462">
        <f t="shared" si="15"/>
        <v>4023.4</v>
      </c>
      <c r="P114" s="488">
        <f t="shared" si="16"/>
        <v>1234</v>
      </c>
      <c r="Q114" s="489">
        <f t="shared" si="17"/>
        <v>1217.0958904109589</v>
      </c>
      <c r="R114" s="489">
        <f t="shared" si="18"/>
        <v>65.753424657534239</v>
      </c>
      <c r="S114" s="490">
        <f t="shared" si="19"/>
        <v>15808</v>
      </c>
      <c r="T114" s="490">
        <f t="shared" si="20"/>
        <v>18324.849315068492</v>
      </c>
      <c r="U114" s="491">
        <f t="shared" si="21"/>
        <v>182.26</v>
      </c>
      <c r="V114" s="498">
        <f>(O114-N114)*11%</f>
        <v>415.07400000000001</v>
      </c>
      <c r="W114" s="498"/>
      <c r="X114" s="498"/>
      <c r="Y114" s="498">
        <v>1335.64</v>
      </c>
      <c r="Z114" s="462">
        <f t="shared" si="22"/>
        <v>1932.9740000000002</v>
      </c>
      <c r="AA114" s="462">
        <f t="shared" si="23"/>
        <v>2090.4259999999999</v>
      </c>
      <c r="AB114" s="489">
        <v>1000</v>
      </c>
    </row>
    <row r="115" spans="1:28" s="507" customFormat="1" ht="12">
      <c r="A115" s="456">
        <v>112</v>
      </c>
      <c r="B115" s="457" t="s">
        <v>1725</v>
      </c>
      <c r="C115" s="497">
        <v>9901468901</v>
      </c>
      <c r="D115" s="459" t="s">
        <v>1726</v>
      </c>
      <c r="E115" s="460" t="s">
        <v>35</v>
      </c>
      <c r="F115" s="461">
        <v>31</v>
      </c>
      <c r="G115" s="498">
        <v>71.400000000000006</v>
      </c>
      <c r="H115" s="462">
        <f t="shared" si="12"/>
        <v>2213.4</v>
      </c>
      <c r="I115" s="462">
        <f t="shared" si="13"/>
        <v>8568</v>
      </c>
      <c r="J115" s="463">
        <v>4</v>
      </c>
      <c r="K115" s="534"/>
      <c r="L115" s="462">
        <f t="shared" si="14"/>
        <v>1760</v>
      </c>
      <c r="M115" s="462">
        <v>1510</v>
      </c>
      <c r="N115" s="462">
        <v>250</v>
      </c>
      <c r="O115" s="462">
        <f t="shared" si="15"/>
        <v>3973.4</v>
      </c>
      <c r="P115" s="488">
        <f t="shared" si="16"/>
        <v>1217.3333333333333</v>
      </c>
      <c r="Q115" s="489">
        <f t="shared" si="17"/>
        <v>1200.6575342465753</v>
      </c>
      <c r="R115" s="489">
        <f t="shared" si="18"/>
        <v>65.753424657534239</v>
      </c>
      <c r="S115" s="490">
        <f t="shared" si="19"/>
        <v>15608</v>
      </c>
      <c r="T115" s="490">
        <f t="shared" si="20"/>
        <v>18091.744292237443</v>
      </c>
      <c r="U115" s="491">
        <f t="shared" si="21"/>
        <v>179.84</v>
      </c>
      <c r="V115" s="498"/>
      <c r="W115" s="498"/>
      <c r="X115" s="498"/>
      <c r="Y115" s="498"/>
      <c r="Z115" s="462">
        <f t="shared" si="22"/>
        <v>179.84</v>
      </c>
      <c r="AA115" s="462">
        <f t="shared" si="23"/>
        <v>3793.56</v>
      </c>
      <c r="AB115" s="489">
        <v>1000</v>
      </c>
    </row>
    <row r="116" spans="1:28" s="507" customFormat="1" ht="12">
      <c r="A116" s="456">
        <v>113</v>
      </c>
      <c r="B116" s="466" t="s">
        <v>1727</v>
      </c>
      <c r="C116" s="497">
        <v>9901442825</v>
      </c>
      <c r="D116" s="459" t="s">
        <v>1728</v>
      </c>
      <c r="E116" s="460" t="s">
        <v>32</v>
      </c>
      <c r="F116" s="461">
        <v>31</v>
      </c>
      <c r="G116" s="498">
        <v>71.400000000000006</v>
      </c>
      <c r="H116" s="462">
        <f t="shared" si="12"/>
        <v>2213.4</v>
      </c>
      <c r="I116" s="462">
        <f t="shared" si="13"/>
        <v>8568</v>
      </c>
      <c r="J116" s="463">
        <v>4</v>
      </c>
      <c r="K116" s="534">
        <v>50</v>
      </c>
      <c r="L116" s="462">
        <f t="shared" si="14"/>
        <v>1760</v>
      </c>
      <c r="M116" s="462">
        <v>1510</v>
      </c>
      <c r="N116" s="462">
        <v>250</v>
      </c>
      <c r="O116" s="462">
        <f t="shared" si="15"/>
        <v>4023.4</v>
      </c>
      <c r="P116" s="488">
        <f t="shared" si="16"/>
        <v>1234</v>
      </c>
      <c r="Q116" s="489">
        <f t="shared" si="17"/>
        <v>1217.0958904109589</v>
      </c>
      <c r="R116" s="489">
        <f t="shared" si="18"/>
        <v>65.753424657534239</v>
      </c>
      <c r="S116" s="490">
        <f t="shared" si="19"/>
        <v>15808</v>
      </c>
      <c r="T116" s="490">
        <f t="shared" si="20"/>
        <v>18324.849315068492</v>
      </c>
      <c r="U116" s="491">
        <f t="shared" si="21"/>
        <v>182.26</v>
      </c>
      <c r="V116" s="498"/>
      <c r="W116" s="498">
        <v>10</v>
      </c>
      <c r="X116" s="498"/>
      <c r="Y116" s="498">
        <v>840.31</v>
      </c>
      <c r="Z116" s="462">
        <f t="shared" si="22"/>
        <v>1032.57</v>
      </c>
      <c r="AA116" s="462">
        <f t="shared" si="23"/>
        <v>2990.83</v>
      </c>
      <c r="AB116" s="489">
        <v>1000</v>
      </c>
    </row>
    <row r="117" spans="1:28" s="507" customFormat="1" ht="12">
      <c r="A117" s="456">
        <v>114</v>
      </c>
      <c r="B117" s="457" t="s">
        <v>1729</v>
      </c>
      <c r="C117" s="497">
        <v>9901468902</v>
      </c>
      <c r="D117" s="459" t="s">
        <v>1730</v>
      </c>
      <c r="E117" s="460" t="s">
        <v>32</v>
      </c>
      <c r="F117" s="461">
        <v>31</v>
      </c>
      <c r="G117" s="498">
        <v>71.400000000000006</v>
      </c>
      <c r="H117" s="462">
        <f t="shared" si="12"/>
        <v>2213.4</v>
      </c>
      <c r="I117" s="462">
        <f t="shared" si="13"/>
        <v>8568</v>
      </c>
      <c r="J117" s="463">
        <v>4</v>
      </c>
      <c r="K117" s="534"/>
      <c r="L117" s="462">
        <f t="shared" si="14"/>
        <v>1760</v>
      </c>
      <c r="M117" s="462">
        <v>1510</v>
      </c>
      <c r="N117" s="462">
        <v>250</v>
      </c>
      <c r="O117" s="462">
        <f t="shared" si="15"/>
        <v>3973.4</v>
      </c>
      <c r="P117" s="488">
        <f t="shared" si="16"/>
        <v>1217.3333333333333</v>
      </c>
      <c r="Q117" s="489">
        <f t="shared" si="17"/>
        <v>1200.6575342465753</v>
      </c>
      <c r="R117" s="489">
        <f t="shared" si="18"/>
        <v>65.753424657534239</v>
      </c>
      <c r="S117" s="490">
        <f t="shared" si="19"/>
        <v>15608</v>
      </c>
      <c r="T117" s="490">
        <f t="shared" si="20"/>
        <v>18091.744292237443</v>
      </c>
      <c r="U117" s="491">
        <f t="shared" si="21"/>
        <v>179.84</v>
      </c>
      <c r="V117" s="498">
        <f>(O117-N117)*11%</f>
        <v>409.57400000000001</v>
      </c>
      <c r="W117" s="498"/>
      <c r="X117" s="498"/>
      <c r="Y117" s="498"/>
      <c r="Z117" s="462">
        <f t="shared" si="22"/>
        <v>589.41399999999999</v>
      </c>
      <c r="AA117" s="462">
        <f t="shared" si="23"/>
        <v>3383.9859999999999</v>
      </c>
      <c r="AB117" s="489">
        <v>1000</v>
      </c>
    </row>
    <row r="118" spans="1:28" s="507" customFormat="1" ht="12">
      <c r="A118" s="456">
        <v>115</v>
      </c>
      <c r="B118" s="457" t="s">
        <v>1731</v>
      </c>
      <c r="C118" s="497">
        <v>9901443004</v>
      </c>
      <c r="D118" s="459" t="s">
        <v>1732</v>
      </c>
      <c r="E118" s="460" t="s">
        <v>32</v>
      </c>
      <c r="F118" s="461">
        <v>31</v>
      </c>
      <c r="G118" s="498">
        <v>71.400000000000006</v>
      </c>
      <c r="H118" s="462">
        <f t="shared" si="12"/>
        <v>2213.4</v>
      </c>
      <c r="I118" s="462">
        <f t="shared" si="13"/>
        <v>8568</v>
      </c>
      <c r="J118" s="463">
        <v>4</v>
      </c>
      <c r="K118" s="534">
        <v>50</v>
      </c>
      <c r="L118" s="462">
        <f t="shared" si="14"/>
        <v>1760</v>
      </c>
      <c r="M118" s="462">
        <v>1510</v>
      </c>
      <c r="N118" s="462">
        <v>250</v>
      </c>
      <c r="O118" s="462">
        <f t="shared" si="15"/>
        <v>4023.4</v>
      </c>
      <c r="P118" s="488">
        <f t="shared" si="16"/>
        <v>1234</v>
      </c>
      <c r="Q118" s="489">
        <f t="shared" si="17"/>
        <v>1217.0958904109589</v>
      </c>
      <c r="R118" s="489">
        <f t="shared" si="18"/>
        <v>65.753424657534239</v>
      </c>
      <c r="S118" s="490">
        <f t="shared" si="19"/>
        <v>15808</v>
      </c>
      <c r="T118" s="490">
        <f t="shared" si="20"/>
        <v>18324.849315068492</v>
      </c>
      <c r="U118" s="491">
        <f t="shared" si="21"/>
        <v>182.26</v>
      </c>
      <c r="V118" s="498"/>
      <c r="W118" s="498">
        <v>10</v>
      </c>
      <c r="X118" s="498"/>
      <c r="Y118" s="498">
        <v>2042.41</v>
      </c>
      <c r="Z118" s="462">
        <f t="shared" si="22"/>
        <v>2234.67</v>
      </c>
      <c r="AA118" s="462">
        <f t="shared" si="23"/>
        <v>1788.73</v>
      </c>
      <c r="AB118" s="489">
        <v>1000</v>
      </c>
    </row>
    <row r="119" spans="1:28" s="507" customFormat="1" ht="12">
      <c r="A119" s="456">
        <v>116</v>
      </c>
      <c r="B119" s="457" t="s">
        <v>1733</v>
      </c>
      <c r="C119" s="497">
        <v>9901469336</v>
      </c>
      <c r="D119" s="459" t="s">
        <v>1734</v>
      </c>
      <c r="E119" s="460" t="s">
        <v>32</v>
      </c>
      <c r="F119" s="461">
        <v>31</v>
      </c>
      <c r="G119" s="498">
        <v>71.400000000000006</v>
      </c>
      <c r="H119" s="462">
        <f t="shared" si="12"/>
        <v>2213.4</v>
      </c>
      <c r="I119" s="462">
        <f t="shared" si="13"/>
        <v>8568</v>
      </c>
      <c r="J119" s="463">
        <v>4</v>
      </c>
      <c r="K119" s="534"/>
      <c r="L119" s="462">
        <f t="shared" si="14"/>
        <v>1760</v>
      </c>
      <c r="M119" s="462">
        <v>1510</v>
      </c>
      <c r="N119" s="462">
        <v>250</v>
      </c>
      <c r="O119" s="462">
        <f t="shared" si="15"/>
        <v>3973.4</v>
      </c>
      <c r="P119" s="488">
        <f t="shared" si="16"/>
        <v>1217.3333333333333</v>
      </c>
      <c r="Q119" s="489">
        <f t="shared" si="17"/>
        <v>1200.6575342465753</v>
      </c>
      <c r="R119" s="489">
        <f t="shared" si="18"/>
        <v>65.753424657534239</v>
      </c>
      <c r="S119" s="490">
        <f t="shared" si="19"/>
        <v>15608</v>
      </c>
      <c r="T119" s="490">
        <f t="shared" si="20"/>
        <v>18091.744292237443</v>
      </c>
      <c r="U119" s="491">
        <f t="shared" si="21"/>
        <v>179.84</v>
      </c>
      <c r="V119" s="498"/>
      <c r="W119" s="498">
        <v>10</v>
      </c>
      <c r="X119" s="498"/>
      <c r="Y119" s="498"/>
      <c r="Z119" s="462">
        <f t="shared" si="22"/>
        <v>189.84</v>
      </c>
      <c r="AA119" s="462">
        <f t="shared" si="23"/>
        <v>3783.56</v>
      </c>
      <c r="AB119" s="489">
        <v>1000</v>
      </c>
    </row>
    <row r="120" spans="1:28" s="507" customFormat="1" ht="12">
      <c r="A120" s="456">
        <v>117</v>
      </c>
      <c r="B120" s="466" t="s">
        <v>1735</v>
      </c>
      <c r="C120" s="497">
        <v>9901443728</v>
      </c>
      <c r="D120" s="459" t="s">
        <v>1736</v>
      </c>
      <c r="E120" s="460" t="s">
        <v>32</v>
      </c>
      <c r="F120" s="461">
        <v>31</v>
      </c>
      <c r="G120" s="498">
        <v>71.400000000000006</v>
      </c>
      <c r="H120" s="462">
        <f t="shared" si="12"/>
        <v>2213.4</v>
      </c>
      <c r="I120" s="462">
        <f t="shared" si="13"/>
        <v>8568</v>
      </c>
      <c r="J120" s="463">
        <v>4</v>
      </c>
      <c r="K120" s="534">
        <v>75</v>
      </c>
      <c r="L120" s="462">
        <f t="shared" si="14"/>
        <v>1760</v>
      </c>
      <c r="M120" s="462">
        <v>1510</v>
      </c>
      <c r="N120" s="462">
        <v>250</v>
      </c>
      <c r="O120" s="462">
        <f t="shared" si="15"/>
        <v>4048.4</v>
      </c>
      <c r="P120" s="488">
        <f t="shared" si="16"/>
        <v>1242.3333333333333</v>
      </c>
      <c r="Q120" s="489">
        <f t="shared" si="17"/>
        <v>1225.3150684931506</v>
      </c>
      <c r="R120" s="489">
        <f t="shared" si="18"/>
        <v>65.753424657534239</v>
      </c>
      <c r="S120" s="490">
        <f t="shared" si="19"/>
        <v>15908</v>
      </c>
      <c r="T120" s="490">
        <f t="shared" si="20"/>
        <v>18441.401826484016</v>
      </c>
      <c r="U120" s="491">
        <f t="shared" si="21"/>
        <v>183.46</v>
      </c>
      <c r="V120" s="498">
        <f>(O120-N120)*11%</f>
        <v>417.82400000000001</v>
      </c>
      <c r="W120" s="498">
        <v>10</v>
      </c>
      <c r="X120" s="498"/>
      <c r="Y120" s="498"/>
      <c r="Z120" s="462">
        <f t="shared" si="22"/>
        <v>611.28399999999999</v>
      </c>
      <c r="AA120" s="462">
        <f t="shared" si="23"/>
        <v>3437.116</v>
      </c>
      <c r="AB120" s="489">
        <v>1000</v>
      </c>
    </row>
    <row r="121" spans="1:28" s="507" customFormat="1" ht="12">
      <c r="A121" s="456">
        <v>118</v>
      </c>
      <c r="B121" s="457" t="s">
        <v>1737</v>
      </c>
      <c r="C121" s="600">
        <v>9901442607</v>
      </c>
      <c r="D121" s="459" t="s">
        <v>1738</v>
      </c>
      <c r="E121" s="460" t="s">
        <v>39</v>
      </c>
      <c r="F121" s="461">
        <v>31</v>
      </c>
      <c r="G121" s="498">
        <v>78.25</v>
      </c>
      <c r="H121" s="462">
        <f t="shared" si="12"/>
        <v>2425.75</v>
      </c>
      <c r="I121" s="462">
        <f t="shared" si="13"/>
        <v>9390</v>
      </c>
      <c r="J121" s="463">
        <v>4</v>
      </c>
      <c r="K121" s="534">
        <v>50</v>
      </c>
      <c r="L121" s="462">
        <f t="shared" si="14"/>
        <v>1760</v>
      </c>
      <c r="M121" s="462">
        <v>1510</v>
      </c>
      <c r="N121" s="462">
        <v>250</v>
      </c>
      <c r="O121" s="462">
        <f t="shared" si="15"/>
        <v>4235.75</v>
      </c>
      <c r="P121" s="488">
        <f t="shared" si="16"/>
        <v>1302.5</v>
      </c>
      <c r="Q121" s="489">
        <f t="shared" si="17"/>
        <v>1284.6575342465753</v>
      </c>
      <c r="R121" s="489">
        <f t="shared" si="18"/>
        <v>65.753424657534239</v>
      </c>
      <c r="S121" s="490">
        <f t="shared" si="19"/>
        <v>16630</v>
      </c>
      <c r="T121" s="490">
        <f t="shared" si="20"/>
        <v>19282.910958904111</v>
      </c>
      <c r="U121" s="491">
        <f t="shared" si="21"/>
        <v>192.51</v>
      </c>
      <c r="V121" s="498"/>
      <c r="W121" s="498">
        <v>10</v>
      </c>
      <c r="X121" s="498"/>
      <c r="Y121" s="498">
        <v>3908.24</v>
      </c>
      <c r="Z121" s="462">
        <f t="shared" si="22"/>
        <v>4110.75</v>
      </c>
      <c r="AA121" s="462">
        <f t="shared" si="23"/>
        <v>125</v>
      </c>
      <c r="AB121" s="489">
        <v>1000</v>
      </c>
    </row>
    <row r="122" spans="1:28" s="507" customFormat="1" ht="12">
      <c r="A122" s="456">
        <v>119</v>
      </c>
      <c r="B122" s="457" t="s">
        <v>1739</v>
      </c>
      <c r="C122" s="497">
        <v>9901442404</v>
      </c>
      <c r="D122" s="459" t="s">
        <v>1740</v>
      </c>
      <c r="E122" s="460" t="s">
        <v>32</v>
      </c>
      <c r="F122" s="461">
        <v>31</v>
      </c>
      <c r="G122" s="498">
        <v>71.400000000000006</v>
      </c>
      <c r="H122" s="462">
        <f t="shared" si="12"/>
        <v>2213.4</v>
      </c>
      <c r="I122" s="462">
        <f t="shared" si="13"/>
        <v>8568</v>
      </c>
      <c r="J122" s="463">
        <v>4</v>
      </c>
      <c r="K122" s="534">
        <v>75</v>
      </c>
      <c r="L122" s="462">
        <f t="shared" si="14"/>
        <v>1760</v>
      </c>
      <c r="M122" s="462">
        <v>1510</v>
      </c>
      <c r="N122" s="462">
        <v>250</v>
      </c>
      <c r="O122" s="462">
        <f t="shared" si="15"/>
        <v>4048.4</v>
      </c>
      <c r="P122" s="488">
        <f t="shared" si="16"/>
        <v>1242.3333333333333</v>
      </c>
      <c r="Q122" s="489">
        <f t="shared" si="17"/>
        <v>1225.3150684931506</v>
      </c>
      <c r="R122" s="489">
        <f t="shared" si="18"/>
        <v>65.753424657534239</v>
      </c>
      <c r="S122" s="490">
        <f t="shared" si="19"/>
        <v>15908</v>
      </c>
      <c r="T122" s="490">
        <f t="shared" si="20"/>
        <v>18441.401826484016</v>
      </c>
      <c r="U122" s="491">
        <f t="shared" si="21"/>
        <v>183.46</v>
      </c>
      <c r="V122" s="498">
        <f>(O122-N122)*11%</f>
        <v>417.82400000000001</v>
      </c>
      <c r="W122" s="498">
        <v>10</v>
      </c>
      <c r="X122" s="498"/>
      <c r="Y122" s="498"/>
      <c r="Z122" s="462">
        <f t="shared" si="22"/>
        <v>611.28399999999999</v>
      </c>
      <c r="AA122" s="462">
        <f t="shared" si="23"/>
        <v>3437.116</v>
      </c>
      <c r="AB122" s="489">
        <v>1000</v>
      </c>
    </row>
    <row r="123" spans="1:28" s="507" customFormat="1" ht="12">
      <c r="A123" s="456">
        <v>120</v>
      </c>
      <c r="B123" s="457" t="s">
        <v>1741</v>
      </c>
      <c r="C123" s="497">
        <v>9901443909</v>
      </c>
      <c r="D123" s="459" t="s">
        <v>1742</v>
      </c>
      <c r="E123" s="460" t="s">
        <v>44</v>
      </c>
      <c r="F123" s="461">
        <v>31</v>
      </c>
      <c r="G123" s="498">
        <v>72.540000000000006</v>
      </c>
      <c r="H123" s="462">
        <f t="shared" si="12"/>
        <v>2248.7400000000002</v>
      </c>
      <c r="I123" s="462">
        <f t="shared" si="13"/>
        <v>8704.8000000000011</v>
      </c>
      <c r="J123" s="463">
        <v>4</v>
      </c>
      <c r="K123" s="534">
        <v>75</v>
      </c>
      <c r="L123" s="462">
        <f t="shared" si="14"/>
        <v>1760</v>
      </c>
      <c r="M123" s="462">
        <v>1510</v>
      </c>
      <c r="N123" s="462">
        <v>250</v>
      </c>
      <c r="O123" s="462">
        <f t="shared" si="15"/>
        <v>4083.7400000000002</v>
      </c>
      <c r="P123" s="488">
        <f t="shared" si="16"/>
        <v>1253.7333333333333</v>
      </c>
      <c r="Q123" s="489">
        <f t="shared" si="17"/>
        <v>1236.5589041095891</v>
      </c>
      <c r="R123" s="489">
        <f t="shared" si="18"/>
        <v>65.753424657534239</v>
      </c>
      <c r="S123" s="490">
        <f t="shared" si="19"/>
        <v>16044.800000000001</v>
      </c>
      <c r="T123" s="490">
        <f t="shared" si="20"/>
        <v>18600.845662100459</v>
      </c>
      <c r="U123" s="491">
        <f t="shared" si="21"/>
        <v>185.17</v>
      </c>
      <c r="V123" s="498">
        <f>(O123-N123)*11%</f>
        <v>421.71140000000003</v>
      </c>
      <c r="W123" s="498">
        <v>10</v>
      </c>
      <c r="X123" s="498"/>
      <c r="Y123" s="498">
        <v>1280.06</v>
      </c>
      <c r="Z123" s="462">
        <f t="shared" si="22"/>
        <v>1896.9414000000002</v>
      </c>
      <c r="AA123" s="462">
        <f t="shared" si="23"/>
        <v>2186.7986000000001</v>
      </c>
      <c r="AB123" s="489">
        <v>1000</v>
      </c>
    </row>
    <row r="124" spans="1:28" s="507" customFormat="1" ht="12">
      <c r="A124" s="456">
        <v>121</v>
      </c>
      <c r="B124" s="466" t="s">
        <v>1743</v>
      </c>
      <c r="C124" s="497">
        <v>9901442818</v>
      </c>
      <c r="D124" s="459" t="s">
        <v>1744</v>
      </c>
      <c r="E124" s="460" t="s">
        <v>32</v>
      </c>
      <c r="F124" s="461">
        <v>31</v>
      </c>
      <c r="G124" s="498">
        <v>71.400000000000006</v>
      </c>
      <c r="H124" s="462">
        <f t="shared" si="12"/>
        <v>2213.4</v>
      </c>
      <c r="I124" s="462">
        <f t="shared" si="13"/>
        <v>8568</v>
      </c>
      <c r="J124" s="463">
        <v>4</v>
      </c>
      <c r="K124" s="534">
        <v>50</v>
      </c>
      <c r="L124" s="462">
        <f t="shared" si="14"/>
        <v>1760</v>
      </c>
      <c r="M124" s="462">
        <v>1510</v>
      </c>
      <c r="N124" s="462">
        <v>250</v>
      </c>
      <c r="O124" s="462">
        <f t="shared" si="15"/>
        <v>4023.4</v>
      </c>
      <c r="P124" s="488">
        <f t="shared" si="16"/>
        <v>1234</v>
      </c>
      <c r="Q124" s="489">
        <f t="shared" si="17"/>
        <v>1217.0958904109589</v>
      </c>
      <c r="R124" s="489">
        <f t="shared" si="18"/>
        <v>65.753424657534239</v>
      </c>
      <c r="S124" s="490">
        <f t="shared" si="19"/>
        <v>15808</v>
      </c>
      <c r="T124" s="490">
        <f t="shared" si="20"/>
        <v>18324.849315068492</v>
      </c>
      <c r="U124" s="491">
        <f t="shared" si="21"/>
        <v>182.26</v>
      </c>
      <c r="V124" s="498"/>
      <c r="W124" s="498">
        <v>10</v>
      </c>
      <c r="X124" s="498"/>
      <c r="Y124" s="498"/>
      <c r="Z124" s="462">
        <f t="shared" si="22"/>
        <v>192.26</v>
      </c>
      <c r="AA124" s="462">
        <f t="shared" si="23"/>
        <v>3831.1400000000003</v>
      </c>
      <c r="AB124" s="489">
        <v>1000</v>
      </c>
    </row>
    <row r="125" spans="1:28" s="507" customFormat="1" ht="12">
      <c r="A125" s="456">
        <v>122</v>
      </c>
      <c r="B125" s="466" t="s">
        <v>1745</v>
      </c>
      <c r="C125" s="497">
        <v>9901443906</v>
      </c>
      <c r="D125" s="459" t="s">
        <v>1746</v>
      </c>
      <c r="E125" s="460" t="s">
        <v>54</v>
      </c>
      <c r="F125" s="461">
        <v>31</v>
      </c>
      <c r="G125" s="498">
        <v>71.400000000000006</v>
      </c>
      <c r="H125" s="462">
        <f t="shared" si="12"/>
        <v>2213.4</v>
      </c>
      <c r="I125" s="462">
        <f t="shared" si="13"/>
        <v>8568</v>
      </c>
      <c r="J125" s="463">
        <v>4</v>
      </c>
      <c r="K125" s="534">
        <v>50</v>
      </c>
      <c r="L125" s="462">
        <f t="shared" si="14"/>
        <v>1760</v>
      </c>
      <c r="M125" s="462">
        <v>1510</v>
      </c>
      <c r="N125" s="462">
        <v>250</v>
      </c>
      <c r="O125" s="462">
        <f t="shared" si="15"/>
        <v>4023.4</v>
      </c>
      <c r="P125" s="488">
        <f t="shared" si="16"/>
        <v>1234</v>
      </c>
      <c r="Q125" s="489">
        <f t="shared" si="17"/>
        <v>1217.0958904109589</v>
      </c>
      <c r="R125" s="489">
        <f t="shared" si="18"/>
        <v>65.753424657534239</v>
      </c>
      <c r="S125" s="490">
        <f t="shared" si="19"/>
        <v>15808</v>
      </c>
      <c r="T125" s="490">
        <f t="shared" si="20"/>
        <v>18324.849315068492</v>
      </c>
      <c r="U125" s="491">
        <f t="shared" si="21"/>
        <v>182.26</v>
      </c>
      <c r="V125" s="498"/>
      <c r="W125" s="498"/>
      <c r="X125" s="498"/>
      <c r="Y125" s="498"/>
      <c r="Z125" s="462">
        <f t="shared" si="22"/>
        <v>182.26</v>
      </c>
      <c r="AA125" s="462">
        <f t="shared" si="23"/>
        <v>3841.1400000000003</v>
      </c>
      <c r="AB125" s="489">
        <v>1000</v>
      </c>
    </row>
    <row r="126" spans="1:28" s="507" customFormat="1" ht="12">
      <c r="A126" s="456">
        <v>123</v>
      </c>
      <c r="B126" s="466" t="s">
        <v>1747</v>
      </c>
      <c r="C126" s="497">
        <v>9901443082</v>
      </c>
      <c r="D126" s="459" t="s">
        <v>1748</v>
      </c>
      <c r="E126" s="460" t="s">
        <v>54</v>
      </c>
      <c r="F126" s="461">
        <v>31</v>
      </c>
      <c r="G126" s="498">
        <v>71.400000000000006</v>
      </c>
      <c r="H126" s="462">
        <f t="shared" si="12"/>
        <v>2213.4</v>
      </c>
      <c r="I126" s="462">
        <f t="shared" si="13"/>
        <v>8568</v>
      </c>
      <c r="J126" s="463">
        <v>4</v>
      </c>
      <c r="K126" s="534">
        <v>50</v>
      </c>
      <c r="L126" s="462">
        <f t="shared" si="14"/>
        <v>1760</v>
      </c>
      <c r="M126" s="462">
        <v>1510</v>
      </c>
      <c r="N126" s="462">
        <v>250</v>
      </c>
      <c r="O126" s="462">
        <f t="shared" si="15"/>
        <v>4023.4</v>
      </c>
      <c r="P126" s="488">
        <f t="shared" si="16"/>
        <v>1234</v>
      </c>
      <c r="Q126" s="489">
        <f t="shared" si="17"/>
        <v>1217.0958904109589</v>
      </c>
      <c r="R126" s="489">
        <f t="shared" si="18"/>
        <v>65.753424657534239</v>
      </c>
      <c r="S126" s="490">
        <f t="shared" si="19"/>
        <v>15808</v>
      </c>
      <c r="T126" s="490">
        <f t="shared" si="20"/>
        <v>18324.849315068492</v>
      </c>
      <c r="U126" s="491">
        <f t="shared" si="21"/>
        <v>182.26</v>
      </c>
      <c r="V126" s="498">
        <f>(O126-N126)*11%</f>
        <v>415.07400000000001</v>
      </c>
      <c r="W126" s="498"/>
      <c r="X126" s="498"/>
      <c r="Y126" s="498"/>
      <c r="Z126" s="462">
        <f t="shared" si="22"/>
        <v>597.33400000000006</v>
      </c>
      <c r="AA126" s="462">
        <f t="shared" si="23"/>
        <v>3426.0659999999998</v>
      </c>
      <c r="AB126" s="489">
        <v>1000</v>
      </c>
    </row>
    <row r="127" spans="1:28" s="507" customFormat="1" ht="12">
      <c r="A127" s="456">
        <v>124</v>
      </c>
      <c r="B127" s="466" t="s">
        <v>1749</v>
      </c>
      <c r="C127" s="497">
        <v>9901443121</v>
      </c>
      <c r="D127" s="459" t="s">
        <v>1750</v>
      </c>
      <c r="E127" s="460" t="s">
        <v>32</v>
      </c>
      <c r="F127" s="461">
        <v>31</v>
      </c>
      <c r="G127" s="498">
        <v>71.400000000000006</v>
      </c>
      <c r="H127" s="462">
        <f t="shared" si="12"/>
        <v>2213.4</v>
      </c>
      <c r="I127" s="462">
        <f t="shared" si="13"/>
        <v>8568</v>
      </c>
      <c r="J127" s="463">
        <v>4</v>
      </c>
      <c r="K127" s="533">
        <v>50</v>
      </c>
      <c r="L127" s="462">
        <f t="shared" si="14"/>
        <v>1760</v>
      </c>
      <c r="M127" s="462">
        <v>1510</v>
      </c>
      <c r="N127" s="462">
        <v>250</v>
      </c>
      <c r="O127" s="462">
        <f t="shared" si="15"/>
        <v>4023.4</v>
      </c>
      <c r="P127" s="488">
        <f t="shared" si="16"/>
        <v>1234</v>
      </c>
      <c r="Q127" s="489">
        <f t="shared" si="17"/>
        <v>1217.0958904109589</v>
      </c>
      <c r="R127" s="489">
        <f t="shared" si="18"/>
        <v>65.753424657534239</v>
      </c>
      <c r="S127" s="490">
        <f t="shared" si="19"/>
        <v>15808</v>
      </c>
      <c r="T127" s="490">
        <f t="shared" si="20"/>
        <v>18324.849315068492</v>
      </c>
      <c r="U127" s="491">
        <f t="shared" si="21"/>
        <v>182.26</v>
      </c>
      <c r="V127" s="498"/>
      <c r="W127" s="462">
        <v>10</v>
      </c>
      <c r="X127" s="498"/>
      <c r="Y127" s="498">
        <v>1521.17</v>
      </c>
      <c r="Z127" s="462">
        <f t="shared" si="22"/>
        <v>1713.43</v>
      </c>
      <c r="AA127" s="462">
        <f t="shared" si="23"/>
        <v>2309.9700000000003</v>
      </c>
      <c r="AB127" s="489">
        <v>1000</v>
      </c>
    </row>
    <row r="128" spans="1:28" s="507" customFormat="1" ht="12">
      <c r="A128" s="456">
        <v>125</v>
      </c>
      <c r="B128" s="466" t="s">
        <v>1751</v>
      </c>
      <c r="C128" s="497">
        <v>9901442836</v>
      </c>
      <c r="D128" s="459" t="s">
        <v>1752</v>
      </c>
      <c r="E128" s="460" t="s">
        <v>32</v>
      </c>
      <c r="F128" s="461">
        <v>31</v>
      </c>
      <c r="G128" s="498">
        <v>71.400000000000006</v>
      </c>
      <c r="H128" s="462">
        <f t="shared" si="12"/>
        <v>2213.4</v>
      </c>
      <c r="I128" s="462">
        <f t="shared" si="13"/>
        <v>8568</v>
      </c>
      <c r="J128" s="463">
        <v>4</v>
      </c>
      <c r="K128" s="534">
        <v>50</v>
      </c>
      <c r="L128" s="462">
        <f t="shared" si="14"/>
        <v>1760</v>
      </c>
      <c r="M128" s="462">
        <v>1510</v>
      </c>
      <c r="N128" s="462">
        <v>250</v>
      </c>
      <c r="O128" s="462">
        <f t="shared" si="15"/>
        <v>4023.4</v>
      </c>
      <c r="P128" s="488">
        <f t="shared" si="16"/>
        <v>1234</v>
      </c>
      <c r="Q128" s="489">
        <f t="shared" si="17"/>
        <v>1217.0958904109589</v>
      </c>
      <c r="R128" s="489">
        <f t="shared" si="18"/>
        <v>65.753424657534239</v>
      </c>
      <c r="S128" s="490">
        <f t="shared" si="19"/>
        <v>15808</v>
      </c>
      <c r="T128" s="490">
        <f t="shared" si="20"/>
        <v>18324.849315068492</v>
      </c>
      <c r="U128" s="491">
        <f t="shared" si="21"/>
        <v>182.26</v>
      </c>
      <c r="V128" s="498">
        <f>(O128-N128)*11%</f>
        <v>415.07400000000001</v>
      </c>
      <c r="W128" s="498">
        <v>10</v>
      </c>
      <c r="X128" s="498"/>
      <c r="Y128" s="498"/>
      <c r="Z128" s="462">
        <f t="shared" si="22"/>
        <v>607.33400000000006</v>
      </c>
      <c r="AA128" s="462">
        <f t="shared" si="23"/>
        <v>3416.0659999999998</v>
      </c>
      <c r="AB128" s="489">
        <v>1000</v>
      </c>
    </row>
    <row r="129" spans="1:30" s="507" customFormat="1" ht="12">
      <c r="A129" s="456">
        <v>126</v>
      </c>
      <c r="B129" s="466" t="s">
        <v>1753</v>
      </c>
      <c r="C129" s="497">
        <v>9901443733</v>
      </c>
      <c r="D129" s="459" t="s">
        <v>1754</v>
      </c>
      <c r="E129" s="460" t="s">
        <v>32</v>
      </c>
      <c r="F129" s="461">
        <v>31</v>
      </c>
      <c r="G129" s="498">
        <v>71.400000000000006</v>
      </c>
      <c r="H129" s="462">
        <f t="shared" si="12"/>
        <v>2213.4</v>
      </c>
      <c r="I129" s="462">
        <f t="shared" si="13"/>
        <v>8568</v>
      </c>
      <c r="J129" s="463">
        <v>4</v>
      </c>
      <c r="K129" s="534">
        <v>50</v>
      </c>
      <c r="L129" s="462">
        <f t="shared" si="14"/>
        <v>1760</v>
      </c>
      <c r="M129" s="462">
        <v>1510</v>
      </c>
      <c r="N129" s="462">
        <v>250</v>
      </c>
      <c r="O129" s="462">
        <f t="shared" si="15"/>
        <v>4023.4</v>
      </c>
      <c r="P129" s="488">
        <f t="shared" si="16"/>
        <v>1234</v>
      </c>
      <c r="Q129" s="489">
        <f t="shared" si="17"/>
        <v>1217.0958904109589</v>
      </c>
      <c r="R129" s="489">
        <f t="shared" si="18"/>
        <v>65.753424657534239</v>
      </c>
      <c r="S129" s="490">
        <f t="shared" si="19"/>
        <v>15808</v>
      </c>
      <c r="T129" s="490">
        <f t="shared" si="20"/>
        <v>18324.849315068492</v>
      </c>
      <c r="U129" s="491">
        <f t="shared" si="21"/>
        <v>182.26</v>
      </c>
      <c r="V129" s="498">
        <f>(O129-N129)*11%</f>
        <v>415.07400000000001</v>
      </c>
      <c r="W129" s="498">
        <v>10</v>
      </c>
      <c r="X129" s="498"/>
      <c r="Y129" s="498"/>
      <c r="Z129" s="462">
        <f t="shared" si="22"/>
        <v>607.33400000000006</v>
      </c>
      <c r="AA129" s="462">
        <f t="shared" si="23"/>
        <v>3416.0659999999998</v>
      </c>
      <c r="AB129" s="489">
        <v>1000</v>
      </c>
    </row>
    <row r="130" spans="1:30" s="507" customFormat="1" ht="12">
      <c r="A130" s="456">
        <v>127</v>
      </c>
      <c r="B130" s="457" t="s">
        <v>1755</v>
      </c>
      <c r="C130" s="497">
        <v>9901443115</v>
      </c>
      <c r="D130" s="459" t="s">
        <v>1756</v>
      </c>
      <c r="E130" s="460" t="s">
        <v>32</v>
      </c>
      <c r="F130" s="461">
        <v>31</v>
      </c>
      <c r="G130" s="498">
        <v>71.400000000000006</v>
      </c>
      <c r="H130" s="462">
        <f t="shared" si="12"/>
        <v>2213.4</v>
      </c>
      <c r="I130" s="462">
        <f t="shared" si="13"/>
        <v>8568</v>
      </c>
      <c r="J130" s="463">
        <v>4</v>
      </c>
      <c r="K130" s="534">
        <v>50</v>
      </c>
      <c r="L130" s="462">
        <f t="shared" si="14"/>
        <v>1760</v>
      </c>
      <c r="M130" s="462">
        <v>1510</v>
      </c>
      <c r="N130" s="462">
        <v>250</v>
      </c>
      <c r="O130" s="462">
        <f t="shared" si="15"/>
        <v>4023.4</v>
      </c>
      <c r="P130" s="488">
        <f t="shared" si="16"/>
        <v>1234</v>
      </c>
      <c r="Q130" s="489">
        <f t="shared" si="17"/>
        <v>1217.0958904109589</v>
      </c>
      <c r="R130" s="489">
        <f t="shared" si="18"/>
        <v>65.753424657534239</v>
      </c>
      <c r="S130" s="490">
        <f t="shared" si="19"/>
        <v>15808</v>
      </c>
      <c r="T130" s="490">
        <f t="shared" si="20"/>
        <v>18324.849315068492</v>
      </c>
      <c r="U130" s="491">
        <f t="shared" si="21"/>
        <v>182.26</v>
      </c>
      <c r="V130" s="498">
        <f>(O130-N130)*11%</f>
        <v>415.07400000000001</v>
      </c>
      <c r="W130" s="498">
        <v>10</v>
      </c>
      <c r="X130" s="498"/>
      <c r="Y130" s="498"/>
      <c r="Z130" s="462">
        <f t="shared" si="22"/>
        <v>607.33400000000006</v>
      </c>
      <c r="AA130" s="462">
        <f t="shared" si="23"/>
        <v>3416.0659999999998</v>
      </c>
      <c r="AB130" s="489">
        <v>1000</v>
      </c>
    </row>
    <row r="131" spans="1:30" s="507" customFormat="1" ht="12">
      <c r="A131" s="456">
        <v>128</v>
      </c>
      <c r="B131" s="457" t="s">
        <v>1757</v>
      </c>
      <c r="C131" s="497">
        <v>9901443754</v>
      </c>
      <c r="D131" s="459" t="s">
        <v>1758</v>
      </c>
      <c r="E131" s="460" t="s">
        <v>72</v>
      </c>
      <c r="F131" s="461">
        <v>31</v>
      </c>
      <c r="G131" s="498">
        <v>71.400000000000006</v>
      </c>
      <c r="H131" s="462">
        <f t="shared" si="12"/>
        <v>2213.4</v>
      </c>
      <c r="I131" s="462">
        <f t="shared" si="13"/>
        <v>8568</v>
      </c>
      <c r="J131" s="463">
        <v>4</v>
      </c>
      <c r="K131" s="534">
        <v>50</v>
      </c>
      <c r="L131" s="462">
        <f t="shared" si="14"/>
        <v>1760</v>
      </c>
      <c r="M131" s="462">
        <v>1510</v>
      </c>
      <c r="N131" s="462">
        <v>250</v>
      </c>
      <c r="O131" s="462">
        <f t="shared" si="15"/>
        <v>4023.4</v>
      </c>
      <c r="P131" s="488">
        <f t="shared" si="16"/>
        <v>1234</v>
      </c>
      <c r="Q131" s="489">
        <f t="shared" si="17"/>
        <v>1217.0958904109589</v>
      </c>
      <c r="R131" s="489">
        <f t="shared" si="18"/>
        <v>65.753424657534239</v>
      </c>
      <c r="S131" s="490">
        <f t="shared" si="19"/>
        <v>15808</v>
      </c>
      <c r="T131" s="490">
        <f t="shared" si="20"/>
        <v>18324.849315068492</v>
      </c>
      <c r="U131" s="491">
        <f t="shared" si="21"/>
        <v>182.26</v>
      </c>
      <c r="V131" s="498"/>
      <c r="W131" s="498">
        <v>10</v>
      </c>
      <c r="X131" s="498"/>
      <c r="Y131" s="498">
        <v>1741.38</v>
      </c>
      <c r="Z131" s="462">
        <f t="shared" si="22"/>
        <v>1933.64</v>
      </c>
      <c r="AA131" s="462">
        <f t="shared" si="23"/>
        <v>2089.7600000000002</v>
      </c>
      <c r="AB131" s="489">
        <v>1000</v>
      </c>
    </row>
    <row r="132" spans="1:30" s="507" customFormat="1" ht="12">
      <c r="A132" s="456">
        <v>129</v>
      </c>
      <c r="B132" s="466" t="s">
        <v>1759</v>
      </c>
      <c r="C132" s="497">
        <v>9901442678</v>
      </c>
      <c r="D132" s="459" t="s">
        <v>1760</v>
      </c>
      <c r="E132" s="460" t="s">
        <v>54</v>
      </c>
      <c r="F132" s="461">
        <v>31</v>
      </c>
      <c r="G132" s="498">
        <v>71.400000000000006</v>
      </c>
      <c r="H132" s="462">
        <f t="shared" ref="H132:H195" si="24">+F132*G132</f>
        <v>2213.4</v>
      </c>
      <c r="I132" s="462">
        <f t="shared" ref="I132:I195" si="25">G132*120</f>
        <v>8568</v>
      </c>
      <c r="J132" s="463">
        <v>4</v>
      </c>
      <c r="K132" s="534">
        <v>50</v>
      </c>
      <c r="L132" s="462">
        <f t="shared" ref="L132:L195" si="26">M132+N132</f>
        <v>1760</v>
      </c>
      <c r="M132" s="462">
        <v>1510</v>
      </c>
      <c r="N132" s="462">
        <v>250</v>
      </c>
      <c r="O132" s="462">
        <f t="shared" ref="O132:O195" si="27">+H132+M132+N132+K132</f>
        <v>4023.4</v>
      </c>
      <c r="P132" s="488">
        <f t="shared" ref="P132:P195" si="28">(((G132*120)+(K132+M132)*4)/12)</f>
        <v>1234</v>
      </c>
      <c r="Q132" s="489">
        <f t="shared" ref="Q132:Q195" si="29">(((G132*30)+M132+K132)/365*120)</f>
        <v>1217.0958904109589</v>
      </c>
      <c r="R132" s="489">
        <f t="shared" ref="R132:R195" si="30">+(200/365)*120</f>
        <v>65.753424657534239</v>
      </c>
      <c r="S132" s="490">
        <f t="shared" ref="S132:S195" si="31">(((G132*120)+((K132+M132+N132)*4)))</f>
        <v>15808</v>
      </c>
      <c r="T132" s="490">
        <f t="shared" ref="T132:T195" si="32">+S132+R132+Q132+P132</f>
        <v>18324.849315068492</v>
      </c>
      <c r="U132" s="491">
        <f t="shared" ref="U132:U195" si="33">ROUND((((H132+K132+M132)*4.83)/100),2)</f>
        <v>182.26</v>
      </c>
      <c r="V132" s="498"/>
      <c r="W132" s="498">
        <v>10</v>
      </c>
      <c r="X132" s="498"/>
      <c r="Y132" s="498">
        <v>2718.59</v>
      </c>
      <c r="Z132" s="462">
        <f t="shared" ref="Z132:Z193" si="34">V132+W132+X132+Y132+U132</f>
        <v>2910.8500000000004</v>
      </c>
      <c r="AA132" s="462">
        <f t="shared" ref="AA132:AA193" si="35">+O132-Z132</f>
        <v>1112.5499999999997</v>
      </c>
      <c r="AB132" s="489">
        <v>1000</v>
      </c>
    </row>
    <row r="133" spans="1:30" s="507" customFormat="1" ht="12">
      <c r="A133" s="456">
        <v>130</v>
      </c>
      <c r="B133" s="457" t="s">
        <v>1761</v>
      </c>
      <c r="C133" s="497">
        <v>9901443122</v>
      </c>
      <c r="D133" s="459" t="s">
        <v>1762</v>
      </c>
      <c r="E133" s="460" t="s">
        <v>35</v>
      </c>
      <c r="F133" s="461">
        <v>31</v>
      </c>
      <c r="G133" s="498">
        <v>71.400000000000006</v>
      </c>
      <c r="H133" s="462">
        <f t="shared" si="24"/>
        <v>2213.4</v>
      </c>
      <c r="I133" s="462">
        <f t="shared" si="25"/>
        <v>8568</v>
      </c>
      <c r="J133" s="463">
        <v>4</v>
      </c>
      <c r="K133" s="533">
        <v>35</v>
      </c>
      <c r="L133" s="462">
        <f t="shared" si="26"/>
        <v>1760</v>
      </c>
      <c r="M133" s="462">
        <v>1510</v>
      </c>
      <c r="N133" s="462">
        <v>250</v>
      </c>
      <c r="O133" s="462">
        <f t="shared" si="27"/>
        <v>4008.4</v>
      </c>
      <c r="P133" s="488">
        <f t="shared" si="28"/>
        <v>1229</v>
      </c>
      <c r="Q133" s="489">
        <f t="shared" si="29"/>
        <v>1212.1643835616437</v>
      </c>
      <c r="R133" s="489">
        <f t="shared" si="30"/>
        <v>65.753424657534239</v>
      </c>
      <c r="S133" s="490">
        <f t="shared" si="31"/>
        <v>15748</v>
      </c>
      <c r="T133" s="490">
        <f t="shared" si="32"/>
        <v>18254.917808219179</v>
      </c>
      <c r="U133" s="491">
        <f t="shared" si="33"/>
        <v>181.53</v>
      </c>
      <c r="V133" s="498">
        <f>(O133-N133)*11%</f>
        <v>413.42400000000004</v>
      </c>
      <c r="W133" s="498"/>
      <c r="X133" s="498"/>
      <c r="Y133" s="498">
        <v>805.26</v>
      </c>
      <c r="Z133" s="462">
        <f t="shared" si="34"/>
        <v>1400.2139999999999</v>
      </c>
      <c r="AA133" s="462">
        <f t="shared" si="35"/>
        <v>2608.1860000000001</v>
      </c>
      <c r="AB133" s="489">
        <v>1000</v>
      </c>
      <c r="AD133" s="507" t="s">
        <v>771</v>
      </c>
    </row>
    <row r="134" spans="1:30" s="507" customFormat="1" ht="12">
      <c r="A134" s="456">
        <v>131</v>
      </c>
      <c r="B134" s="457" t="s">
        <v>1763</v>
      </c>
      <c r="C134" s="497">
        <v>9901477311</v>
      </c>
      <c r="D134" s="459" t="s">
        <v>1764</v>
      </c>
      <c r="E134" s="460" t="s">
        <v>86</v>
      </c>
      <c r="F134" s="461">
        <v>31</v>
      </c>
      <c r="G134" s="498">
        <v>78.25</v>
      </c>
      <c r="H134" s="462">
        <f t="shared" si="24"/>
        <v>2425.75</v>
      </c>
      <c r="I134" s="462">
        <f t="shared" si="25"/>
        <v>9390</v>
      </c>
      <c r="J134" s="463">
        <v>4</v>
      </c>
      <c r="K134" s="534"/>
      <c r="L134" s="462">
        <f t="shared" si="26"/>
        <v>1760</v>
      </c>
      <c r="M134" s="462">
        <v>1510</v>
      </c>
      <c r="N134" s="462">
        <v>250</v>
      </c>
      <c r="O134" s="462">
        <f t="shared" si="27"/>
        <v>4185.75</v>
      </c>
      <c r="P134" s="488">
        <f t="shared" si="28"/>
        <v>1285.8333333333333</v>
      </c>
      <c r="Q134" s="489">
        <f t="shared" si="29"/>
        <v>1268.2191780821918</v>
      </c>
      <c r="R134" s="489">
        <f t="shared" si="30"/>
        <v>65.753424657534239</v>
      </c>
      <c r="S134" s="490">
        <f t="shared" si="31"/>
        <v>16430</v>
      </c>
      <c r="T134" s="490">
        <f t="shared" si="32"/>
        <v>19049.805936073059</v>
      </c>
      <c r="U134" s="491">
        <f t="shared" si="33"/>
        <v>190.1</v>
      </c>
      <c r="V134" s="498"/>
      <c r="W134" s="498">
        <v>10</v>
      </c>
      <c r="X134" s="498"/>
      <c r="Y134" s="498">
        <v>794.37</v>
      </c>
      <c r="Z134" s="462">
        <f t="shared" si="34"/>
        <v>994.47</v>
      </c>
      <c r="AA134" s="462">
        <f t="shared" si="35"/>
        <v>3191.2799999999997</v>
      </c>
      <c r="AB134" s="489">
        <v>1000</v>
      </c>
    </row>
    <row r="135" spans="1:30" s="507" customFormat="1" ht="12">
      <c r="A135" s="456">
        <v>132</v>
      </c>
      <c r="B135" s="466" t="s">
        <v>1765</v>
      </c>
      <c r="C135" s="497">
        <v>9901451144</v>
      </c>
      <c r="D135" s="459" t="s">
        <v>1766</v>
      </c>
      <c r="E135" s="460" t="s">
        <v>32</v>
      </c>
      <c r="F135" s="461">
        <v>31</v>
      </c>
      <c r="G135" s="498">
        <v>71.400000000000006</v>
      </c>
      <c r="H135" s="462">
        <f t="shared" si="24"/>
        <v>2213.4</v>
      </c>
      <c r="I135" s="462">
        <f t="shared" si="25"/>
        <v>8568</v>
      </c>
      <c r="J135" s="463">
        <v>4</v>
      </c>
      <c r="K135" s="534"/>
      <c r="L135" s="462">
        <f t="shared" si="26"/>
        <v>1760</v>
      </c>
      <c r="M135" s="462">
        <v>1510</v>
      </c>
      <c r="N135" s="462">
        <v>250</v>
      </c>
      <c r="O135" s="462">
        <f t="shared" si="27"/>
        <v>3973.4</v>
      </c>
      <c r="P135" s="488">
        <f t="shared" si="28"/>
        <v>1217.3333333333333</v>
      </c>
      <c r="Q135" s="489">
        <f t="shared" si="29"/>
        <v>1200.6575342465753</v>
      </c>
      <c r="R135" s="489">
        <f t="shared" si="30"/>
        <v>65.753424657534239</v>
      </c>
      <c r="S135" s="490">
        <f t="shared" si="31"/>
        <v>15608</v>
      </c>
      <c r="T135" s="490">
        <f t="shared" si="32"/>
        <v>18091.744292237443</v>
      </c>
      <c r="U135" s="491">
        <f t="shared" si="33"/>
        <v>179.84</v>
      </c>
      <c r="V135" s="498"/>
      <c r="W135" s="498">
        <v>10</v>
      </c>
      <c r="X135" s="498"/>
      <c r="Y135" s="498">
        <v>1221.97</v>
      </c>
      <c r="Z135" s="462">
        <f t="shared" si="34"/>
        <v>1411.81</v>
      </c>
      <c r="AA135" s="462">
        <f t="shared" si="35"/>
        <v>2561.59</v>
      </c>
      <c r="AB135" s="489">
        <v>1000</v>
      </c>
    </row>
    <row r="136" spans="1:30" s="507" customFormat="1" ht="12">
      <c r="A136" s="456">
        <v>133</v>
      </c>
      <c r="B136" s="466" t="s">
        <v>1767</v>
      </c>
      <c r="C136" s="497">
        <v>9901443897</v>
      </c>
      <c r="D136" s="459" t="s">
        <v>1768</v>
      </c>
      <c r="E136" s="460" t="s">
        <v>32</v>
      </c>
      <c r="F136" s="461">
        <v>31</v>
      </c>
      <c r="G136" s="498">
        <v>71.400000000000006</v>
      </c>
      <c r="H136" s="462">
        <f t="shared" si="24"/>
        <v>2213.4</v>
      </c>
      <c r="I136" s="462">
        <f t="shared" si="25"/>
        <v>8568</v>
      </c>
      <c r="J136" s="463">
        <v>4</v>
      </c>
      <c r="K136" s="534">
        <v>50</v>
      </c>
      <c r="L136" s="462">
        <f t="shared" si="26"/>
        <v>1760</v>
      </c>
      <c r="M136" s="462">
        <v>1510</v>
      </c>
      <c r="N136" s="462">
        <v>250</v>
      </c>
      <c r="O136" s="462">
        <f t="shared" si="27"/>
        <v>4023.4</v>
      </c>
      <c r="P136" s="488">
        <f t="shared" si="28"/>
        <v>1234</v>
      </c>
      <c r="Q136" s="489">
        <f t="shared" si="29"/>
        <v>1217.0958904109589</v>
      </c>
      <c r="R136" s="489">
        <f t="shared" si="30"/>
        <v>65.753424657534239</v>
      </c>
      <c r="S136" s="490">
        <f t="shared" si="31"/>
        <v>15808</v>
      </c>
      <c r="T136" s="490">
        <f t="shared" si="32"/>
        <v>18324.849315068492</v>
      </c>
      <c r="U136" s="491">
        <f t="shared" si="33"/>
        <v>182.26</v>
      </c>
      <c r="V136" s="498"/>
      <c r="W136" s="498"/>
      <c r="X136" s="498"/>
      <c r="Y136" s="498">
        <v>3716.14</v>
      </c>
      <c r="Z136" s="462">
        <f t="shared" si="34"/>
        <v>3898.3999999999996</v>
      </c>
      <c r="AA136" s="462">
        <f t="shared" si="35"/>
        <v>125.00000000000045</v>
      </c>
      <c r="AB136" s="489">
        <v>1000</v>
      </c>
    </row>
    <row r="137" spans="1:30" s="507" customFormat="1" ht="12">
      <c r="A137" s="456">
        <v>134</v>
      </c>
      <c r="B137" s="457" t="s">
        <v>1769</v>
      </c>
      <c r="C137" s="497">
        <v>9901442883</v>
      </c>
      <c r="D137" s="459" t="s">
        <v>1770</v>
      </c>
      <c r="E137" s="460" t="s">
        <v>32</v>
      </c>
      <c r="F137" s="461">
        <v>31</v>
      </c>
      <c r="G137" s="498">
        <v>71.400000000000006</v>
      </c>
      <c r="H137" s="462">
        <f t="shared" si="24"/>
        <v>2213.4</v>
      </c>
      <c r="I137" s="462">
        <f t="shared" si="25"/>
        <v>8568</v>
      </c>
      <c r="J137" s="463">
        <v>4</v>
      </c>
      <c r="K137" s="534">
        <v>75</v>
      </c>
      <c r="L137" s="462">
        <f t="shared" si="26"/>
        <v>1760</v>
      </c>
      <c r="M137" s="462">
        <v>1510</v>
      </c>
      <c r="N137" s="462">
        <v>250</v>
      </c>
      <c r="O137" s="462">
        <f t="shared" si="27"/>
        <v>4048.4</v>
      </c>
      <c r="P137" s="488">
        <f t="shared" si="28"/>
        <v>1242.3333333333333</v>
      </c>
      <c r="Q137" s="489">
        <f t="shared" si="29"/>
        <v>1225.3150684931506</v>
      </c>
      <c r="R137" s="489">
        <f t="shared" si="30"/>
        <v>65.753424657534239</v>
      </c>
      <c r="S137" s="490">
        <f t="shared" si="31"/>
        <v>15908</v>
      </c>
      <c r="T137" s="490">
        <f t="shared" si="32"/>
        <v>18441.401826484016</v>
      </c>
      <c r="U137" s="491">
        <f t="shared" si="33"/>
        <v>183.46</v>
      </c>
      <c r="V137" s="498">
        <f t="shared" ref="V137:V144" si="36">(O137-N137)*11%</f>
        <v>417.82400000000001</v>
      </c>
      <c r="W137" s="498">
        <v>10</v>
      </c>
      <c r="X137" s="498"/>
      <c r="Y137" s="498"/>
      <c r="Z137" s="462">
        <f t="shared" si="34"/>
        <v>611.28399999999999</v>
      </c>
      <c r="AA137" s="462">
        <f t="shared" si="35"/>
        <v>3437.116</v>
      </c>
      <c r="AB137" s="489">
        <v>1000</v>
      </c>
    </row>
    <row r="138" spans="1:30" s="507" customFormat="1" ht="12">
      <c r="A138" s="456">
        <v>135</v>
      </c>
      <c r="B138" s="457" t="s">
        <v>1771</v>
      </c>
      <c r="C138" s="497">
        <v>9901442877</v>
      </c>
      <c r="D138" s="459" t="s">
        <v>1772</v>
      </c>
      <c r="E138" s="460" t="s">
        <v>44</v>
      </c>
      <c r="F138" s="461">
        <v>31</v>
      </c>
      <c r="G138" s="498">
        <v>72.540000000000006</v>
      </c>
      <c r="H138" s="462">
        <f t="shared" si="24"/>
        <v>2248.7400000000002</v>
      </c>
      <c r="I138" s="462">
        <f t="shared" si="25"/>
        <v>8704.8000000000011</v>
      </c>
      <c r="J138" s="463">
        <v>4</v>
      </c>
      <c r="K138" s="534">
        <v>75</v>
      </c>
      <c r="L138" s="462">
        <f t="shared" si="26"/>
        <v>1760</v>
      </c>
      <c r="M138" s="462">
        <v>1510</v>
      </c>
      <c r="N138" s="462">
        <v>250</v>
      </c>
      <c r="O138" s="462">
        <f t="shared" si="27"/>
        <v>4083.7400000000002</v>
      </c>
      <c r="P138" s="488">
        <f t="shared" si="28"/>
        <v>1253.7333333333333</v>
      </c>
      <c r="Q138" s="489">
        <f t="shared" si="29"/>
        <v>1236.5589041095891</v>
      </c>
      <c r="R138" s="489">
        <f t="shared" si="30"/>
        <v>65.753424657534239</v>
      </c>
      <c r="S138" s="490">
        <f t="shared" si="31"/>
        <v>16044.800000000001</v>
      </c>
      <c r="T138" s="490">
        <f t="shared" si="32"/>
        <v>18600.845662100459</v>
      </c>
      <c r="U138" s="491">
        <f t="shared" si="33"/>
        <v>185.17</v>
      </c>
      <c r="V138" s="498">
        <f t="shared" si="36"/>
        <v>421.71140000000003</v>
      </c>
      <c r="W138" s="498">
        <v>10</v>
      </c>
      <c r="X138" s="498"/>
      <c r="Y138" s="498"/>
      <c r="Z138" s="462">
        <f t="shared" si="34"/>
        <v>616.88139999999999</v>
      </c>
      <c r="AA138" s="462">
        <f t="shared" si="35"/>
        <v>3466.8586000000005</v>
      </c>
      <c r="AB138" s="489">
        <v>1000</v>
      </c>
    </row>
    <row r="139" spans="1:30" s="507" customFormat="1" ht="12">
      <c r="A139" s="456">
        <v>136</v>
      </c>
      <c r="B139" s="466" t="s">
        <v>1773</v>
      </c>
      <c r="C139" s="497">
        <v>9901443883</v>
      </c>
      <c r="D139" s="459" t="s">
        <v>1774</v>
      </c>
      <c r="E139" s="460" t="s">
        <v>32</v>
      </c>
      <c r="F139" s="461">
        <v>31</v>
      </c>
      <c r="G139" s="498">
        <v>71.400000000000006</v>
      </c>
      <c r="H139" s="462">
        <f t="shared" si="24"/>
        <v>2213.4</v>
      </c>
      <c r="I139" s="462">
        <f t="shared" si="25"/>
        <v>8568</v>
      </c>
      <c r="J139" s="463">
        <v>4</v>
      </c>
      <c r="K139" s="534">
        <v>50</v>
      </c>
      <c r="L139" s="462">
        <f t="shared" si="26"/>
        <v>1760</v>
      </c>
      <c r="M139" s="462">
        <v>1510</v>
      </c>
      <c r="N139" s="462">
        <v>250</v>
      </c>
      <c r="O139" s="462">
        <f t="shared" si="27"/>
        <v>4023.4</v>
      </c>
      <c r="P139" s="488">
        <f t="shared" si="28"/>
        <v>1234</v>
      </c>
      <c r="Q139" s="489">
        <f t="shared" si="29"/>
        <v>1217.0958904109589</v>
      </c>
      <c r="R139" s="489">
        <f t="shared" si="30"/>
        <v>65.753424657534239</v>
      </c>
      <c r="S139" s="490">
        <f t="shared" si="31"/>
        <v>15808</v>
      </c>
      <c r="T139" s="490">
        <f t="shared" si="32"/>
        <v>18324.849315068492</v>
      </c>
      <c r="U139" s="491">
        <f t="shared" si="33"/>
        <v>182.26</v>
      </c>
      <c r="V139" s="498">
        <f t="shared" si="36"/>
        <v>415.07400000000001</v>
      </c>
      <c r="W139" s="498">
        <v>10</v>
      </c>
      <c r="X139" s="498"/>
      <c r="Y139" s="498"/>
      <c r="Z139" s="462">
        <f t="shared" si="34"/>
        <v>607.33400000000006</v>
      </c>
      <c r="AA139" s="462">
        <f t="shared" si="35"/>
        <v>3416.0659999999998</v>
      </c>
      <c r="AB139" s="489">
        <v>1000</v>
      </c>
    </row>
    <row r="140" spans="1:30" s="507" customFormat="1" ht="12">
      <c r="A140" s="456">
        <v>137</v>
      </c>
      <c r="B140" s="466" t="s">
        <v>1775</v>
      </c>
      <c r="C140" s="497">
        <v>9901443094</v>
      </c>
      <c r="D140" s="459" t="s">
        <v>1776</v>
      </c>
      <c r="E140" s="460" t="s">
        <v>44</v>
      </c>
      <c r="F140" s="461">
        <v>31</v>
      </c>
      <c r="G140" s="498">
        <v>72.540000000000006</v>
      </c>
      <c r="H140" s="462">
        <f t="shared" si="24"/>
        <v>2248.7400000000002</v>
      </c>
      <c r="I140" s="462">
        <f t="shared" si="25"/>
        <v>8704.8000000000011</v>
      </c>
      <c r="J140" s="463">
        <v>4</v>
      </c>
      <c r="K140" s="534">
        <v>50</v>
      </c>
      <c r="L140" s="462">
        <f t="shared" si="26"/>
        <v>1760</v>
      </c>
      <c r="M140" s="462">
        <v>1510</v>
      </c>
      <c r="N140" s="462">
        <v>250</v>
      </c>
      <c r="O140" s="462">
        <f t="shared" si="27"/>
        <v>4058.7400000000002</v>
      </c>
      <c r="P140" s="488">
        <f t="shared" si="28"/>
        <v>1245.4000000000001</v>
      </c>
      <c r="Q140" s="489">
        <f t="shared" si="29"/>
        <v>1228.3397260273973</v>
      </c>
      <c r="R140" s="489">
        <f t="shared" si="30"/>
        <v>65.753424657534239</v>
      </c>
      <c r="S140" s="490">
        <f t="shared" si="31"/>
        <v>15944.800000000001</v>
      </c>
      <c r="T140" s="490">
        <f t="shared" si="32"/>
        <v>18484.293150684935</v>
      </c>
      <c r="U140" s="491">
        <f t="shared" si="33"/>
        <v>183.96</v>
      </c>
      <c r="V140" s="498">
        <f t="shared" si="36"/>
        <v>418.96140000000003</v>
      </c>
      <c r="W140" s="498">
        <v>10</v>
      </c>
      <c r="X140" s="498"/>
      <c r="Y140" s="498">
        <v>1877.52</v>
      </c>
      <c r="Z140" s="462">
        <f t="shared" si="34"/>
        <v>2490.4414000000002</v>
      </c>
      <c r="AA140" s="462">
        <f t="shared" si="35"/>
        <v>1568.2986000000001</v>
      </c>
      <c r="AB140" s="489">
        <v>1000</v>
      </c>
    </row>
    <row r="141" spans="1:30" s="507" customFormat="1" ht="12">
      <c r="A141" s="456">
        <v>138</v>
      </c>
      <c r="B141" s="466" t="s">
        <v>1777</v>
      </c>
      <c r="C141" s="497">
        <v>9901442839</v>
      </c>
      <c r="D141" s="459" t="s">
        <v>1778</v>
      </c>
      <c r="E141" s="460" t="s">
        <v>32</v>
      </c>
      <c r="F141" s="461">
        <v>31</v>
      </c>
      <c r="G141" s="498">
        <v>71.400000000000006</v>
      </c>
      <c r="H141" s="462">
        <f t="shared" si="24"/>
        <v>2213.4</v>
      </c>
      <c r="I141" s="462">
        <f t="shared" si="25"/>
        <v>8568</v>
      </c>
      <c r="J141" s="463">
        <v>4</v>
      </c>
      <c r="K141" s="534">
        <v>50</v>
      </c>
      <c r="L141" s="462">
        <f t="shared" si="26"/>
        <v>1760</v>
      </c>
      <c r="M141" s="462">
        <v>1510</v>
      </c>
      <c r="N141" s="462">
        <v>250</v>
      </c>
      <c r="O141" s="462">
        <f t="shared" si="27"/>
        <v>4023.4</v>
      </c>
      <c r="P141" s="488">
        <f t="shared" si="28"/>
        <v>1234</v>
      </c>
      <c r="Q141" s="489">
        <f t="shared" si="29"/>
        <v>1217.0958904109589</v>
      </c>
      <c r="R141" s="489">
        <f t="shared" si="30"/>
        <v>65.753424657534239</v>
      </c>
      <c r="S141" s="490">
        <f t="shared" si="31"/>
        <v>15808</v>
      </c>
      <c r="T141" s="490">
        <f t="shared" si="32"/>
        <v>18324.849315068492</v>
      </c>
      <c r="U141" s="491">
        <f t="shared" si="33"/>
        <v>182.26</v>
      </c>
      <c r="V141" s="498">
        <f t="shared" si="36"/>
        <v>415.07400000000001</v>
      </c>
      <c r="W141" s="498">
        <v>10</v>
      </c>
      <c r="X141" s="498"/>
      <c r="Y141" s="498"/>
      <c r="Z141" s="462">
        <f t="shared" si="34"/>
        <v>607.33400000000006</v>
      </c>
      <c r="AA141" s="462">
        <f t="shared" si="35"/>
        <v>3416.0659999999998</v>
      </c>
      <c r="AB141" s="489">
        <v>1000</v>
      </c>
    </row>
    <row r="142" spans="1:30" s="507" customFormat="1" ht="12">
      <c r="A142" s="456">
        <v>139</v>
      </c>
      <c r="B142" s="466" t="s">
        <v>1779</v>
      </c>
      <c r="C142" s="497">
        <v>9901443713</v>
      </c>
      <c r="D142" s="459" t="s">
        <v>1780</v>
      </c>
      <c r="E142" s="460" t="s">
        <v>54</v>
      </c>
      <c r="F142" s="461">
        <v>31</v>
      </c>
      <c r="G142" s="498">
        <v>71.400000000000006</v>
      </c>
      <c r="H142" s="462">
        <f t="shared" si="24"/>
        <v>2213.4</v>
      </c>
      <c r="I142" s="462">
        <f t="shared" si="25"/>
        <v>8568</v>
      </c>
      <c r="J142" s="463">
        <v>4</v>
      </c>
      <c r="K142" s="534">
        <v>50</v>
      </c>
      <c r="L142" s="462">
        <f t="shared" si="26"/>
        <v>1760</v>
      </c>
      <c r="M142" s="462">
        <v>1510</v>
      </c>
      <c r="N142" s="462">
        <v>250</v>
      </c>
      <c r="O142" s="462">
        <f t="shared" si="27"/>
        <v>4023.4</v>
      </c>
      <c r="P142" s="488">
        <f t="shared" si="28"/>
        <v>1234</v>
      </c>
      <c r="Q142" s="489">
        <f t="shared" si="29"/>
        <v>1217.0958904109589</v>
      </c>
      <c r="R142" s="489">
        <f t="shared" si="30"/>
        <v>65.753424657534239</v>
      </c>
      <c r="S142" s="490">
        <f t="shared" si="31"/>
        <v>15808</v>
      </c>
      <c r="T142" s="490">
        <f t="shared" si="32"/>
        <v>18324.849315068492</v>
      </c>
      <c r="U142" s="491">
        <f t="shared" si="33"/>
        <v>182.26</v>
      </c>
      <c r="V142" s="498">
        <f t="shared" si="36"/>
        <v>415.07400000000001</v>
      </c>
      <c r="W142" s="498">
        <v>10</v>
      </c>
      <c r="X142" s="498"/>
      <c r="Y142" s="498"/>
      <c r="Z142" s="462">
        <f t="shared" si="34"/>
        <v>607.33400000000006</v>
      </c>
      <c r="AA142" s="462">
        <f t="shared" si="35"/>
        <v>3416.0659999999998</v>
      </c>
      <c r="AB142" s="489">
        <v>1000</v>
      </c>
    </row>
    <row r="143" spans="1:30" s="507" customFormat="1" ht="12">
      <c r="A143" s="456">
        <v>140</v>
      </c>
      <c r="B143" s="457" t="s">
        <v>1781</v>
      </c>
      <c r="C143" s="497">
        <v>9901442843</v>
      </c>
      <c r="D143" s="459" t="s">
        <v>1782</v>
      </c>
      <c r="E143" s="460" t="s">
        <v>44</v>
      </c>
      <c r="F143" s="461">
        <v>31</v>
      </c>
      <c r="G143" s="498">
        <v>72.540000000000006</v>
      </c>
      <c r="H143" s="462">
        <f t="shared" si="24"/>
        <v>2248.7400000000002</v>
      </c>
      <c r="I143" s="462">
        <f t="shared" si="25"/>
        <v>8704.8000000000011</v>
      </c>
      <c r="J143" s="463">
        <v>4</v>
      </c>
      <c r="K143" s="534">
        <v>50</v>
      </c>
      <c r="L143" s="462">
        <f t="shared" si="26"/>
        <v>1760</v>
      </c>
      <c r="M143" s="462">
        <v>1510</v>
      </c>
      <c r="N143" s="462">
        <v>250</v>
      </c>
      <c r="O143" s="462">
        <f t="shared" si="27"/>
        <v>4058.7400000000002</v>
      </c>
      <c r="P143" s="488">
        <f t="shared" si="28"/>
        <v>1245.4000000000001</v>
      </c>
      <c r="Q143" s="489">
        <f t="shared" si="29"/>
        <v>1228.3397260273973</v>
      </c>
      <c r="R143" s="489">
        <f t="shared" si="30"/>
        <v>65.753424657534239</v>
      </c>
      <c r="S143" s="490">
        <f t="shared" si="31"/>
        <v>15944.800000000001</v>
      </c>
      <c r="T143" s="490">
        <f t="shared" si="32"/>
        <v>18484.293150684935</v>
      </c>
      <c r="U143" s="491">
        <f t="shared" si="33"/>
        <v>183.96</v>
      </c>
      <c r="V143" s="498">
        <f t="shared" si="36"/>
        <v>418.96140000000003</v>
      </c>
      <c r="W143" s="498">
        <v>10</v>
      </c>
      <c r="X143" s="498"/>
      <c r="Y143" s="498">
        <v>885.95</v>
      </c>
      <c r="Z143" s="462">
        <f t="shared" si="34"/>
        <v>1498.8714</v>
      </c>
      <c r="AA143" s="462">
        <f t="shared" si="35"/>
        <v>2559.8686000000002</v>
      </c>
      <c r="AB143" s="489">
        <v>1000</v>
      </c>
    </row>
    <row r="144" spans="1:30" s="507" customFormat="1" ht="12">
      <c r="A144" s="456">
        <v>141</v>
      </c>
      <c r="B144" s="466" t="s">
        <v>1783</v>
      </c>
      <c r="C144" s="497">
        <v>9901443116</v>
      </c>
      <c r="D144" s="459" t="s">
        <v>1784</v>
      </c>
      <c r="E144" s="460" t="s">
        <v>32</v>
      </c>
      <c r="F144" s="461">
        <v>31</v>
      </c>
      <c r="G144" s="498">
        <v>71.400000000000006</v>
      </c>
      <c r="H144" s="462">
        <f t="shared" si="24"/>
        <v>2213.4</v>
      </c>
      <c r="I144" s="462">
        <f t="shared" si="25"/>
        <v>8568</v>
      </c>
      <c r="J144" s="463">
        <v>4</v>
      </c>
      <c r="K144" s="534">
        <v>50</v>
      </c>
      <c r="L144" s="462">
        <f t="shared" si="26"/>
        <v>1760</v>
      </c>
      <c r="M144" s="462">
        <v>1510</v>
      </c>
      <c r="N144" s="462">
        <v>250</v>
      </c>
      <c r="O144" s="462">
        <f t="shared" si="27"/>
        <v>4023.4</v>
      </c>
      <c r="P144" s="488">
        <f t="shared" si="28"/>
        <v>1234</v>
      </c>
      <c r="Q144" s="489">
        <f t="shared" si="29"/>
        <v>1217.0958904109589</v>
      </c>
      <c r="R144" s="489">
        <f t="shared" si="30"/>
        <v>65.753424657534239</v>
      </c>
      <c r="S144" s="490">
        <f t="shared" si="31"/>
        <v>15808</v>
      </c>
      <c r="T144" s="490">
        <f t="shared" si="32"/>
        <v>18324.849315068492</v>
      </c>
      <c r="U144" s="491">
        <f t="shared" si="33"/>
        <v>182.26</v>
      </c>
      <c r="V144" s="498">
        <f t="shared" si="36"/>
        <v>415.07400000000001</v>
      </c>
      <c r="W144" s="498"/>
      <c r="X144" s="498"/>
      <c r="Y144" s="498">
        <v>1364.79</v>
      </c>
      <c r="Z144" s="462">
        <f t="shared" si="34"/>
        <v>1962.124</v>
      </c>
      <c r="AA144" s="462">
        <f t="shared" si="35"/>
        <v>2061.2759999999998</v>
      </c>
      <c r="AB144" s="489">
        <v>1000</v>
      </c>
    </row>
    <row r="145" spans="1:28" s="507" customFormat="1" ht="12">
      <c r="A145" s="456">
        <v>142</v>
      </c>
      <c r="B145" s="457" t="s">
        <v>1785</v>
      </c>
      <c r="C145" s="497">
        <v>9901443062</v>
      </c>
      <c r="D145" s="459" t="s">
        <v>1786</v>
      </c>
      <c r="E145" s="460" t="s">
        <v>32</v>
      </c>
      <c r="F145" s="461">
        <v>31</v>
      </c>
      <c r="G145" s="498">
        <v>71.400000000000006</v>
      </c>
      <c r="H145" s="462">
        <f t="shared" si="24"/>
        <v>2213.4</v>
      </c>
      <c r="I145" s="462">
        <f t="shared" si="25"/>
        <v>8568</v>
      </c>
      <c r="J145" s="463">
        <v>4</v>
      </c>
      <c r="K145" s="534">
        <v>50</v>
      </c>
      <c r="L145" s="462">
        <f t="shared" si="26"/>
        <v>1760</v>
      </c>
      <c r="M145" s="462">
        <v>1510</v>
      </c>
      <c r="N145" s="462">
        <v>250</v>
      </c>
      <c r="O145" s="462">
        <f t="shared" si="27"/>
        <v>4023.4</v>
      </c>
      <c r="P145" s="488">
        <f t="shared" si="28"/>
        <v>1234</v>
      </c>
      <c r="Q145" s="489">
        <f t="shared" si="29"/>
        <v>1217.0958904109589</v>
      </c>
      <c r="R145" s="489">
        <f t="shared" si="30"/>
        <v>65.753424657534239</v>
      </c>
      <c r="S145" s="490">
        <f t="shared" si="31"/>
        <v>15808</v>
      </c>
      <c r="T145" s="490">
        <f t="shared" si="32"/>
        <v>18324.849315068492</v>
      </c>
      <c r="U145" s="491">
        <f t="shared" si="33"/>
        <v>182.26</v>
      </c>
      <c r="V145" s="498"/>
      <c r="W145" s="498"/>
      <c r="X145" s="498"/>
      <c r="Y145" s="498">
        <v>1796.36</v>
      </c>
      <c r="Z145" s="462">
        <f t="shared" si="34"/>
        <v>1978.62</v>
      </c>
      <c r="AA145" s="462">
        <f t="shared" si="35"/>
        <v>2044.7800000000002</v>
      </c>
      <c r="AB145" s="489">
        <v>1000</v>
      </c>
    </row>
    <row r="146" spans="1:28" s="507" customFormat="1" ht="12">
      <c r="A146" s="456">
        <v>143</v>
      </c>
      <c r="B146" s="457" t="s">
        <v>1787</v>
      </c>
      <c r="C146" s="497">
        <v>9901442394</v>
      </c>
      <c r="D146" s="459" t="s">
        <v>1788</v>
      </c>
      <c r="E146" s="460" t="s">
        <v>32</v>
      </c>
      <c r="F146" s="461">
        <v>31</v>
      </c>
      <c r="G146" s="498">
        <v>71.400000000000006</v>
      </c>
      <c r="H146" s="462">
        <f t="shared" si="24"/>
        <v>2213.4</v>
      </c>
      <c r="I146" s="462">
        <f t="shared" si="25"/>
        <v>8568</v>
      </c>
      <c r="J146" s="463">
        <v>4</v>
      </c>
      <c r="K146" s="534">
        <v>75</v>
      </c>
      <c r="L146" s="462">
        <f t="shared" si="26"/>
        <v>1760</v>
      </c>
      <c r="M146" s="462">
        <v>1510</v>
      </c>
      <c r="N146" s="462">
        <v>250</v>
      </c>
      <c r="O146" s="462">
        <f t="shared" si="27"/>
        <v>4048.4</v>
      </c>
      <c r="P146" s="488">
        <f t="shared" si="28"/>
        <v>1242.3333333333333</v>
      </c>
      <c r="Q146" s="489">
        <f t="shared" si="29"/>
        <v>1225.3150684931506</v>
      </c>
      <c r="R146" s="489">
        <f t="shared" si="30"/>
        <v>65.753424657534239</v>
      </c>
      <c r="S146" s="490">
        <f t="shared" si="31"/>
        <v>15908</v>
      </c>
      <c r="T146" s="490">
        <f t="shared" si="32"/>
        <v>18441.401826484016</v>
      </c>
      <c r="U146" s="491">
        <f t="shared" si="33"/>
        <v>183.46</v>
      </c>
      <c r="V146" s="498"/>
      <c r="W146" s="498">
        <v>10</v>
      </c>
      <c r="X146" s="498"/>
      <c r="Y146" s="498"/>
      <c r="Z146" s="462">
        <f t="shared" si="34"/>
        <v>193.46</v>
      </c>
      <c r="AA146" s="462">
        <f t="shared" si="35"/>
        <v>3854.94</v>
      </c>
      <c r="AB146" s="489">
        <v>1000</v>
      </c>
    </row>
    <row r="147" spans="1:28" s="507" customFormat="1" ht="12">
      <c r="A147" s="456">
        <v>144</v>
      </c>
      <c r="B147" s="457" t="s">
        <v>1789</v>
      </c>
      <c r="C147" s="497">
        <v>9901443896</v>
      </c>
      <c r="D147" s="459" t="s">
        <v>1790</v>
      </c>
      <c r="E147" s="460" t="s">
        <v>72</v>
      </c>
      <c r="F147" s="461">
        <v>31</v>
      </c>
      <c r="G147" s="498">
        <v>71.400000000000006</v>
      </c>
      <c r="H147" s="462">
        <f t="shared" si="24"/>
        <v>2213.4</v>
      </c>
      <c r="I147" s="462">
        <f t="shared" si="25"/>
        <v>8568</v>
      </c>
      <c r="J147" s="463">
        <v>4</v>
      </c>
      <c r="K147" s="534">
        <v>50</v>
      </c>
      <c r="L147" s="462">
        <f t="shared" si="26"/>
        <v>1760</v>
      </c>
      <c r="M147" s="462">
        <v>1510</v>
      </c>
      <c r="N147" s="462">
        <v>250</v>
      </c>
      <c r="O147" s="462">
        <f t="shared" si="27"/>
        <v>4023.4</v>
      </c>
      <c r="P147" s="488">
        <f t="shared" si="28"/>
        <v>1234</v>
      </c>
      <c r="Q147" s="489">
        <f t="shared" si="29"/>
        <v>1217.0958904109589</v>
      </c>
      <c r="R147" s="489">
        <f t="shared" si="30"/>
        <v>65.753424657534239</v>
      </c>
      <c r="S147" s="490">
        <f t="shared" si="31"/>
        <v>15808</v>
      </c>
      <c r="T147" s="490">
        <f t="shared" si="32"/>
        <v>18324.849315068492</v>
      </c>
      <c r="U147" s="491">
        <f t="shared" si="33"/>
        <v>182.26</v>
      </c>
      <c r="V147" s="498"/>
      <c r="W147" s="498">
        <v>10</v>
      </c>
      <c r="X147" s="498"/>
      <c r="Y147" s="498">
        <v>1387.93</v>
      </c>
      <c r="Z147" s="462">
        <f t="shared" si="34"/>
        <v>1580.19</v>
      </c>
      <c r="AA147" s="462">
        <f t="shared" si="35"/>
        <v>2443.21</v>
      </c>
      <c r="AB147" s="489">
        <v>1000</v>
      </c>
    </row>
    <row r="148" spans="1:28" s="507" customFormat="1">
      <c r="A148" s="456">
        <v>145</v>
      </c>
      <c r="B148" s="466" t="s">
        <v>1791</v>
      </c>
      <c r="C148" s="497">
        <v>9901442680</v>
      </c>
      <c r="D148" s="459" t="s">
        <v>1792</v>
      </c>
      <c r="E148" s="460" t="s">
        <v>32</v>
      </c>
      <c r="F148" s="461">
        <v>31</v>
      </c>
      <c r="G148" s="498">
        <v>71.400000000000006</v>
      </c>
      <c r="H148" s="462">
        <f t="shared" si="24"/>
        <v>2213.4</v>
      </c>
      <c r="I148" s="462">
        <f t="shared" si="25"/>
        <v>8568</v>
      </c>
      <c r="J148" s="463">
        <v>4</v>
      </c>
      <c r="K148" s="534">
        <v>50</v>
      </c>
      <c r="L148" s="462">
        <f t="shared" si="26"/>
        <v>1760</v>
      </c>
      <c r="M148" s="462">
        <v>1510</v>
      </c>
      <c r="N148" s="462">
        <v>250</v>
      </c>
      <c r="O148" s="462">
        <f t="shared" si="27"/>
        <v>4023.4</v>
      </c>
      <c r="P148" s="488">
        <f t="shared" si="28"/>
        <v>1234</v>
      </c>
      <c r="Q148" s="489">
        <f t="shared" si="29"/>
        <v>1217.0958904109589</v>
      </c>
      <c r="R148" s="489">
        <f t="shared" si="30"/>
        <v>65.753424657534239</v>
      </c>
      <c r="S148" s="490">
        <f t="shared" si="31"/>
        <v>15808</v>
      </c>
      <c r="T148" s="490">
        <f t="shared" si="32"/>
        <v>18324.849315068492</v>
      </c>
      <c r="U148" s="491">
        <f t="shared" si="33"/>
        <v>182.26</v>
      </c>
      <c r="V148" s="498">
        <f>(O148-N148)*11%</f>
        <v>415.07400000000001</v>
      </c>
      <c r="W148" s="498">
        <v>10</v>
      </c>
      <c r="X148" s="512">
        <v>930.85</v>
      </c>
      <c r="Y148" s="498"/>
      <c r="Z148" s="462">
        <f t="shared" si="34"/>
        <v>1538.184</v>
      </c>
      <c r="AA148" s="462">
        <f t="shared" si="35"/>
        <v>2485.2160000000003</v>
      </c>
      <c r="AB148" s="489">
        <v>1000</v>
      </c>
    </row>
    <row r="149" spans="1:28" s="507" customFormat="1" ht="12">
      <c r="A149" s="456">
        <v>146</v>
      </c>
      <c r="B149" s="457" t="s">
        <v>1793</v>
      </c>
      <c r="C149" s="497">
        <v>9901443119</v>
      </c>
      <c r="D149" s="459" t="s">
        <v>1794</v>
      </c>
      <c r="E149" s="460" t="s">
        <v>44</v>
      </c>
      <c r="F149" s="461">
        <v>31</v>
      </c>
      <c r="G149" s="498">
        <v>72.540000000000006</v>
      </c>
      <c r="H149" s="462">
        <f t="shared" si="24"/>
        <v>2248.7400000000002</v>
      </c>
      <c r="I149" s="462">
        <f t="shared" si="25"/>
        <v>8704.8000000000011</v>
      </c>
      <c r="J149" s="463">
        <v>4</v>
      </c>
      <c r="K149" s="534">
        <v>50</v>
      </c>
      <c r="L149" s="462">
        <f t="shared" si="26"/>
        <v>1760</v>
      </c>
      <c r="M149" s="462">
        <v>1510</v>
      </c>
      <c r="N149" s="462">
        <v>250</v>
      </c>
      <c r="O149" s="462">
        <f t="shared" si="27"/>
        <v>4058.7400000000002</v>
      </c>
      <c r="P149" s="488">
        <f t="shared" si="28"/>
        <v>1245.4000000000001</v>
      </c>
      <c r="Q149" s="489">
        <f t="shared" si="29"/>
        <v>1228.3397260273973</v>
      </c>
      <c r="R149" s="489">
        <f t="shared" si="30"/>
        <v>65.753424657534239</v>
      </c>
      <c r="S149" s="490">
        <f t="shared" si="31"/>
        <v>15944.800000000001</v>
      </c>
      <c r="T149" s="490">
        <f t="shared" si="32"/>
        <v>18484.293150684935</v>
      </c>
      <c r="U149" s="491">
        <f t="shared" si="33"/>
        <v>183.96</v>
      </c>
      <c r="V149" s="498"/>
      <c r="W149" s="498">
        <v>10</v>
      </c>
      <c r="X149" s="498"/>
      <c r="Y149" s="498"/>
      <c r="Z149" s="462">
        <f t="shared" si="34"/>
        <v>193.96</v>
      </c>
      <c r="AA149" s="462">
        <f t="shared" si="35"/>
        <v>3864.78</v>
      </c>
      <c r="AB149" s="489">
        <v>1000</v>
      </c>
    </row>
    <row r="150" spans="1:28" s="507" customFormat="1" ht="12">
      <c r="A150" s="456">
        <v>147</v>
      </c>
      <c r="B150" s="457" t="s">
        <v>1795</v>
      </c>
      <c r="C150" s="497">
        <v>9901443113</v>
      </c>
      <c r="D150" s="459" t="s">
        <v>1796</v>
      </c>
      <c r="E150" s="460" t="s">
        <v>77</v>
      </c>
      <c r="F150" s="461">
        <v>31</v>
      </c>
      <c r="G150" s="498">
        <v>72.540000000000006</v>
      </c>
      <c r="H150" s="462">
        <f t="shared" si="24"/>
        <v>2248.7400000000002</v>
      </c>
      <c r="I150" s="462">
        <f t="shared" si="25"/>
        <v>8704.8000000000011</v>
      </c>
      <c r="J150" s="463">
        <v>4</v>
      </c>
      <c r="K150" s="534">
        <v>50</v>
      </c>
      <c r="L150" s="462">
        <f t="shared" si="26"/>
        <v>1760</v>
      </c>
      <c r="M150" s="462">
        <v>1510</v>
      </c>
      <c r="N150" s="462">
        <v>250</v>
      </c>
      <c r="O150" s="462">
        <f t="shared" si="27"/>
        <v>4058.7400000000002</v>
      </c>
      <c r="P150" s="488">
        <f t="shared" si="28"/>
        <v>1245.4000000000001</v>
      </c>
      <c r="Q150" s="489">
        <f t="shared" si="29"/>
        <v>1228.3397260273973</v>
      </c>
      <c r="R150" s="489">
        <f t="shared" si="30"/>
        <v>65.753424657534239</v>
      </c>
      <c r="S150" s="490">
        <f t="shared" si="31"/>
        <v>15944.800000000001</v>
      </c>
      <c r="T150" s="490">
        <f t="shared" si="32"/>
        <v>18484.293150684935</v>
      </c>
      <c r="U150" s="491">
        <f t="shared" si="33"/>
        <v>183.96</v>
      </c>
      <c r="V150" s="498"/>
      <c r="W150" s="498"/>
      <c r="X150" s="498"/>
      <c r="Y150" s="498"/>
      <c r="Z150" s="462">
        <f t="shared" si="34"/>
        <v>183.96</v>
      </c>
      <c r="AA150" s="462">
        <f t="shared" si="35"/>
        <v>3874.78</v>
      </c>
      <c r="AB150" s="489">
        <v>1000</v>
      </c>
    </row>
    <row r="151" spans="1:28" s="507" customFormat="1" ht="12">
      <c r="A151" s="456">
        <v>148</v>
      </c>
      <c r="B151" s="457" t="s">
        <v>1797</v>
      </c>
      <c r="C151" s="497">
        <v>9901443000</v>
      </c>
      <c r="D151" s="459" t="s">
        <v>1798</v>
      </c>
      <c r="E151" s="460" t="s">
        <v>44</v>
      </c>
      <c r="F151" s="461">
        <v>31</v>
      </c>
      <c r="G151" s="498">
        <v>72.540000000000006</v>
      </c>
      <c r="H151" s="462">
        <f t="shared" si="24"/>
        <v>2248.7400000000002</v>
      </c>
      <c r="I151" s="462">
        <f t="shared" si="25"/>
        <v>8704.8000000000011</v>
      </c>
      <c r="J151" s="463">
        <v>4</v>
      </c>
      <c r="K151" s="534">
        <v>50</v>
      </c>
      <c r="L151" s="462">
        <f t="shared" si="26"/>
        <v>1760</v>
      </c>
      <c r="M151" s="462">
        <v>1510</v>
      </c>
      <c r="N151" s="462">
        <v>250</v>
      </c>
      <c r="O151" s="462">
        <f t="shared" si="27"/>
        <v>4058.7400000000002</v>
      </c>
      <c r="P151" s="488">
        <f t="shared" si="28"/>
        <v>1245.4000000000001</v>
      </c>
      <c r="Q151" s="489">
        <f t="shared" si="29"/>
        <v>1228.3397260273973</v>
      </c>
      <c r="R151" s="489">
        <f t="shared" si="30"/>
        <v>65.753424657534239</v>
      </c>
      <c r="S151" s="490">
        <f t="shared" si="31"/>
        <v>15944.800000000001</v>
      </c>
      <c r="T151" s="490">
        <f t="shared" si="32"/>
        <v>18484.293150684935</v>
      </c>
      <c r="U151" s="491">
        <f t="shared" si="33"/>
        <v>183.96</v>
      </c>
      <c r="V151" s="498"/>
      <c r="W151" s="498"/>
      <c r="X151" s="498"/>
      <c r="Y151" s="498">
        <v>1344.18</v>
      </c>
      <c r="Z151" s="462">
        <f t="shared" si="34"/>
        <v>1528.14</v>
      </c>
      <c r="AA151" s="462">
        <f t="shared" si="35"/>
        <v>2530.6000000000004</v>
      </c>
      <c r="AB151" s="489">
        <v>1000</v>
      </c>
    </row>
    <row r="152" spans="1:28" s="507" customFormat="1" ht="12">
      <c r="A152" s="456">
        <v>149</v>
      </c>
      <c r="B152" s="457" t="s">
        <v>1799</v>
      </c>
      <c r="C152" s="497">
        <v>9901442403</v>
      </c>
      <c r="D152" s="459" t="s">
        <v>1800</v>
      </c>
      <c r="E152" s="460" t="s">
        <v>32</v>
      </c>
      <c r="F152" s="461">
        <v>31</v>
      </c>
      <c r="G152" s="498">
        <v>71.400000000000006</v>
      </c>
      <c r="H152" s="462">
        <f t="shared" si="24"/>
        <v>2213.4</v>
      </c>
      <c r="I152" s="462">
        <f t="shared" si="25"/>
        <v>8568</v>
      </c>
      <c r="J152" s="463">
        <v>4</v>
      </c>
      <c r="K152" s="534">
        <v>75</v>
      </c>
      <c r="L152" s="462">
        <f t="shared" si="26"/>
        <v>1760</v>
      </c>
      <c r="M152" s="462">
        <v>1510</v>
      </c>
      <c r="N152" s="462">
        <v>250</v>
      </c>
      <c r="O152" s="462">
        <f t="shared" si="27"/>
        <v>4048.4</v>
      </c>
      <c r="P152" s="488">
        <f t="shared" si="28"/>
        <v>1242.3333333333333</v>
      </c>
      <c r="Q152" s="489">
        <f t="shared" si="29"/>
        <v>1225.3150684931506</v>
      </c>
      <c r="R152" s="489">
        <f t="shared" si="30"/>
        <v>65.753424657534239</v>
      </c>
      <c r="S152" s="490">
        <f t="shared" si="31"/>
        <v>15908</v>
      </c>
      <c r="T152" s="490">
        <f t="shared" si="32"/>
        <v>18441.401826484016</v>
      </c>
      <c r="U152" s="491">
        <f t="shared" si="33"/>
        <v>183.46</v>
      </c>
      <c r="V152" s="498">
        <f>(O152-N152)*11%</f>
        <v>417.82400000000001</v>
      </c>
      <c r="W152" s="498"/>
      <c r="X152" s="498"/>
      <c r="Y152" s="498"/>
      <c r="Z152" s="462">
        <f t="shared" si="34"/>
        <v>601.28399999999999</v>
      </c>
      <c r="AA152" s="462">
        <f t="shared" si="35"/>
        <v>3447.116</v>
      </c>
      <c r="AB152" s="489">
        <v>1000</v>
      </c>
    </row>
    <row r="153" spans="1:28" s="507" customFormat="1" ht="12">
      <c r="A153" s="456">
        <v>150</v>
      </c>
      <c r="B153" s="457" t="s">
        <v>1801</v>
      </c>
      <c r="C153" s="497">
        <v>9901442609</v>
      </c>
      <c r="D153" s="459" t="s">
        <v>1802</v>
      </c>
      <c r="E153" s="460" t="s">
        <v>44</v>
      </c>
      <c r="F153" s="461">
        <v>31</v>
      </c>
      <c r="G153" s="498">
        <v>72.540000000000006</v>
      </c>
      <c r="H153" s="462">
        <f t="shared" si="24"/>
        <v>2248.7400000000002</v>
      </c>
      <c r="I153" s="462">
        <f t="shared" si="25"/>
        <v>8704.8000000000011</v>
      </c>
      <c r="J153" s="463">
        <v>4</v>
      </c>
      <c r="K153" s="534">
        <v>50</v>
      </c>
      <c r="L153" s="462">
        <f t="shared" si="26"/>
        <v>1760</v>
      </c>
      <c r="M153" s="462">
        <v>1510</v>
      </c>
      <c r="N153" s="462">
        <v>250</v>
      </c>
      <c r="O153" s="462">
        <f t="shared" si="27"/>
        <v>4058.7400000000002</v>
      </c>
      <c r="P153" s="488">
        <f t="shared" si="28"/>
        <v>1245.4000000000001</v>
      </c>
      <c r="Q153" s="489">
        <f t="shared" si="29"/>
        <v>1228.3397260273973</v>
      </c>
      <c r="R153" s="489">
        <f t="shared" si="30"/>
        <v>65.753424657534239</v>
      </c>
      <c r="S153" s="490">
        <f t="shared" si="31"/>
        <v>15944.800000000001</v>
      </c>
      <c r="T153" s="490">
        <f t="shared" si="32"/>
        <v>18484.293150684935</v>
      </c>
      <c r="U153" s="491">
        <f t="shared" si="33"/>
        <v>183.96</v>
      </c>
      <c r="V153" s="498"/>
      <c r="W153" s="498"/>
      <c r="X153" s="498"/>
      <c r="Y153" s="498">
        <v>1781.42</v>
      </c>
      <c r="Z153" s="462">
        <f t="shared" si="34"/>
        <v>1965.38</v>
      </c>
      <c r="AA153" s="462">
        <f t="shared" si="35"/>
        <v>2093.36</v>
      </c>
      <c r="AB153" s="489">
        <v>1000</v>
      </c>
    </row>
    <row r="154" spans="1:28" s="507" customFormat="1" ht="12">
      <c r="A154" s="456">
        <v>151</v>
      </c>
      <c r="B154" s="457" t="s">
        <v>1803</v>
      </c>
      <c r="C154" s="497">
        <v>9901442627</v>
      </c>
      <c r="D154" s="459" t="s">
        <v>1804</v>
      </c>
      <c r="E154" s="460" t="s">
        <v>35</v>
      </c>
      <c r="F154" s="461">
        <v>31</v>
      </c>
      <c r="G154" s="498">
        <v>71.400000000000006</v>
      </c>
      <c r="H154" s="462">
        <f t="shared" si="24"/>
        <v>2213.4</v>
      </c>
      <c r="I154" s="462">
        <f t="shared" si="25"/>
        <v>8568</v>
      </c>
      <c r="J154" s="463">
        <v>4</v>
      </c>
      <c r="K154" s="533">
        <v>35</v>
      </c>
      <c r="L154" s="462">
        <f t="shared" si="26"/>
        <v>1760</v>
      </c>
      <c r="M154" s="462">
        <v>1510</v>
      </c>
      <c r="N154" s="462">
        <v>250</v>
      </c>
      <c r="O154" s="462">
        <f t="shared" si="27"/>
        <v>4008.4</v>
      </c>
      <c r="P154" s="488">
        <f t="shared" si="28"/>
        <v>1229</v>
      </c>
      <c r="Q154" s="489">
        <f t="shared" si="29"/>
        <v>1212.1643835616437</v>
      </c>
      <c r="R154" s="489">
        <f t="shared" si="30"/>
        <v>65.753424657534239</v>
      </c>
      <c r="S154" s="490">
        <f t="shared" si="31"/>
        <v>15748</v>
      </c>
      <c r="T154" s="490">
        <f t="shared" si="32"/>
        <v>18254.917808219179</v>
      </c>
      <c r="U154" s="491">
        <f t="shared" si="33"/>
        <v>181.53</v>
      </c>
      <c r="V154" s="498">
        <f>(O154-N154)*11%</f>
        <v>413.42400000000004</v>
      </c>
      <c r="W154" s="498"/>
      <c r="X154" s="498"/>
      <c r="Y154" s="498"/>
      <c r="Z154" s="462">
        <f t="shared" si="34"/>
        <v>594.95400000000006</v>
      </c>
      <c r="AA154" s="462">
        <f t="shared" si="35"/>
        <v>3413.4459999999999</v>
      </c>
      <c r="AB154" s="489">
        <v>1000</v>
      </c>
    </row>
    <row r="155" spans="1:28" s="507" customFormat="1" ht="12">
      <c r="A155" s="456">
        <v>152</v>
      </c>
      <c r="B155" s="457" t="s">
        <v>1805</v>
      </c>
      <c r="C155" s="497">
        <v>9901442833</v>
      </c>
      <c r="D155" s="459" t="s">
        <v>1806</v>
      </c>
      <c r="E155" s="460" t="s">
        <v>32</v>
      </c>
      <c r="F155" s="461">
        <v>31</v>
      </c>
      <c r="G155" s="498">
        <v>71.400000000000006</v>
      </c>
      <c r="H155" s="462">
        <f t="shared" si="24"/>
        <v>2213.4</v>
      </c>
      <c r="I155" s="462">
        <f t="shared" si="25"/>
        <v>8568</v>
      </c>
      <c r="J155" s="463">
        <v>4</v>
      </c>
      <c r="K155" s="534">
        <v>50</v>
      </c>
      <c r="L155" s="462">
        <f t="shared" si="26"/>
        <v>1760</v>
      </c>
      <c r="M155" s="462">
        <v>1510</v>
      </c>
      <c r="N155" s="462">
        <v>250</v>
      </c>
      <c r="O155" s="462">
        <f t="shared" si="27"/>
        <v>4023.4</v>
      </c>
      <c r="P155" s="488">
        <f t="shared" si="28"/>
        <v>1234</v>
      </c>
      <c r="Q155" s="489">
        <f t="shared" si="29"/>
        <v>1217.0958904109589</v>
      </c>
      <c r="R155" s="489">
        <f t="shared" si="30"/>
        <v>65.753424657534239</v>
      </c>
      <c r="S155" s="490">
        <f t="shared" si="31"/>
        <v>15808</v>
      </c>
      <c r="T155" s="490">
        <f t="shared" si="32"/>
        <v>18324.849315068492</v>
      </c>
      <c r="U155" s="491">
        <f t="shared" si="33"/>
        <v>182.26</v>
      </c>
      <c r="V155" s="498">
        <f>(O155-N155)*11%</f>
        <v>415.07400000000001</v>
      </c>
      <c r="W155" s="498">
        <v>10</v>
      </c>
      <c r="X155" s="498"/>
      <c r="Y155" s="498"/>
      <c r="Z155" s="462">
        <f t="shared" si="34"/>
        <v>607.33400000000006</v>
      </c>
      <c r="AA155" s="462">
        <f t="shared" si="35"/>
        <v>3416.0659999999998</v>
      </c>
      <c r="AB155" s="489">
        <v>1000</v>
      </c>
    </row>
    <row r="156" spans="1:28" s="507" customFormat="1" ht="12">
      <c r="A156" s="456">
        <v>153</v>
      </c>
      <c r="B156" s="466" t="s">
        <v>1807</v>
      </c>
      <c r="C156" s="497">
        <v>9901443192</v>
      </c>
      <c r="D156" s="459" t="s">
        <v>1808</v>
      </c>
      <c r="E156" s="460" t="s">
        <v>32</v>
      </c>
      <c r="F156" s="461">
        <v>31</v>
      </c>
      <c r="G156" s="498">
        <v>71.400000000000006</v>
      </c>
      <c r="H156" s="462">
        <f t="shared" si="24"/>
        <v>2213.4</v>
      </c>
      <c r="I156" s="462">
        <f t="shared" si="25"/>
        <v>8568</v>
      </c>
      <c r="J156" s="463">
        <v>4</v>
      </c>
      <c r="K156" s="534">
        <v>50</v>
      </c>
      <c r="L156" s="462">
        <f t="shared" si="26"/>
        <v>1760</v>
      </c>
      <c r="M156" s="462">
        <v>1510</v>
      </c>
      <c r="N156" s="462">
        <v>250</v>
      </c>
      <c r="O156" s="462">
        <f t="shared" si="27"/>
        <v>4023.4</v>
      </c>
      <c r="P156" s="488">
        <f t="shared" si="28"/>
        <v>1234</v>
      </c>
      <c r="Q156" s="489">
        <f t="shared" si="29"/>
        <v>1217.0958904109589</v>
      </c>
      <c r="R156" s="489">
        <f t="shared" si="30"/>
        <v>65.753424657534239</v>
      </c>
      <c r="S156" s="490">
        <f t="shared" si="31"/>
        <v>15808</v>
      </c>
      <c r="T156" s="490">
        <f t="shared" si="32"/>
        <v>18324.849315068492</v>
      </c>
      <c r="U156" s="491">
        <f t="shared" si="33"/>
        <v>182.26</v>
      </c>
      <c r="V156" s="498">
        <f>(O156-N156)*11%</f>
        <v>415.07400000000001</v>
      </c>
      <c r="W156" s="498">
        <v>10</v>
      </c>
      <c r="X156" s="498"/>
      <c r="Y156" s="498">
        <v>1495.4</v>
      </c>
      <c r="Z156" s="462">
        <f t="shared" si="34"/>
        <v>2102.7340000000004</v>
      </c>
      <c r="AA156" s="462">
        <f t="shared" si="35"/>
        <v>1920.6659999999997</v>
      </c>
      <c r="AB156" s="489">
        <v>1000</v>
      </c>
    </row>
    <row r="157" spans="1:28" s="507" customFormat="1" ht="12">
      <c r="A157" s="456">
        <v>154</v>
      </c>
      <c r="B157" s="457" t="s">
        <v>1809</v>
      </c>
      <c r="C157" s="497">
        <v>9901443912</v>
      </c>
      <c r="D157" s="459" t="s">
        <v>1810</v>
      </c>
      <c r="E157" s="460" t="s">
        <v>32</v>
      </c>
      <c r="F157" s="461">
        <v>31</v>
      </c>
      <c r="G157" s="498">
        <v>71.400000000000006</v>
      </c>
      <c r="H157" s="462">
        <f t="shared" si="24"/>
        <v>2213.4</v>
      </c>
      <c r="I157" s="462">
        <f t="shared" si="25"/>
        <v>8568</v>
      </c>
      <c r="J157" s="463">
        <v>4</v>
      </c>
      <c r="K157" s="534">
        <v>50</v>
      </c>
      <c r="L157" s="462">
        <f t="shared" si="26"/>
        <v>1760</v>
      </c>
      <c r="M157" s="462">
        <v>1510</v>
      </c>
      <c r="N157" s="462">
        <v>250</v>
      </c>
      <c r="O157" s="462">
        <f t="shared" si="27"/>
        <v>4023.4</v>
      </c>
      <c r="P157" s="488">
        <f t="shared" si="28"/>
        <v>1234</v>
      </c>
      <c r="Q157" s="489">
        <f t="shared" si="29"/>
        <v>1217.0958904109589</v>
      </c>
      <c r="R157" s="489">
        <f t="shared" si="30"/>
        <v>65.753424657534239</v>
      </c>
      <c r="S157" s="490">
        <f t="shared" si="31"/>
        <v>15808</v>
      </c>
      <c r="T157" s="490">
        <f t="shared" si="32"/>
        <v>18324.849315068492</v>
      </c>
      <c r="U157" s="491">
        <f t="shared" si="33"/>
        <v>182.26</v>
      </c>
      <c r="V157" s="498"/>
      <c r="W157" s="498"/>
      <c r="X157" s="498"/>
      <c r="Y157" s="498">
        <v>1400.79</v>
      </c>
      <c r="Z157" s="462">
        <f t="shared" si="34"/>
        <v>1583.05</v>
      </c>
      <c r="AA157" s="462">
        <f t="shared" si="35"/>
        <v>2440.3500000000004</v>
      </c>
      <c r="AB157" s="489">
        <v>1000</v>
      </c>
    </row>
    <row r="158" spans="1:28" s="507" customFormat="1" ht="12">
      <c r="A158" s="456">
        <v>155</v>
      </c>
      <c r="B158" s="457" t="s">
        <v>1811</v>
      </c>
      <c r="C158" s="497">
        <v>9901442273</v>
      </c>
      <c r="D158" s="459" t="s">
        <v>1812</v>
      </c>
      <c r="E158" s="460" t="s">
        <v>72</v>
      </c>
      <c r="F158" s="461">
        <v>31</v>
      </c>
      <c r="G158" s="498">
        <v>71.400000000000006</v>
      </c>
      <c r="H158" s="462">
        <f t="shared" si="24"/>
        <v>2213.4</v>
      </c>
      <c r="I158" s="462">
        <f t="shared" si="25"/>
        <v>8568</v>
      </c>
      <c r="J158" s="463">
        <v>4</v>
      </c>
      <c r="K158" s="534">
        <v>50</v>
      </c>
      <c r="L158" s="462">
        <f t="shared" si="26"/>
        <v>1760</v>
      </c>
      <c r="M158" s="462">
        <v>1510</v>
      </c>
      <c r="N158" s="462">
        <v>250</v>
      </c>
      <c r="O158" s="462">
        <f t="shared" si="27"/>
        <v>4023.4</v>
      </c>
      <c r="P158" s="488">
        <f t="shared" si="28"/>
        <v>1234</v>
      </c>
      <c r="Q158" s="489">
        <f t="shared" si="29"/>
        <v>1217.0958904109589</v>
      </c>
      <c r="R158" s="489">
        <f t="shared" si="30"/>
        <v>65.753424657534239</v>
      </c>
      <c r="S158" s="490">
        <f t="shared" si="31"/>
        <v>15808</v>
      </c>
      <c r="T158" s="490">
        <f t="shared" si="32"/>
        <v>18324.849315068492</v>
      </c>
      <c r="U158" s="491">
        <f t="shared" si="33"/>
        <v>182.26</v>
      </c>
      <c r="V158" s="498"/>
      <c r="W158" s="498"/>
      <c r="X158" s="498"/>
      <c r="Y158" s="498">
        <v>1269.6099999999999</v>
      </c>
      <c r="Z158" s="462">
        <f t="shared" si="34"/>
        <v>1451.87</v>
      </c>
      <c r="AA158" s="462">
        <f t="shared" si="35"/>
        <v>2571.5300000000002</v>
      </c>
      <c r="AB158" s="489">
        <v>1000</v>
      </c>
    </row>
    <row r="159" spans="1:28" s="507" customFormat="1" ht="12">
      <c r="A159" s="456">
        <v>156</v>
      </c>
      <c r="B159" s="466" t="s">
        <v>1813</v>
      </c>
      <c r="C159" s="497">
        <v>9901442910</v>
      </c>
      <c r="D159" s="459" t="s">
        <v>1814</v>
      </c>
      <c r="E159" s="460" t="s">
        <v>32</v>
      </c>
      <c r="F159" s="461">
        <v>31</v>
      </c>
      <c r="G159" s="498">
        <v>71.400000000000006</v>
      </c>
      <c r="H159" s="462">
        <f t="shared" si="24"/>
        <v>2213.4</v>
      </c>
      <c r="I159" s="462">
        <f t="shared" si="25"/>
        <v>8568</v>
      </c>
      <c r="J159" s="463">
        <v>4</v>
      </c>
      <c r="K159" s="534">
        <v>50</v>
      </c>
      <c r="L159" s="462">
        <f t="shared" si="26"/>
        <v>1760</v>
      </c>
      <c r="M159" s="462">
        <v>1510</v>
      </c>
      <c r="N159" s="462">
        <v>250</v>
      </c>
      <c r="O159" s="462">
        <f t="shared" si="27"/>
        <v>4023.4</v>
      </c>
      <c r="P159" s="488">
        <f t="shared" si="28"/>
        <v>1234</v>
      </c>
      <c r="Q159" s="489">
        <f t="shared" si="29"/>
        <v>1217.0958904109589</v>
      </c>
      <c r="R159" s="489">
        <f t="shared" si="30"/>
        <v>65.753424657534239</v>
      </c>
      <c r="S159" s="490">
        <f t="shared" si="31"/>
        <v>15808</v>
      </c>
      <c r="T159" s="490">
        <f t="shared" si="32"/>
        <v>18324.849315068492</v>
      </c>
      <c r="U159" s="491">
        <f t="shared" si="33"/>
        <v>182.26</v>
      </c>
      <c r="V159" s="498"/>
      <c r="W159" s="498">
        <v>10</v>
      </c>
      <c r="X159" s="498"/>
      <c r="Y159" s="498">
        <v>1781.42</v>
      </c>
      <c r="Z159" s="462">
        <f t="shared" si="34"/>
        <v>1973.68</v>
      </c>
      <c r="AA159" s="462">
        <f t="shared" si="35"/>
        <v>2049.7200000000003</v>
      </c>
      <c r="AB159" s="489">
        <v>1000</v>
      </c>
    </row>
    <row r="160" spans="1:28" s="507" customFormat="1" ht="12">
      <c r="A160" s="456">
        <v>157</v>
      </c>
      <c r="B160" s="466" t="s">
        <v>1815</v>
      </c>
      <c r="C160" s="497">
        <v>9901443089</v>
      </c>
      <c r="D160" s="459" t="s">
        <v>1816</v>
      </c>
      <c r="E160" s="460" t="s">
        <v>54</v>
      </c>
      <c r="F160" s="461">
        <v>31</v>
      </c>
      <c r="G160" s="498">
        <v>71.400000000000006</v>
      </c>
      <c r="H160" s="462">
        <f t="shared" si="24"/>
        <v>2213.4</v>
      </c>
      <c r="I160" s="462">
        <f t="shared" si="25"/>
        <v>8568</v>
      </c>
      <c r="J160" s="463">
        <v>4</v>
      </c>
      <c r="K160" s="534">
        <v>75</v>
      </c>
      <c r="L160" s="462">
        <f t="shared" si="26"/>
        <v>1760</v>
      </c>
      <c r="M160" s="462">
        <v>1510</v>
      </c>
      <c r="N160" s="462">
        <v>250</v>
      </c>
      <c r="O160" s="462">
        <f t="shared" si="27"/>
        <v>4048.4</v>
      </c>
      <c r="P160" s="488">
        <f t="shared" si="28"/>
        <v>1242.3333333333333</v>
      </c>
      <c r="Q160" s="489">
        <f t="shared" si="29"/>
        <v>1225.3150684931506</v>
      </c>
      <c r="R160" s="489">
        <f t="shared" si="30"/>
        <v>65.753424657534239</v>
      </c>
      <c r="S160" s="490">
        <f t="shared" si="31"/>
        <v>15908</v>
      </c>
      <c r="T160" s="490">
        <f t="shared" si="32"/>
        <v>18441.401826484016</v>
      </c>
      <c r="U160" s="491">
        <f t="shared" si="33"/>
        <v>183.46</v>
      </c>
      <c r="V160" s="498">
        <f>(O160-N160)*11%</f>
        <v>417.82400000000001</v>
      </c>
      <c r="W160" s="498">
        <v>10</v>
      </c>
      <c r="X160" s="498"/>
      <c r="Y160" s="498">
        <v>1142.03</v>
      </c>
      <c r="Z160" s="462">
        <f t="shared" si="34"/>
        <v>1753.3140000000001</v>
      </c>
      <c r="AA160" s="462">
        <f t="shared" si="35"/>
        <v>2295.0860000000002</v>
      </c>
      <c r="AB160" s="489">
        <v>1000</v>
      </c>
    </row>
    <row r="161" spans="1:28" s="507" customFormat="1" ht="12">
      <c r="A161" s="456">
        <v>158</v>
      </c>
      <c r="B161" s="457" t="s">
        <v>1817</v>
      </c>
      <c r="C161" s="497">
        <v>9901442216</v>
      </c>
      <c r="D161" s="459" t="s">
        <v>1818</v>
      </c>
      <c r="E161" s="460" t="s">
        <v>32</v>
      </c>
      <c r="F161" s="461">
        <v>31</v>
      </c>
      <c r="G161" s="498">
        <v>71.400000000000006</v>
      </c>
      <c r="H161" s="462">
        <f t="shared" si="24"/>
        <v>2213.4</v>
      </c>
      <c r="I161" s="462">
        <f t="shared" si="25"/>
        <v>8568</v>
      </c>
      <c r="J161" s="463">
        <v>4</v>
      </c>
      <c r="K161" s="534">
        <v>50</v>
      </c>
      <c r="L161" s="462">
        <f t="shared" si="26"/>
        <v>1760</v>
      </c>
      <c r="M161" s="462">
        <v>1510</v>
      </c>
      <c r="N161" s="462">
        <v>250</v>
      </c>
      <c r="O161" s="462">
        <f t="shared" si="27"/>
        <v>4023.4</v>
      </c>
      <c r="P161" s="488">
        <f t="shared" si="28"/>
        <v>1234</v>
      </c>
      <c r="Q161" s="489">
        <f t="shared" si="29"/>
        <v>1217.0958904109589</v>
      </c>
      <c r="R161" s="489">
        <f t="shared" si="30"/>
        <v>65.753424657534239</v>
      </c>
      <c r="S161" s="490">
        <f t="shared" si="31"/>
        <v>15808</v>
      </c>
      <c r="T161" s="490">
        <f t="shared" si="32"/>
        <v>18324.849315068492</v>
      </c>
      <c r="U161" s="491">
        <f t="shared" si="33"/>
        <v>182.26</v>
      </c>
      <c r="V161" s="498"/>
      <c r="W161" s="498">
        <v>10</v>
      </c>
      <c r="X161" s="498"/>
      <c r="Y161" s="498"/>
      <c r="Z161" s="462">
        <f t="shared" si="34"/>
        <v>192.26</v>
      </c>
      <c r="AA161" s="462">
        <f t="shared" si="35"/>
        <v>3831.1400000000003</v>
      </c>
      <c r="AB161" s="489">
        <v>1000</v>
      </c>
    </row>
    <row r="162" spans="1:28" s="507" customFormat="1" ht="12">
      <c r="A162" s="456">
        <v>159</v>
      </c>
      <c r="B162" s="466" t="s">
        <v>1819</v>
      </c>
      <c r="C162" s="497">
        <v>9901443118</v>
      </c>
      <c r="D162" s="459" t="s">
        <v>1820</v>
      </c>
      <c r="E162" s="460" t="s">
        <v>32</v>
      </c>
      <c r="F162" s="461">
        <v>31</v>
      </c>
      <c r="G162" s="498">
        <v>71.400000000000006</v>
      </c>
      <c r="H162" s="462">
        <f t="shared" si="24"/>
        <v>2213.4</v>
      </c>
      <c r="I162" s="462">
        <f t="shared" si="25"/>
        <v>8568</v>
      </c>
      <c r="J162" s="463">
        <v>4</v>
      </c>
      <c r="K162" s="534"/>
      <c r="L162" s="462">
        <f t="shared" si="26"/>
        <v>1760</v>
      </c>
      <c r="M162" s="462">
        <v>1510</v>
      </c>
      <c r="N162" s="462">
        <v>250</v>
      </c>
      <c r="O162" s="462">
        <f t="shared" si="27"/>
        <v>3973.4</v>
      </c>
      <c r="P162" s="488">
        <f t="shared" si="28"/>
        <v>1217.3333333333333</v>
      </c>
      <c r="Q162" s="489">
        <f t="shared" si="29"/>
        <v>1200.6575342465753</v>
      </c>
      <c r="R162" s="489">
        <f t="shared" si="30"/>
        <v>65.753424657534239</v>
      </c>
      <c r="S162" s="490">
        <f t="shared" si="31"/>
        <v>15608</v>
      </c>
      <c r="T162" s="490">
        <f t="shared" si="32"/>
        <v>18091.744292237443</v>
      </c>
      <c r="U162" s="491">
        <f t="shared" si="33"/>
        <v>179.84</v>
      </c>
      <c r="V162" s="498">
        <f>(O162-N162)*11%</f>
        <v>409.57400000000001</v>
      </c>
      <c r="W162" s="498">
        <v>10</v>
      </c>
      <c r="X162" s="498"/>
      <c r="Y162" s="498"/>
      <c r="Z162" s="462">
        <f t="shared" si="34"/>
        <v>599.41399999999999</v>
      </c>
      <c r="AA162" s="462">
        <f t="shared" si="35"/>
        <v>3373.9859999999999</v>
      </c>
      <c r="AB162" s="489">
        <v>1000</v>
      </c>
    </row>
    <row r="163" spans="1:28" s="507" customFormat="1" ht="12">
      <c r="A163" s="456">
        <v>160</v>
      </c>
      <c r="B163" s="466" t="s">
        <v>1821</v>
      </c>
      <c r="C163" s="497">
        <v>9901442398</v>
      </c>
      <c r="D163" s="459" t="s">
        <v>1822</v>
      </c>
      <c r="E163" s="460" t="s">
        <v>32</v>
      </c>
      <c r="F163" s="461">
        <v>31</v>
      </c>
      <c r="G163" s="498">
        <v>71.400000000000006</v>
      </c>
      <c r="H163" s="462">
        <f t="shared" si="24"/>
        <v>2213.4</v>
      </c>
      <c r="I163" s="462">
        <f t="shared" si="25"/>
        <v>8568</v>
      </c>
      <c r="J163" s="463">
        <v>4</v>
      </c>
      <c r="K163" s="534">
        <v>75</v>
      </c>
      <c r="L163" s="462">
        <f t="shared" si="26"/>
        <v>1760</v>
      </c>
      <c r="M163" s="462">
        <v>1510</v>
      </c>
      <c r="N163" s="462">
        <v>250</v>
      </c>
      <c r="O163" s="462">
        <f t="shared" si="27"/>
        <v>4048.4</v>
      </c>
      <c r="P163" s="488">
        <f t="shared" si="28"/>
        <v>1242.3333333333333</v>
      </c>
      <c r="Q163" s="489">
        <f t="shared" si="29"/>
        <v>1225.3150684931506</v>
      </c>
      <c r="R163" s="489">
        <f t="shared" si="30"/>
        <v>65.753424657534239</v>
      </c>
      <c r="S163" s="490">
        <f t="shared" si="31"/>
        <v>15908</v>
      </c>
      <c r="T163" s="490">
        <f t="shared" si="32"/>
        <v>18441.401826484016</v>
      </c>
      <c r="U163" s="491">
        <f t="shared" si="33"/>
        <v>183.46</v>
      </c>
      <c r="V163" s="498">
        <f>(O163-N163)*11%</f>
        <v>417.82400000000001</v>
      </c>
      <c r="W163" s="498">
        <v>10</v>
      </c>
      <c r="X163" s="498"/>
      <c r="Y163" s="498"/>
      <c r="Z163" s="462">
        <f t="shared" si="34"/>
        <v>611.28399999999999</v>
      </c>
      <c r="AA163" s="462">
        <f t="shared" si="35"/>
        <v>3437.116</v>
      </c>
      <c r="AB163" s="489">
        <v>1000</v>
      </c>
    </row>
    <row r="164" spans="1:28" s="507" customFormat="1" ht="12">
      <c r="A164" s="456">
        <v>161</v>
      </c>
      <c r="B164" s="457" t="s">
        <v>1823</v>
      </c>
      <c r="C164" s="497">
        <v>9901442807</v>
      </c>
      <c r="D164" s="459" t="s">
        <v>1824</v>
      </c>
      <c r="E164" s="460" t="s">
        <v>32</v>
      </c>
      <c r="F164" s="461">
        <v>31</v>
      </c>
      <c r="G164" s="498">
        <v>71.400000000000006</v>
      </c>
      <c r="H164" s="462">
        <f t="shared" si="24"/>
        <v>2213.4</v>
      </c>
      <c r="I164" s="462">
        <f t="shared" si="25"/>
        <v>8568</v>
      </c>
      <c r="J164" s="463">
        <v>4</v>
      </c>
      <c r="K164" s="534">
        <v>75</v>
      </c>
      <c r="L164" s="462">
        <f t="shared" si="26"/>
        <v>1760</v>
      </c>
      <c r="M164" s="462">
        <v>1510</v>
      </c>
      <c r="N164" s="462">
        <v>250</v>
      </c>
      <c r="O164" s="462">
        <f t="shared" si="27"/>
        <v>4048.4</v>
      </c>
      <c r="P164" s="488">
        <f t="shared" si="28"/>
        <v>1242.3333333333333</v>
      </c>
      <c r="Q164" s="489">
        <f t="shared" si="29"/>
        <v>1225.3150684931506</v>
      </c>
      <c r="R164" s="489">
        <f t="shared" si="30"/>
        <v>65.753424657534239</v>
      </c>
      <c r="S164" s="490">
        <f t="shared" si="31"/>
        <v>15908</v>
      </c>
      <c r="T164" s="490">
        <f t="shared" si="32"/>
        <v>18441.401826484016</v>
      </c>
      <c r="U164" s="491">
        <f t="shared" si="33"/>
        <v>183.46</v>
      </c>
      <c r="V164" s="498"/>
      <c r="W164" s="498">
        <v>10</v>
      </c>
      <c r="X164" s="498"/>
      <c r="Y164" s="498">
        <v>1868.98</v>
      </c>
      <c r="Z164" s="462">
        <f t="shared" si="34"/>
        <v>2062.44</v>
      </c>
      <c r="AA164" s="462">
        <f t="shared" si="35"/>
        <v>1985.96</v>
      </c>
      <c r="AB164" s="489">
        <v>1000</v>
      </c>
    </row>
    <row r="165" spans="1:28" s="507" customFormat="1" ht="12">
      <c r="A165" s="456">
        <v>162</v>
      </c>
      <c r="B165" s="466" t="s">
        <v>1825</v>
      </c>
      <c r="C165" s="497">
        <v>9901442599</v>
      </c>
      <c r="D165" s="459" t="s">
        <v>1826</v>
      </c>
      <c r="E165" s="460" t="s">
        <v>72</v>
      </c>
      <c r="F165" s="461">
        <v>31</v>
      </c>
      <c r="G165" s="498">
        <v>71.400000000000006</v>
      </c>
      <c r="H165" s="462">
        <f t="shared" si="24"/>
        <v>2213.4</v>
      </c>
      <c r="I165" s="462">
        <f t="shared" si="25"/>
        <v>8568</v>
      </c>
      <c r="J165" s="463">
        <v>4</v>
      </c>
      <c r="K165" s="534">
        <v>50</v>
      </c>
      <c r="L165" s="462">
        <f t="shared" si="26"/>
        <v>1760</v>
      </c>
      <c r="M165" s="462">
        <v>1510</v>
      </c>
      <c r="N165" s="462">
        <v>250</v>
      </c>
      <c r="O165" s="462">
        <f t="shared" si="27"/>
        <v>4023.4</v>
      </c>
      <c r="P165" s="488">
        <f t="shared" si="28"/>
        <v>1234</v>
      </c>
      <c r="Q165" s="489">
        <f t="shared" si="29"/>
        <v>1217.0958904109589</v>
      </c>
      <c r="R165" s="489">
        <f t="shared" si="30"/>
        <v>65.753424657534239</v>
      </c>
      <c r="S165" s="490">
        <f t="shared" si="31"/>
        <v>15808</v>
      </c>
      <c r="T165" s="490">
        <f t="shared" si="32"/>
        <v>18324.849315068492</v>
      </c>
      <c r="U165" s="491">
        <f t="shared" si="33"/>
        <v>182.26</v>
      </c>
      <c r="V165" s="498"/>
      <c r="W165" s="498">
        <v>10</v>
      </c>
      <c r="X165" s="498"/>
      <c r="Y165" s="498"/>
      <c r="Z165" s="462">
        <f t="shared" si="34"/>
        <v>192.26</v>
      </c>
      <c r="AA165" s="462">
        <f t="shared" si="35"/>
        <v>3831.1400000000003</v>
      </c>
      <c r="AB165" s="489">
        <v>1000</v>
      </c>
    </row>
    <row r="166" spans="1:28" s="507" customFormat="1" ht="12">
      <c r="A166" s="456">
        <v>163</v>
      </c>
      <c r="B166" s="466" t="s">
        <v>1827</v>
      </c>
      <c r="C166" s="497">
        <v>9901442355</v>
      </c>
      <c r="D166" s="459" t="s">
        <v>1828</v>
      </c>
      <c r="E166" s="460" t="s">
        <v>32</v>
      </c>
      <c r="F166" s="461">
        <v>31</v>
      </c>
      <c r="G166" s="498">
        <v>71.400000000000006</v>
      </c>
      <c r="H166" s="462">
        <f t="shared" si="24"/>
        <v>2213.4</v>
      </c>
      <c r="I166" s="462">
        <f t="shared" si="25"/>
        <v>8568</v>
      </c>
      <c r="J166" s="463">
        <v>4</v>
      </c>
      <c r="K166" s="534">
        <v>50</v>
      </c>
      <c r="L166" s="462">
        <f t="shared" si="26"/>
        <v>1760</v>
      </c>
      <c r="M166" s="462">
        <v>1510</v>
      </c>
      <c r="N166" s="462">
        <v>250</v>
      </c>
      <c r="O166" s="462">
        <f t="shared" si="27"/>
        <v>4023.4</v>
      </c>
      <c r="P166" s="488">
        <f t="shared" si="28"/>
        <v>1234</v>
      </c>
      <c r="Q166" s="489">
        <f t="shared" si="29"/>
        <v>1217.0958904109589</v>
      </c>
      <c r="R166" s="489">
        <f t="shared" si="30"/>
        <v>65.753424657534239</v>
      </c>
      <c r="S166" s="490">
        <f t="shared" si="31"/>
        <v>15808</v>
      </c>
      <c r="T166" s="490">
        <f t="shared" si="32"/>
        <v>18324.849315068492</v>
      </c>
      <c r="U166" s="491">
        <f t="shared" si="33"/>
        <v>182.26</v>
      </c>
      <c r="V166" s="498">
        <f>(O166-N166)*11%</f>
        <v>415.07400000000001</v>
      </c>
      <c r="W166" s="498">
        <v>10</v>
      </c>
      <c r="X166" s="498"/>
      <c r="Y166" s="498">
        <v>1017.01</v>
      </c>
      <c r="Z166" s="462">
        <f t="shared" si="34"/>
        <v>1624.3440000000001</v>
      </c>
      <c r="AA166" s="462">
        <f t="shared" si="35"/>
        <v>2399.056</v>
      </c>
      <c r="AB166" s="489">
        <v>1000</v>
      </c>
    </row>
    <row r="167" spans="1:28" s="507" customFormat="1" ht="12">
      <c r="A167" s="456">
        <v>164</v>
      </c>
      <c r="B167" s="457" t="s">
        <v>1829</v>
      </c>
      <c r="C167" s="497">
        <v>9901442822</v>
      </c>
      <c r="D167" s="459" t="s">
        <v>1830</v>
      </c>
      <c r="E167" s="460" t="s">
        <v>32</v>
      </c>
      <c r="F167" s="461">
        <v>31</v>
      </c>
      <c r="G167" s="498">
        <v>71.400000000000006</v>
      </c>
      <c r="H167" s="462">
        <f t="shared" si="24"/>
        <v>2213.4</v>
      </c>
      <c r="I167" s="462">
        <f t="shared" si="25"/>
        <v>8568</v>
      </c>
      <c r="J167" s="463">
        <v>4</v>
      </c>
      <c r="K167" s="534">
        <v>50</v>
      </c>
      <c r="L167" s="462">
        <f t="shared" si="26"/>
        <v>1760</v>
      </c>
      <c r="M167" s="462">
        <v>1510</v>
      </c>
      <c r="N167" s="462">
        <v>250</v>
      </c>
      <c r="O167" s="462">
        <f t="shared" si="27"/>
        <v>4023.4</v>
      </c>
      <c r="P167" s="488">
        <f t="shared" si="28"/>
        <v>1234</v>
      </c>
      <c r="Q167" s="489">
        <f t="shared" si="29"/>
        <v>1217.0958904109589</v>
      </c>
      <c r="R167" s="489">
        <f t="shared" si="30"/>
        <v>65.753424657534239</v>
      </c>
      <c r="S167" s="490">
        <f t="shared" si="31"/>
        <v>15808</v>
      </c>
      <c r="T167" s="490">
        <f t="shared" si="32"/>
        <v>18324.849315068492</v>
      </c>
      <c r="U167" s="491">
        <f t="shared" si="33"/>
        <v>182.26</v>
      </c>
      <c r="V167" s="498">
        <f>(O167-N167)*11%</f>
        <v>415.07400000000001</v>
      </c>
      <c r="W167" s="498">
        <v>10</v>
      </c>
      <c r="X167" s="498"/>
      <c r="Y167" s="498"/>
      <c r="Z167" s="462">
        <f t="shared" si="34"/>
        <v>607.33400000000006</v>
      </c>
      <c r="AA167" s="462">
        <f t="shared" si="35"/>
        <v>3416.0659999999998</v>
      </c>
      <c r="AB167" s="489">
        <v>1000</v>
      </c>
    </row>
    <row r="168" spans="1:28" s="507" customFormat="1" ht="12">
      <c r="A168" s="456">
        <v>165</v>
      </c>
      <c r="B168" s="466" t="s">
        <v>1831</v>
      </c>
      <c r="C168" s="497">
        <v>9901442406</v>
      </c>
      <c r="D168" s="459" t="s">
        <v>1832</v>
      </c>
      <c r="E168" s="460" t="s">
        <v>32</v>
      </c>
      <c r="F168" s="461">
        <v>31</v>
      </c>
      <c r="G168" s="498">
        <v>71.400000000000006</v>
      </c>
      <c r="H168" s="462">
        <f t="shared" si="24"/>
        <v>2213.4</v>
      </c>
      <c r="I168" s="462">
        <f t="shared" si="25"/>
        <v>8568</v>
      </c>
      <c r="J168" s="463">
        <v>4</v>
      </c>
      <c r="K168" s="534">
        <v>75</v>
      </c>
      <c r="L168" s="462">
        <f t="shared" si="26"/>
        <v>1760</v>
      </c>
      <c r="M168" s="462">
        <v>1510</v>
      </c>
      <c r="N168" s="462">
        <v>250</v>
      </c>
      <c r="O168" s="462">
        <f t="shared" si="27"/>
        <v>4048.4</v>
      </c>
      <c r="P168" s="488">
        <f t="shared" si="28"/>
        <v>1242.3333333333333</v>
      </c>
      <c r="Q168" s="489">
        <f t="shared" si="29"/>
        <v>1225.3150684931506</v>
      </c>
      <c r="R168" s="489">
        <f t="shared" si="30"/>
        <v>65.753424657534239</v>
      </c>
      <c r="S168" s="490">
        <f t="shared" si="31"/>
        <v>15908</v>
      </c>
      <c r="T168" s="490">
        <f t="shared" si="32"/>
        <v>18441.401826484016</v>
      </c>
      <c r="U168" s="491">
        <f t="shared" si="33"/>
        <v>183.46</v>
      </c>
      <c r="V168" s="498"/>
      <c r="W168" s="498">
        <v>10</v>
      </c>
      <c r="X168" s="498"/>
      <c r="Y168" s="498">
        <v>783.04</v>
      </c>
      <c r="Z168" s="462">
        <f t="shared" si="34"/>
        <v>976.5</v>
      </c>
      <c r="AA168" s="462">
        <f t="shared" si="35"/>
        <v>3071.9</v>
      </c>
      <c r="AB168" s="489">
        <v>1000</v>
      </c>
    </row>
    <row r="169" spans="1:28" s="507" customFormat="1" ht="12">
      <c r="A169" s="456">
        <v>166</v>
      </c>
      <c r="B169" s="457" t="s">
        <v>1833</v>
      </c>
      <c r="C169" s="497">
        <v>9901443196</v>
      </c>
      <c r="D169" s="459" t="s">
        <v>1834</v>
      </c>
      <c r="E169" s="460" t="s">
        <v>35</v>
      </c>
      <c r="F169" s="461">
        <v>31</v>
      </c>
      <c r="G169" s="498">
        <v>71.400000000000006</v>
      </c>
      <c r="H169" s="462">
        <f t="shared" si="24"/>
        <v>2213.4</v>
      </c>
      <c r="I169" s="462">
        <f t="shared" si="25"/>
        <v>8568</v>
      </c>
      <c r="J169" s="463">
        <v>4</v>
      </c>
      <c r="K169" s="534"/>
      <c r="L169" s="462">
        <f t="shared" si="26"/>
        <v>1760</v>
      </c>
      <c r="M169" s="462">
        <v>1510</v>
      </c>
      <c r="N169" s="462">
        <v>250</v>
      </c>
      <c r="O169" s="462">
        <f t="shared" si="27"/>
        <v>3973.4</v>
      </c>
      <c r="P169" s="488">
        <f t="shared" si="28"/>
        <v>1217.3333333333333</v>
      </c>
      <c r="Q169" s="489">
        <f t="shared" si="29"/>
        <v>1200.6575342465753</v>
      </c>
      <c r="R169" s="489">
        <f t="shared" si="30"/>
        <v>65.753424657534239</v>
      </c>
      <c r="S169" s="490">
        <f t="shared" si="31"/>
        <v>15608</v>
      </c>
      <c r="T169" s="490">
        <f t="shared" si="32"/>
        <v>18091.744292237443</v>
      </c>
      <c r="U169" s="491">
        <f t="shared" si="33"/>
        <v>179.84</v>
      </c>
      <c r="V169" s="498"/>
      <c r="W169" s="498"/>
      <c r="X169" s="498"/>
      <c r="Y169" s="498"/>
      <c r="Z169" s="462">
        <f t="shared" si="34"/>
        <v>179.84</v>
      </c>
      <c r="AA169" s="462">
        <f t="shared" si="35"/>
        <v>3793.56</v>
      </c>
      <c r="AB169" s="489">
        <v>1000</v>
      </c>
    </row>
    <row r="170" spans="1:28" s="507" customFormat="1" ht="12">
      <c r="A170" s="456">
        <v>167</v>
      </c>
      <c r="B170" s="457" t="s">
        <v>1835</v>
      </c>
      <c r="C170" s="497">
        <v>9901442408</v>
      </c>
      <c r="D170" s="459" t="s">
        <v>1836</v>
      </c>
      <c r="E170" s="460" t="s">
        <v>32</v>
      </c>
      <c r="F170" s="461">
        <v>31</v>
      </c>
      <c r="G170" s="498">
        <v>71.400000000000006</v>
      </c>
      <c r="H170" s="462">
        <f t="shared" si="24"/>
        <v>2213.4</v>
      </c>
      <c r="I170" s="462">
        <f t="shared" si="25"/>
        <v>8568</v>
      </c>
      <c r="J170" s="463">
        <v>4</v>
      </c>
      <c r="K170" s="534">
        <v>75</v>
      </c>
      <c r="L170" s="462">
        <f t="shared" si="26"/>
        <v>1760</v>
      </c>
      <c r="M170" s="462">
        <v>1510</v>
      </c>
      <c r="N170" s="462">
        <v>250</v>
      </c>
      <c r="O170" s="462">
        <f t="shared" si="27"/>
        <v>4048.4</v>
      </c>
      <c r="P170" s="488">
        <f t="shared" si="28"/>
        <v>1242.3333333333333</v>
      </c>
      <c r="Q170" s="489">
        <f t="shared" si="29"/>
        <v>1225.3150684931506</v>
      </c>
      <c r="R170" s="489">
        <f t="shared" si="30"/>
        <v>65.753424657534239</v>
      </c>
      <c r="S170" s="490">
        <f t="shared" si="31"/>
        <v>15908</v>
      </c>
      <c r="T170" s="490">
        <f t="shared" si="32"/>
        <v>18441.401826484016</v>
      </c>
      <c r="U170" s="491">
        <f t="shared" si="33"/>
        <v>183.46</v>
      </c>
      <c r="V170" s="498">
        <f>(O170-N170)*11%</f>
        <v>417.82400000000001</v>
      </c>
      <c r="W170" s="498">
        <v>10</v>
      </c>
      <c r="X170" s="498"/>
      <c r="Y170" s="498"/>
      <c r="Z170" s="462">
        <f t="shared" si="34"/>
        <v>611.28399999999999</v>
      </c>
      <c r="AA170" s="462">
        <f t="shared" si="35"/>
        <v>3437.116</v>
      </c>
      <c r="AB170" s="489">
        <v>1000</v>
      </c>
    </row>
    <row r="171" spans="1:28" s="507" customFormat="1" ht="12">
      <c r="A171" s="456">
        <v>168</v>
      </c>
      <c r="B171" s="457" t="s">
        <v>1837</v>
      </c>
      <c r="C171" s="497">
        <v>9901443712</v>
      </c>
      <c r="D171" s="459" t="s">
        <v>1838</v>
      </c>
      <c r="E171" s="460" t="s">
        <v>32</v>
      </c>
      <c r="F171" s="461">
        <v>31</v>
      </c>
      <c r="G171" s="498">
        <v>71.400000000000006</v>
      </c>
      <c r="H171" s="462">
        <f t="shared" si="24"/>
        <v>2213.4</v>
      </c>
      <c r="I171" s="462">
        <f t="shared" si="25"/>
        <v>8568</v>
      </c>
      <c r="J171" s="463">
        <v>4</v>
      </c>
      <c r="K171" s="534">
        <v>50</v>
      </c>
      <c r="L171" s="462">
        <f t="shared" si="26"/>
        <v>1760</v>
      </c>
      <c r="M171" s="462">
        <v>1510</v>
      </c>
      <c r="N171" s="462">
        <v>250</v>
      </c>
      <c r="O171" s="462">
        <f t="shared" si="27"/>
        <v>4023.4</v>
      </c>
      <c r="P171" s="488">
        <f t="shared" si="28"/>
        <v>1234</v>
      </c>
      <c r="Q171" s="489">
        <f t="shared" si="29"/>
        <v>1217.0958904109589</v>
      </c>
      <c r="R171" s="489">
        <f t="shared" si="30"/>
        <v>65.753424657534239</v>
      </c>
      <c r="S171" s="490">
        <f t="shared" si="31"/>
        <v>15808</v>
      </c>
      <c r="T171" s="490">
        <f t="shared" si="32"/>
        <v>18324.849315068492</v>
      </c>
      <c r="U171" s="491">
        <f t="shared" si="33"/>
        <v>182.26</v>
      </c>
      <c r="V171" s="498"/>
      <c r="W171" s="498"/>
      <c r="X171" s="498"/>
      <c r="Y171" s="498"/>
      <c r="Z171" s="462">
        <f t="shared" si="34"/>
        <v>182.26</v>
      </c>
      <c r="AA171" s="462">
        <f t="shared" si="35"/>
        <v>3841.1400000000003</v>
      </c>
      <c r="AB171" s="489">
        <v>1000</v>
      </c>
    </row>
    <row r="172" spans="1:28" s="507" customFormat="1" ht="12">
      <c r="A172" s="456">
        <v>169</v>
      </c>
      <c r="B172" s="466" t="s">
        <v>1839</v>
      </c>
      <c r="C172" s="497">
        <v>9901442409</v>
      </c>
      <c r="D172" s="459" t="s">
        <v>1840</v>
      </c>
      <c r="E172" s="460" t="s">
        <v>44</v>
      </c>
      <c r="F172" s="461">
        <v>31</v>
      </c>
      <c r="G172" s="498">
        <v>72.540000000000006</v>
      </c>
      <c r="H172" s="462">
        <f t="shared" si="24"/>
        <v>2248.7400000000002</v>
      </c>
      <c r="I172" s="462">
        <f t="shared" si="25"/>
        <v>8704.8000000000011</v>
      </c>
      <c r="J172" s="463">
        <v>4</v>
      </c>
      <c r="K172" s="534">
        <v>75</v>
      </c>
      <c r="L172" s="462">
        <f t="shared" si="26"/>
        <v>1760</v>
      </c>
      <c r="M172" s="462">
        <v>1510</v>
      </c>
      <c r="N172" s="462">
        <v>250</v>
      </c>
      <c r="O172" s="462">
        <f t="shared" si="27"/>
        <v>4083.7400000000002</v>
      </c>
      <c r="P172" s="488">
        <f t="shared" si="28"/>
        <v>1253.7333333333333</v>
      </c>
      <c r="Q172" s="489">
        <f t="shared" si="29"/>
        <v>1236.5589041095891</v>
      </c>
      <c r="R172" s="489">
        <f t="shared" si="30"/>
        <v>65.753424657534239</v>
      </c>
      <c r="S172" s="490">
        <f t="shared" si="31"/>
        <v>16044.800000000001</v>
      </c>
      <c r="T172" s="490">
        <f t="shared" si="32"/>
        <v>18600.845662100459</v>
      </c>
      <c r="U172" s="491">
        <f t="shared" si="33"/>
        <v>185.17</v>
      </c>
      <c r="V172" s="498">
        <f>(O172-N172)*11%</f>
        <v>421.71140000000003</v>
      </c>
      <c r="W172" s="498">
        <v>10</v>
      </c>
      <c r="X172" s="498"/>
      <c r="Y172" s="498"/>
      <c r="Z172" s="462">
        <f t="shared" si="34"/>
        <v>616.88139999999999</v>
      </c>
      <c r="AA172" s="462">
        <f t="shared" si="35"/>
        <v>3466.8586000000005</v>
      </c>
      <c r="AB172" s="489">
        <v>1000</v>
      </c>
    </row>
    <row r="173" spans="1:28" s="507" customFormat="1" ht="12">
      <c r="A173" s="456">
        <v>170</v>
      </c>
      <c r="B173" s="457" t="s">
        <v>1841</v>
      </c>
      <c r="C173" s="497">
        <v>9901442395</v>
      </c>
      <c r="D173" s="459" t="s">
        <v>1842</v>
      </c>
      <c r="E173" s="460" t="s">
        <v>32</v>
      </c>
      <c r="F173" s="461">
        <v>31</v>
      </c>
      <c r="G173" s="498">
        <v>71.400000000000006</v>
      </c>
      <c r="H173" s="462">
        <f t="shared" si="24"/>
        <v>2213.4</v>
      </c>
      <c r="I173" s="462">
        <f t="shared" si="25"/>
        <v>8568</v>
      </c>
      <c r="J173" s="463">
        <v>4</v>
      </c>
      <c r="K173" s="534">
        <v>75</v>
      </c>
      <c r="L173" s="462">
        <f t="shared" si="26"/>
        <v>1760</v>
      </c>
      <c r="M173" s="462">
        <v>1510</v>
      </c>
      <c r="N173" s="462">
        <v>250</v>
      </c>
      <c r="O173" s="462">
        <f t="shared" si="27"/>
        <v>4048.4</v>
      </c>
      <c r="P173" s="488">
        <f t="shared" si="28"/>
        <v>1242.3333333333333</v>
      </c>
      <c r="Q173" s="489">
        <f t="shared" si="29"/>
        <v>1225.3150684931506</v>
      </c>
      <c r="R173" s="489">
        <f t="shared" si="30"/>
        <v>65.753424657534239</v>
      </c>
      <c r="S173" s="490">
        <f t="shared" si="31"/>
        <v>15908</v>
      </c>
      <c r="T173" s="490">
        <f t="shared" si="32"/>
        <v>18441.401826484016</v>
      </c>
      <c r="U173" s="491">
        <f t="shared" si="33"/>
        <v>183.46</v>
      </c>
      <c r="V173" s="498">
        <f>(O173-N173)*11%</f>
        <v>417.82400000000001</v>
      </c>
      <c r="W173" s="498">
        <v>10</v>
      </c>
      <c r="X173" s="498"/>
      <c r="Y173" s="498"/>
      <c r="Z173" s="462">
        <f t="shared" si="34"/>
        <v>611.28399999999999</v>
      </c>
      <c r="AA173" s="462">
        <f t="shared" si="35"/>
        <v>3437.116</v>
      </c>
      <c r="AB173" s="489">
        <v>1000</v>
      </c>
    </row>
    <row r="174" spans="1:28" s="507" customFormat="1" ht="12">
      <c r="A174" s="456">
        <v>171</v>
      </c>
      <c r="B174" s="457" t="s">
        <v>1843</v>
      </c>
      <c r="C174" s="497">
        <v>9901443910</v>
      </c>
      <c r="D174" s="459" t="s">
        <v>1844</v>
      </c>
      <c r="E174" s="460" t="s">
        <v>72</v>
      </c>
      <c r="F174" s="461">
        <v>31</v>
      </c>
      <c r="G174" s="498">
        <v>71.400000000000006</v>
      </c>
      <c r="H174" s="462">
        <f t="shared" si="24"/>
        <v>2213.4</v>
      </c>
      <c r="I174" s="462">
        <f t="shared" si="25"/>
        <v>8568</v>
      </c>
      <c r="J174" s="463">
        <v>4</v>
      </c>
      <c r="K174" s="534">
        <v>50</v>
      </c>
      <c r="L174" s="462">
        <f t="shared" si="26"/>
        <v>1760</v>
      </c>
      <c r="M174" s="462">
        <v>1510</v>
      </c>
      <c r="N174" s="462">
        <v>250</v>
      </c>
      <c r="O174" s="462">
        <f t="shared" si="27"/>
        <v>4023.4</v>
      </c>
      <c r="P174" s="488">
        <f t="shared" si="28"/>
        <v>1234</v>
      </c>
      <c r="Q174" s="489">
        <f t="shared" si="29"/>
        <v>1217.0958904109589</v>
      </c>
      <c r="R174" s="489">
        <f t="shared" si="30"/>
        <v>65.753424657534239</v>
      </c>
      <c r="S174" s="490">
        <f t="shared" si="31"/>
        <v>15808</v>
      </c>
      <c r="T174" s="490">
        <f t="shared" si="32"/>
        <v>18324.849315068492</v>
      </c>
      <c r="U174" s="491">
        <f t="shared" si="33"/>
        <v>182.26</v>
      </c>
      <c r="V174" s="498"/>
      <c r="W174" s="498"/>
      <c r="X174" s="498"/>
      <c r="Y174" s="498"/>
      <c r="Z174" s="462">
        <f t="shared" si="34"/>
        <v>182.26</v>
      </c>
      <c r="AA174" s="462">
        <f t="shared" si="35"/>
        <v>3841.1400000000003</v>
      </c>
      <c r="AB174" s="489">
        <v>1000</v>
      </c>
    </row>
    <row r="175" spans="1:28" s="507" customFormat="1" ht="12">
      <c r="A175" s="456">
        <v>172</v>
      </c>
      <c r="B175" s="466" t="s">
        <v>1845</v>
      </c>
      <c r="C175" s="497">
        <v>9901442601</v>
      </c>
      <c r="D175" s="459" t="s">
        <v>1846</v>
      </c>
      <c r="E175" s="460" t="s">
        <v>39</v>
      </c>
      <c r="F175" s="461">
        <v>31</v>
      </c>
      <c r="G175" s="498">
        <v>78.25</v>
      </c>
      <c r="H175" s="462">
        <f t="shared" si="24"/>
        <v>2425.75</v>
      </c>
      <c r="I175" s="462">
        <f t="shared" si="25"/>
        <v>9390</v>
      </c>
      <c r="J175" s="463">
        <v>4</v>
      </c>
      <c r="K175" s="534">
        <v>50</v>
      </c>
      <c r="L175" s="462">
        <f t="shared" si="26"/>
        <v>1760</v>
      </c>
      <c r="M175" s="462">
        <v>1510</v>
      </c>
      <c r="N175" s="462">
        <v>250</v>
      </c>
      <c r="O175" s="462">
        <f t="shared" si="27"/>
        <v>4235.75</v>
      </c>
      <c r="P175" s="488">
        <f t="shared" si="28"/>
        <v>1302.5</v>
      </c>
      <c r="Q175" s="489">
        <f t="shared" si="29"/>
        <v>1284.6575342465753</v>
      </c>
      <c r="R175" s="489">
        <f t="shared" si="30"/>
        <v>65.753424657534239</v>
      </c>
      <c r="S175" s="490">
        <f t="shared" si="31"/>
        <v>16630</v>
      </c>
      <c r="T175" s="490">
        <f t="shared" si="32"/>
        <v>19282.910958904111</v>
      </c>
      <c r="U175" s="491">
        <f t="shared" si="33"/>
        <v>192.51</v>
      </c>
      <c r="V175" s="498"/>
      <c r="W175" s="498">
        <v>10</v>
      </c>
      <c r="X175" s="498"/>
      <c r="Y175" s="498">
        <v>1442.45</v>
      </c>
      <c r="Z175" s="462">
        <f t="shared" si="34"/>
        <v>1644.96</v>
      </c>
      <c r="AA175" s="462">
        <f t="shared" si="35"/>
        <v>2590.79</v>
      </c>
      <c r="AB175" s="489">
        <v>1000</v>
      </c>
    </row>
    <row r="176" spans="1:28" s="507" customFormat="1" ht="12">
      <c r="A176" s="456">
        <v>173</v>
      </c>
      <c r="B176" s="466" t="s">
        <v>1847</v>
      </c>
      <c r="C176" s="497">
        <v>9901442998</v>
      </c>
      <c r="D176" s="459" t="s">
        <v>1848</v>
      </c>
      <c r="E176" s="460" t="s">
        <v>32</v>
      </c>
      <c r="F176" s="461">
        <v>31</v>
      </c>
      <c r="G176" s="498">
        <v>71.400000000000006</v>
      </c>
      <c r="H176" s="462">
        <f t="shared" si="24"/>
        <v>2213.4</v>
      </c>
      <c r="I176" s="462">
        <f t="shared" si="25"/>
        <v>8568</v>
      </c>
      <c r="J176" s="463">
        <v>4</v>
      </c>
      <c r="K176" s="534">
        <v>50</v>
      </c>
      <c r="L176" s="462">
        <f t="shared" si="26"/>
        <v>1760</v>
      </c>
      <c r="M176" s="462">
        <v>1510</v>
      </c>
      <c r="N176" s="462">
        <v>250</v>
      </c>
      <c r="O176" s="462">
        <f t="shared" si="27"/>
        <v>4023.4</v>
      </c>
      <c r="P176" s="488">
        <f t="shared" si="28"/>
        <v>1234</v>
      </c>
      <c r="Q176" s="489">
        <f t="shared" si="29"/>
        <v>1217.0958904109589</v>
      </c>
      <c r="R176" s="489">
        <f t="shared" si="30"/>
        <v>65.753424657534239</v>
      </c>
      <c r="S176" s="490">
        <f t="shared" si="31"/>
        <v>15808</v>
      </c>
      <c r="T176" s="490">
        <f t="shared" si="32"/>
        <v>18324.849315068492</v>
      </c>
      <c r="U176" s="491">
        <f t="shared" si="33"/>
        <v>182.26</v>
      </c>
      <c r="V176" s="498"/>
      <c r="W176" s="498"/>
      <c r="X176" s="498"/>
      <c r="Y176" s="498">
        <v>1312.23</v>
      </c>
      <c r="Z176" s="462">
        <f t="shared" si="34"/>
        <v>1494.49</v>
      </c>
      <c r="AA176" s="462">
        <f t="shared" si="35"/>
        <v>2528.91</v>
      </c>
      <c r="AB176" s="489">
        <v>1000</v>
      </c>
    </row>
    <row r="177" spans="1:28" s="507" customFormat="1" ht="12">
      <c r="A177" s="456">
        <v>174</v>
      </c>
      <c r="B177" s="457" t="s">
        <v>1849</v>
      </c>
      <c r="C177" s="497">
        <v>9901443097</v>
      </c>
      <c r="D177" s="459" t="s">
        <v>1850</v>
      </c>
      <c r="E177" s="460" t="s">
        <v>54</v>
      </c>
      <c r="F177" s="461">
        <v>31</v>
      </c>
      <c r="G177" s="498">
        <v>71.400000000000006</v>
      </c>
      <c r="H177" s="462">
        <f t="shared" si="24"/>
        <v>2213.4</v>
      </c>
      <c r="I177" s="462">
        <f t="shared" si="25"/>
        <v>8568</v>
      </c>
      <c r="J177" s="463">
        <v>4</v>
      </c>
      <c r="K177" s="534">
        <v>75</v>
      </c>
      <c r="L177" s="462">
        <f t="shared" si="26"/>
        <v>1760</v>
      </c>
      <c r="M177" s="462">
        <v>1510</v>
      </c>
      <c r="N177" s="462">
        <v>250</v>
      </c>
      <c r="O177" s="462">
        <f t="shared" si="27"/>
        <v>4048.4</v>
      </c>
      <c r="P177" s="488">
        <f t="shared" si="28"/>
        <v>1242.3333333333333</v>
      </c>
      <c r="Q177" s="489">
        <f t="shared" si="29"/>
        <v>1225.3150684931506</v>
      </c>
      <c r="R177" s="489">
        <f t="shared" si="30"/>
        <v>65.753424657534239</v>
      </c>
      <c r="S177" s="490">
        <f t="shared" si="31"/>
        <v>15908</v>
      </c>
      <c r="T177" s="490">
        <f t="shared" si="32"/>
        <v>18441.401826484016</v>
      </c>
      <c r="U177" s="491">
        <f t="shared" si="33"/>
        <v>183.46</v>
      </c>
      <c r="V177" s="498">
        <f>(O177-N177)*11%</f>
        <v>417.82400000000001</v>
      </c>
      <c r="W177" s="498">
        <v>10</v>
      </c>
      <c r="X177" s="498"/>
      <c r="Y177" s="498"/>
      <c r="Z177" s="462">
        <f t="shared" si="34"/>
        <v>611.28399999999999</v>
      </c>
      <c r="AA177" s="462">
        <f t="shared" si="35"/>
        <v>3437.116</v>
      </c>
      <c r="AB177" s="489">
        <v>1000</v>
      </c>
    </row>
    <row r="178" spans="1:28" s="507" customFormat="1" ht="12">
      <c r="A178" s="456">
        <v>175</v>
      </c>
      <c r="B178" s="466" t="s">
        <v>1851</v>
      </c>
      <c r="C178" s="497">
        <v>9901443913</v>
      </c>
      <c r="D178" s="459" t="s">
        <v>1852</v>
      </c>
      <c r="E178" s="460" t="s">
        <v>54</v>
      </c>
      <c r="F178" s="461">
        <v>31</v>
      </c>
      <c r="G178" s="498">
        <v>71.400000000000006</v>
      </c>
      <c r="H178" s="462">
        <f t="shared" si="24"/>
        <v>2213.4</v>
      </c>
      <c r="I178" s="462">
        <f t="shared" si="25"/>
        <v>8568</v>
      </c>
      <c r="J178" s="463">
        <v>4</v>
      </c>
      <c r="K178" s="533">
        <v>50</v>
      </c>
      <c r="L178" s="462">
        <f t="shared" si="26"/>
        <v>1760</v>
      </c>
      <c r="M178" s="462">
        <v>1510</v>
      </c>
      <c r="N178" s="462">
        <v>250</v>
      </c>
      <c r="O178" s="462">
        <f t="shared" si="27"/>
        <v>4023.4</v>
      </c>
      <c r="P178" s="488">
        <f t="shared" si="28"/>
        <v>1234</v>
      </c>
      <c r="Q178" s="489">
        <f t="shared" si="29"/>
        <v>1217.0958904109589</v>
      </c>
      <c r="R178" s="489">
        <f t="shared" si="30"/>
        <v>65.753424657534239</v>
      </c>
      <c r="S178" s="490">
        <f t="shared" si="31"/>
        <v>15808</v>
      </c>
      <c r="T178" s="490">
        <f t="shared" si="32"/>
        <v>18324.849315068492</v>
      </c>
      <c r="U178" s="491">
        <f t="shared" si="33"/>
        <v>182.26</v>
      </c>
      <c r="V178" s="498">
        <f>(O178-N178)*11%</f>
        <v>415.07400000000001</v>
      </c>
      <c r="W178" s="498">
        <v>10</v>
      </c>
      <c r="X178" s="498"/>
      <c r="Y178" s="498"/>
      <c r="Z178" s="462">
        <f t="shared" si="34"/>
        <v>607.33400000000006</v>
      </c>
      <c r="AA178" s="462">
        <f t="shared" si="35"/>
        <v>3416.0659999999998</v>
      </c>
      <c r="AB178" s="489">
        <v>1000</v>
      </c>
    </row>
    <row r="179" spans="1:28" s="507" customFormat="1" ht="12">
      <c r="A179" s="456">
        <v>176</v>
      </c>
      <c r="B179" s="466" t="s">
        <v>1853</v>
      </c>
      <c r="C179" s="497">
        <v>9901442808</v>
      </c>
      <c r="D179" s="459" t="s">
        <v>1854</v>
      </c>
      <c r="E179" s="460" t="s">
        <v>72</v>
      </c>
      <c r="F179" s="461">
        <v>31</v>
      </c>
      <c r="G179" s="498">
        <v>71.400000000000006</v>
      </c>
      <c r="H179" s="462">
        <f t="shared" si="24"/>
        <v>2213.4</v>
      </c>
      <c r="I179" s="462">
        <f t="shared" si="25"/>
        <v>8568</v>
      </c>
      <c r="J179" s="463">
        <v>4</v>
      </c>
      <c r="K179" s="534">
        <v>75</v>
      </c>
      <c r="L179" s="462">
        <f t="shared" si="26"/>
        <v>1760</v>
      </c>
      <c r="M179" s="462">
        <v>1510</v>
      </c>
      <c r="N179" s="462">
        <v>250</v>
      </c>
      <c r="O179" s="462">
        <f t="shared" si="27"/>
        <v>4048.4</v>
      </c>
      <c r="P179" s="488">
        <f t="shared" si="28"/>
        <v>1242.3333333333333</v>
      </c>
      <c r="Q179" s="489">
        <f t="shared" si="29"/>
        <v>1225.3150684931506</v>
      </c>
      <c r="R179" s="489">
        <f t="shared" si="30"/>
        <v>65.753424657534239</v>
      </c>
      <c r="S179" s="490">
        <f t="shared" si="31"/>
        <v>15908</v>
      </c>
      <c r="T179" s="490">
        <f t="shared" si="32"/>
        <v>18441.401826484016</v>
      </c>
      <c r="U179" s="491">
        <f t="shared" si="33"/>
        <v>183.46</v>
      </c>
      <c r="V179" s="498">
        <f>(O179-N179)*11%</f>
        <v>417.82400000000001</v>
      </c>
      <c r="W179" s="498">
        <v>10</v>
      </c>
      <c r="X179" s="498"/>
      <c r="Y179" s="498">
        <v>1306.3</v>
      </c>
      <c r="Z179" s="462">
        <f t="shared" si="34"/>
        <v>1917.5840000000001</v>
      </c>
      <c r="AA179" s="462">
        <f t="shared" si="35"/>
        <v>2130.8159999999998</v>
      </c>
      <c r="AB179" s="489">
        <v>1000</v>
      </c>
    </row>
    <row r="180" spans="1:28" s="507" customFormat="1" ht="12">
      <c r="A180" s="456">
        <v>177</v>
      </c>
      <c r="B180" s="466" t="s">
        <v>1855</v>
      </c>
      <c r="C180" s="497">
        <v>9901442399</v>
      </c>
      <c r="D180" s="459" t="s">
        <v>1856</v>
      </c>
      <c r="E180" s="460" t="s">
        <v>85</v>
      </c>
      <c r="F180" s="461">
        <v>31</v>
      </c>
      <c r="G180" s="498">
        <v>76.59</v>
      </c>
      <c r="H180" s="462">
        <f t="shared" si="24"/>
        <v>2374.29</v>
      </c>
      <c r="I180" s="462">
        <f t="shared" si="25"/>
        <v>9190.8000000000011</v>
      </c>
      <c r="J180" s="463">
        <v>4</v>
      </c>
      <c r="K180" s="534">
        <v>75</v>
      </c>
      <c r="L180" s="462">
        <f t="shared" si="26"/>
        <v>1760</v>
      </c>
      <c r="M180" s="462">
        <v>1510</v>
      </c>
      <c r="N180" s="462">
        <v>250</v>
      </c>
      <c r="O180" s="462">
        <f t="shared" si="27"/>
        <v>4209.29</v>
      </c>
      <c r="P180" s="488">
        <f t="shared" si="28"/>
        <v>1294.2333333333333</v>
      </c>
      <c r="Q180" s="489">
        <f t="shared" si="29"/>
        <v>1276.5041095890413</v>
      </c>
      <c r="R180" s="489">
        <f t="shared" si="30"/>
        <v>65.753424657534239</v>
      </c>
      <c r="S180" s="490">
        <f t="shared" si="31"/>
        <v>16530.800000000003</v>
      </c>
      <c r="T180" s="490">
        <f t="shared" si="32"/>
        <v>19167.290867579912</v>
      </c>
      <c r="U180" s="491">
        <f t="shared" si="33"/>
        <v>191.23</v>
      </c>
      <c r="V180" s="498">
        <f>(O180-N180)*11%</f>
        <v>435.52190000000002</v>
      </c>
      <c r="W180" s="498">
        <v>10</v>
      </c>
      <c r="X180" s="498"/>
      <c r="Y180" s="498"/>
      <c r="Z180" s="462">
        <f t="shared" si="34"/>
        <v>636.75189999999998</v>
      </c>
      <c r="AA180" s="462">
        <f t="shared" si="35"/>
        <v>3572.5380999999998</v>
      </c>
      <c r="AB180" s="489">
        <v>1000</v>
      </c>
    </row>
    <row r="181" spans="1:28" s="507" customFormat="1" ht="12">
      <c r="A181" s="456">
        <v>178</v>
      </c>
      <c r="B181" s="457" t="s">
        <v>1857</v>
      </c>
      <c r="C181" s="497">
        <v>9901443078</v>
      </c>
      <c r="D181" s="459" t="s">
        <v>1858</v>
      </c>
      <c r="E181" s="460" t="s">
        <v>54</v>
      </c>
      <c r="F181" s="461">
        <v>31</v>
      </c>
      <c r="G181" s="498">
        <v>71.400000000000006</v>
      </c>
      <c r="H181" s="462">
        <f t="shared" si="24"/>
        <v>2213.4</v>
      </c>
      <c r="I181" s="462">
        <f t="shared" si="25"/>
        <v>8568</v>
      </c>
      <c r="J181" s="463">
        <v>4</v>
      </c>
      <c r="K181" s="534">
        <v>50</v>
      </c>
      <c r="L181" s="462">
        <f t="shared" si="26"/>
        <v>1760</v>
      </c>
      <c r="M181" s="462">
        <v>1510</v>
      </c>
      <c r="N181" s="462">
        <v>250</v>
      </c>
      <c r="O181" s="462">
        <f t="shared" si="27"/>
        <v>4023.4</v>
      </c>
      <c r="P181" s="488">
        <f t="shared" si="28"/>
        <v>1234</v>
      </c>
      <c r="Q181" s="489">
        <f t="shared" si="29"/>
        <v>1217.0958904109589</v>
      </c>
      <c r="R181" s="489">
        <f t="shared" si="30"/>
        <v>65.753424657534239</v>
      </c>
      <c r="S181" s="490">
        <f t="shared" si="31"/>
        <v>15808</v>
      </c>
      <c r="T181" s="490">
        <f t="shared" si="32"/>
        <v>18324.849315068492</v>
      </c>
      <c r="U181" s="491">
        <f t="shared" si="33"/>
        <v>182.26</v>
      </c>
      <c r="V181" s="498">
        <f t="shared" ref="V181:V186" si="37">(O181-N181)*11%</f>
        <v>415.07400000000001</v>
      </c>
      <c r="W181" s="498"/>
      <c r="X181" s="498"/>
      <c r="Y181" s="498">
        <v>1364.57</v>
      </c>
      <c r="Z181" s="462">
        <f t="shared" si="34"/>
        <v>1961.904</v>
      </c>
      <c r="AA181" s="462">
        <f t="shared" si="35"/>
        <v>2061.4960000000001</v>
      </c>
      <c r="AB181" s="489">
        <v>1000</v>
      </c>
    </row>
    <row r="182" spans="1:28" s="507" customFormat="1" ht="12">
      <c r="A182" s="456">
        <v>179</v>
      </c>
      <c r="B182" s="466" t="s">
        <v>1859</v>
      </c>
      <c r="C182" s="497">
        <v>9901451141</v>
      </c>
      <c r="D182" s="459" t="s">
        <v>1860</v>
      </c>
      <c r="E182" s="460" t="s">
        <v>54</v>
      </c>
      <c r="F182" s="461">
        <v>31</v>
      </c>
      <c r="G182" s="498">
        <v>71.400000000000006</v>
      </c>
      <c r="H182" s="462">
        <f t="shared" si="24"/>
        <v>2213.4</v>
      </c>
      <c r="I182" s="462">
        <f t="shared" si="25"/>
        <v>8568</v>
      </c>
      <c r="J182" s="463">
        <v>4</v>
      </c>
      <c r="K182" s="533">
        <v>50</v>
      </c>
      <c r="L182" s="462">
        <f t="shared" si="26"/>
        <v>1760</v>
      </c>
      <c r="M182" s="462">
        <v>1510</v>
      </c>
      <c r="N182" s="462">
        <v>250</v>
      </c>
      <c r="O182" s="462">
        <f t="shared" si="27"/>
        <v>4023.4</v>
      </c>
      <c r="P182" s="488">
        <f t="shared" si="28"/>
        <v>1234</v>
      </c>
      <c r="Q182" s="489">
        <f t="shared" si="29"/>
        <v>1217.0958904109589</v>
      </c>
      <c r="R182" s="489">
        <f t="shared" si="30"/>
        <v>65.753424657534239</v>
      </c>
      <c r="S182" s="490">
        <f t="shared" si="31"/>
        <v>15808</v>
      </c>
      <c r="T182" s="490">
        <f t="shared" si="32"/>
        <v>18324.849315068492</v>
      </c>
      <c r="U182" s="491">
        <f t="shared" si="33"/>
        <v>182.26</v>
      </c>
      <c r="V182" s="498">
        <f t="shared" si="37"/>
        <v>415.07400000000001</v>
      </c>
      <c r="W182" s="498">
        <v>10</v>
      </c>
      <c r="X182" s="498"/>
      <c r="Y182" s="498">
        <v>1822.4</v>
      </c>
      <c r="Z182" s="462">
        <f t="shared" si="34"/>
        <v>2429.7340000000004</v>
      </c>
      <c r="AA182" s="462">
        <f t="shared" si="35"/>
        <v>1593.6659999999997</v>
      </c>
      <c r="AB182" s="489">
        <v>1000</v>
      </c>
    </row>
    <row r="183" spans="1:28" s="507" customFormat="1" ht="12">
      <c r="A183" s="456">
        <v>180</v>
      </c>
      <c r="B183" s="466" t="s">
        <v>1861</v>
      </c>
      <c r="C183" s="497">
        <v>9901442428</v>
      </c>
      <c r="D183" s="459" t="s">
        <v>1862</v>
      </c>
      <c r="E183" s="460" t="s">
        <v>39</v>
      </c>
      <c r="F183" s="461">
        <v>31</v>
      </c>
      <c r="G183" s="498">
        <v>78.25</v>
      </c>
      <c r="H183" s="462">
        <f t="shared" si="24"/>
        <v>2425.75</v>
      </c>
      <c r="I183" s="462">
        <f t="shared" si="25"/>
        <v>9390</v>
      </c>
      <c r="J183" s="463">
        <v>4</v>
      </c>
      <c r="K183" s="534">
        <v>50</v>
      </c>
      <c r="L183" s="462">
        <f t="shared" si="26"/>
        <v>1760</v>
      </c>
      <c r="M183" s="462">
        <v>1510</v>
      </c>
      <c r="N183" s="462">
        <v>250</v>
      </c>
      <c r="O183" s="462">
        <f t="shared" si="27"/>
        <v>4235.75</v>
      </c>
      <c r="P183" s="488">
        <f t="shared" si="28"/>
        <v>1302.5</v>
      </c>
      <c r="Q183" s="489">
        <f t="shared" si="29"/>
        <v>1284.6575342465753</v>
      </c>
      <c r="R183" s="489">
        <f t="shared" si="30"/>
        <v>65.753424657534239</v>
      </c>
      <c r="S183" s="490">
        <f t="shared" si="31"/>
        <v>16630</v>
      </c>
      <c r="T183" s="490">
        <f t="shared" si="32"/>
        <v>19282.910958904111</v>
      </c>
      <c r="U183" s="491">
        <f t="shared" si="33"/>
        <v>192.51</v>
      </c>
      <c r="V183" s="498">
        <f t="shared" si="37"/>
        <v>438.4325</v>
      </c>
      <c r="W183" s="498">
        <v>10</v>
      </c>
      <c r="X183" s="498"/>
      <c r="Y183" s="498">
        <v>1866.84</v>
      </c>
      <c r="Z183" s="462">
        <f t="shared" si="34"/>
        <v>2507.7825000000003</v>
      </c>
      <c r="AA183" s="462">
        <f t="shared" si="35"/>
        <v>1727.9674999999997</v>
      </c>
      <c r="AB183" s="489">
        <v>1000</v>
      </c>
    </row>
    <row r="184" spans="1:28" s="507" customFormat="1" ht="12">
      <c r="A184" s="456">
        <v>181</v>
      </c>
      <c r="B184" s="457" t="s">
        <v>1863</v>
      </c>
      <c r="C184" s="497">
        <v>9901442842</v>
      </c>
      <c r="D184" s="459" t="s">
        <v>1864</v>
      </c>
      <c r="E184" s="460" t="s">
        <v>32</v>
      </c>
      <c r="F184" s="461">
        <v>31</v>
      </c>
      <c r="G184" s="498">
        <v>71.400000000000006</v>
      </c>
      <c r="H184" s="462">
        <f t="shared" si="24"/>
        <v>2213.4</v>
      </c>
      <c r="I184" s="462">
        <f t="shared" si="25"/>
        <v>8568</v>
      </c>
      <c r="J184" s="463">
        <v>4</v>
      </c>
      <c r="K184" s="534">
        <v>50</v>
      </c>
      <c r="L184" s="462">
        <f t="shared" si="26"/>
        <v>1760</v>
      </c>
      <c r="M184" s="462">
        <v>1510</v>
      </c>
      <c r="N184" s="462">
        <v>250</v>
      </c>
      <c r="O184" s="462">
        <f t="shared" si="27"/>
        <v>4023.4</v>
      </c>
      <c r="P184" s="488">
        <f t="shared" si="28"/>
        <v>1234</v>
      </c>
      <c r="Q184" s="489">
        <f t="shared" si="29"/>
        <v>1217.0958904109589</v>
      </c>
      <c r="R184" s="489">
        <f t="shared" si="30"/>
        <v>65.753424657534239</v>
      </c>
      <c r="S184" s="490">
        <f t="shared" si="31"/>
        <v>15808</v>
      </c>
      <c r="T184" s="490">
        <f t="shared" si="32"/>
        <v>18324.849315068492</v>
      </c>
      <c r="U184" s="491">
        <f t="shared" si="33"/>
        <v>182.26</v>
      </c>
      <c r="V184" s="498">
        <f t="shared" si="37"/>
        <v>415.07400000000001</v>
      </c>
      <c r="W184" s="498">
        <v>10</v>
      </c>
      <c r="X184" s="498"/>
      <c r="Y184" s="498"/>
      <c r="Z184" s="462">
        <f t="shared" si="34"/>
        <v>607.33400000000006</v>
      </c>
      <c r="AA184" s="462">
        <f t="shared" si="35"/>
        <v>3416.0659999999998</v>
      </c>
      <c r="AB184" s="489">
        <v>1000</v>
      </c>
    </row>
    <row r="185" spans="1:28" s="507" customFormat="1" ht="12">
      <c r="A185" s="456">
        <v>182</v>
      </c>
      <c r="B185" s="457" t="s">
        <v>1865</v>
      </c>
      <c r="C185" s="497">
        <v>9901443146</v>
      </c>
      <c r="D185" s="459" t="s">
        <v>1866</v>
      </c>
      <c r="E185" s="460" t="s">
        <v>35</v>
      </c>
      <c r="F185" s="461">
        <v>31</v>
      </c>
      <c r="G185" s="498">
        <v>71.400000000000006</v>
      </c>
      <c r="H185" s="462">
        <f t="shared" si="24"/>
        <v>2213.4</v>
      </c>
      <c r="I185" s="462">
        <f t="shared" si="25"/>
        <v>8568</v>
      </c>
      <c r="J185" s="463">
        <v>4</v>
      </c>
      <c r="K185" s="533">
        <v>35</v>
      </c>
      <c r="L185" s="462">
        <f t="shared" si="26"/>
        <v>1760</v>
      </c>
      <c r="M185" s="462">
        <v>1510</v>
      </c>
      <c r="N185" s="462">
        <v>250</v>
      </c>
      <c r="O185" s="462">
        <f t="shared" si="27"/>
        <v>4008.4</v>
      </c>
      <c r="P185" s="488">
        <f t="shared" si="28"/>
        <v>1229</v>
      </c>
      <c r="Q185" s="489">
        <f t="shared" si="29"/>
        <v>1212.1643835616437</v>
      </c>
      <c r="R185" s="489">
        <f t="shared" si="30"/>
        <v>65.753424657534239</v>
      </c>
      <c r="S185" s="490">
        <f t="shared" si="31"/>
        <v>15748</v>
      </c>
      <c r="T185" s="490">
        <f t="shared" si="32"/>
        <v>18254.917808219179</v>
      </c>
      <c r="U185" s="491">
        <f t="shared" si="33"/>
        <v>181.53</v>
      </c>
      <c r="V185" s="498">
        <f t="shared" si="37"/>
        <v>413.42400000000004</v>
      </c>
      <c r="W185" s="498"/>
      <c r="X185" s="498"/>
      <c r="Y185" s="498"/>
      <c r="Z185" s="462">
        <f t="shared" si="34"/>
        <v>594.95400000000006</v>
      </c>
      <c r="AA185" s="462">
        <f t="shared" si="35"/>
        <v>3413.4459999999999</v>
      </c>
      <c r="AB185" s="489">
        <v>1000</v>
      </c>
    </row>
    <row r="186" spans="1:28" s="507" customFormat="1" ht="12">
      <c r="A186" s="456">
        <v>183</v>
      </c>
      <c r="B186" s="466" t="s">
        <v>1867</v>
      </c>
      <c r="C186" s="497">
        <v>9901442823</v>
      </c>
      <c r="D186" s="459" t="s">
        <v>1868</v>
      </c>
      <c r="E186" s="460" t="s">
        <v>54</v>
      </c>
      <c r="F186" s="461">
        <v>31</v>
      </c>
      <c r="G186" s="498">
        <v>71.400000000000006</v>
      </c>
      <c r="H186" s="462">
        <f t="shared" si="24"/>
        <v>2213.4</v>
      </c>
      <c r="I186" s="462">
        <f t="shared" si="25"/>
        <v>8568</v>
      </c>
      <c r="J186" s="463">
        <v>4</v>
      </c>
      <c r="K186" s="534">
        <v>50</v>
      </c>
      <c r="L186" s="462">
        <f t="shared" si="26"/>
        <v>1760</v>
      </c>
      <c r="M186" s="462">
        <v>1510</v>
      </c>
      <c r="N186" s="462">
        <v>250</v>
      </c>
      <c r="O186" s="462">
        <f t="shared" si="27"/>
        <v>4023.4</v>
      </c>
      <c r="P186" s="488">
        <f t="shared" si="28"/>
        <v>1234</v>
      </c>
      <c r="Q186" s="489">
        <f t="shared" si="29"/>
        <v>1217.0958904109589</v>
      </c>
      <c r="R186" s="489">
        <f t="shared" si="30"/>
        <v>65.753424657534239</v>
      </c>
      <c r="S186" s="490">
        <f t="shared" si="31"/>
        <v>15808</v>
      </c>
      <c r="T186" s="490">
        <f t="shared" si="32"/>
        <v>18324.849315068492</v>
      </c>
      <c r="U186" s="491">
        <f t="shared" si="33"/>
        <v>182.26</v>
      </c>
      <c r="V186" s="498">
        <f t="shared" si="37"/>
        <v>415.07400000000001</v>
      </c>
      <c r="W186" s="498">
        <v>10</v>
      </c>
      <c r="X186" s="498"/>
      <c r="Y186" s="498"/>
      <c r="Z186" s="462">
        <f t="shared" si="34"/>
        <v>607.33400000000006</v>
      </c>
      <c r="AA186" s="462">
        <f t="shared" si="35"/>
        <v>3416.0659999999998</v>
      </c>
      <c r="AB186" s="489">
        <v>1000</v>
      </c>
    </row>
    <row r="187" spans="1:28" s="507" customFormat="1" ht="12">
      <c r="A187" s="456">
        <v>184</v>
      </c>
      <c r="B187" s="466" t="s">
        <v>1869</v>
      </c>
      <c r="C187" s="497">
        <v>9901442841</v>
      </c>
      <c r="D187" s="459" t="s">
        <v>1870</v>
      </c>
      <c r="E187" s="460" t="s">
        <v>32</v>
      </c>
      <c r="F187" s="461">
        <v>31</v>
      </c>
      <c r="G187" s="498">
        <v>71.400000000000006</v>
      </c>
      <c r="H187" s="462">
        <f t="shared" si="24"/>
        <v>2213.4</v>
      </c>
      <c r="I187" s="462">
        <f t="shared" si="25"/>
        <v>8568</v>
      </c>
      <c r="J187" s="463">
        <v>4</v>
      </c>
      <c r="K187" s="534">
        <v>50</v>
      </c>
      <c r="L187" s="462">
        <f t="shared" si="26"/>
        <v>1760</v>
      </c>
      <c r="M187" s="462">
        <v>1510</v>
      </c>
      <c r="N187" s="462">
        <v>250</v>
      </c>
      <c r="O187" s="462">
        <f t="shared" si="27"/>
        <v>4023.4</v>
      </c>
      <c r="P187" s="488">
        <f t="shared" si="28"/>
        <v>1234</v>
      </c>
      <c r="Q187" s="489">
        <f t="shared" si="29"/>
        <v>1217.0958904109589</v>
      </c>
      <c r="R187" s="489">
        <f t="shared" si="30"/>
        <v>65.753424657534239</v>
      </c>
      <c r="S187" s="490">
        <f t="shared" si="31"/>
        <v>15808</v>
      </c>
      <c r="T187" s="490">
        <f t="shared" si="32"/>
        <v>18324.849315068492</v>
      </c>
      <c r="U187" s="491">
        <f t="shared" si="33"/>
        <v>182.26</v>
      </c>
      <c r="V187" s="498"/>
      <c r="W187" s="498"/>
      <c r="X187" s="498"/>
      <c r="Y187" s="498"/>
      <c r="Z187" s="462">
        <f t="shared" si="34"/>
        <v>182.26</v>
      </c>
      <c r="AA187" s="462">
        <f t="shared" si="35"/>
        <v>3841.1400000000003</v>
      </c>
      <c r="AB187" s="489">
        <v>1000</v>
      </c>
    </row>
    <row r="188" spans="1:28" s="507" customFormat="1" ht="12" customHeight="1">
      <c r="A188" s="456">
        <v>185</v>
      </c>
      <c r="B188" s="466" t="s">
        <v>1871</v>
      </c>
      <c r="C188" s="497">
        <v>9901442835</v>
      </c>
      <c r="D188" s="459" t="s">
        <v>1872</v>
      </c>
      <c r="E188" s="460" t="s">
        <v>32</v>
      </c>
      <c r="F188" s="461">
        <v>31</v>
      </c>
      <c r="G188" s="498">
        <v>71.400000000000006</v>
      </c>
      <c r="H188" s="462">
        <f t="shared" si="24"/>
        <v>2213.4</v>
      </c>
      <c r="I188" s="462">
        <f t="shared" si="25"/>
        <v>8568</v>
      </c>
      <c r="J188" s="463">
        <v>4</v>
      </c>
      <c r="K188" s="534">
        <v>50</v>
      </c>
      <c r="L188" s="462">
        <f t="shared" si="26"/>
        <v>1760</v>
      </c>
      <c r="M188" s="462">
        <v>1510</v>
      </c>
      <c r="N188" s="462">
        <v>250</v>
      </c>
      <c r="O188" s="462">
        <f t="shared" si="27"/>
        <v>4023.4</v>
      </c>
      <c r="P188" s="488">
        <f t="shared" si="28"/>
        <v>1234</v>
      </c>
      <c r="Q188" s="489">
        <f t="shared" si="29"/>
        <v>1217.0958904109589</v>
      </c>
      <c r="R188" s="489">
        <f t="shared" si="30"/>
        <v>65.753424657534239</v>
      </c>
      <c r="S188" s="490">
        <f t="shared" si="31"/>
        <v>15808</v>
      </c>
      <c r="T188" s="490">
        <f t="shared" si="32"/>
        <v>18324.849315068492</v>
      </c>
      <c r="U188" s="491">
        <f t="shared" si="33"/>
        <v>182.26</v>
      </c>
      <c r="V188" s="498"/>
      <c r="W188" s="498">
        <v>10</v>
      </c>
      <c r="X188" s="498"/>
      <c r="Y188" s="498">
        <v>1730.72</v>
      </c>
      <c r="Z188" s="462">
        <f t="shared" si="34"/>
        <v>1922.98</v>
      </c>
      <c r="AA188" s="462">
        <f t="shared" si="35"/>
        <v>2100.42</v>
      </c>
      <c r="AB188" s="489">
        <v>1000</v>
      </c>
    </row>
    <row r="189" spans="1:28" s="507" customFormat="1" ht="12" customHeight="1">
      <c r="A189" s="456">
        <v>186</v>
      </c>
      <c r="B189" s="457" t="s">
        <v>1873</v>
      </c>
      <c r="C189" s="497">
        <v>9901443103</v>
      </c>
      <c r="D189" s="459" t="s">
        <v>1874</v>
      </c>
      <c r="E189" s="460" t="s">
        <v>32</v>
      </c>
      <c r="F189" s="461">
        <v>31</v>
      </c>
      <c r="G189" s="498">
        <v>71.400000000000006</v>
      </c>
      <c r="H189" s="462">
        <f t="shared" si="24"/>
        <v>2213.4</v>
      </c>
      <c r="I189" s="462">
        <f t="shared" si="25"/>
        <v>8568</v>
      </c>
      <c r="J189" s="463">
        <v>4</v>
      </c>
      <c r="K189" s="534">
        <v>50</v>
      </c>
      <c r="L189" s="462">
        <f t="shared" si="26"/>
        <v>1760</v>
      </c>
      <c r="M189" s="462">
        <v>1510</v>
      </c>
      <c r="N189" s="462">
        <v>250</v>
      </c>
      <c r="O189" s="462">
        <f t="shared" si="27"/>
        <v>4023.4</v>
      </c>
      <c r="P189" s="488">
        <f t="shared" si="28"/>
        <v>1234</v>
      </c>
      <c r="Q189" s="489">
        <f t="shared" si="29"/>
        <v>1217.0958904109589</v>
      </c>
      <c r="R189" s="489">
        <f t="shared" si="30"/>
        <v>65.753424657534239</v>
      </c>
      <c r="S189" s="490">
        <f t="shared" si="31"/>
        <v>15808</v>
      </c>
      <c r="T189" s="490">
        <f t="shared" si="32"/>
        <v>18324.849315068492</v>
      </c>
      <c r="U189" s="491">
        <f t="shared" si="33"/>
        <v>182.26</v>
      </c>
      <c r="V189" s="498"/>
      <c r="W189" s="498">
        <v>10</v>
      </c>
      <c r="X189" s="498"/>
      <c r="Y189" s="498">
        <v>1579.73</v>
      </c>
      <c r="Z189" s="462">
        <f t="shared" si="34"/>
        <v>1771.99</v>
      </c>
      <c r="AA189" s="462">
        <f t="shared" si="35"/>
        <v>2251.41</v>
      </c>
      <c r="AB189" s="489">
        <v>1000</v>
      </c>
    </row>
    <row r="190" spans="1:28" s="507" customFormat="1" ht="12" customHeight="1">
      <c r="A190" s="456">
        <v>187</v>
      </c>
      <c r="B190" s="457" t="s">
        <v>1875</v>
      </c>
      <c r="C190" s="497">
        <v>9901442611</v>
      </c>
      <c r="D190" s="459" t="s">
        <v>1876</v>
      </c>
      <c r="E190" s="460" t="s">
        <v>72</v>
      </c>
      <c r="F190" s="461">
        <v>31</v>
      </c>
      <c r="G190" s="498">
        <v>71.400000000000006</v>
      </c>
      <c r="H190" s="462">
        <f t="shared" si="24"/>
        <v>2213.4</v>
      </c>
      <c r="I190" s="462">
        <f t="shared" si="25"/>
        <v>8568</v>
      </c>
      <c r="J190" s="463">
        <v>4</v>
      </c>
      <c r="K190" s="534">
        <v>50</v>
      </c>
      <c r="L190" s="462">
        <f t="shared" si="26"/>
        <v>1760</v>
      </c>
      <c r="M190" s="462">
        <v>1510</v>
      </c>
      <c r="N190" s="462">
        <v>250</v>
      </c>
      <c r="O190" s="462">
        <f t="shared" si="27"/>
        <v>4023.4</v>
      </c>
      <c r="P190" s="488">
        <f t="shared" si="28"/>
        <v>1234</v>
      </c>
      <c r="Q190" s="489">
        <f t="shared" si="29"/>
        <v>1217.0958904109589</v>
      </c>
      <c r="R190" s="489">
        <f t="shared" si="30"/>
        <v>65.753424657534239</v>
      </c>
      <c r="S190" s="490">
        <f t="shared" si="31"/>
        <v>15808</v>
      </c>
      <c r="T190" s="490">
        <f t="shared" si="32"/>
        <v>18324.849315068492</v>
      </c>
      <c r="U190" s="491">
        <f t="shared" si="33"/>
        <v>182.26</v>
      </c>
      <c r="V190" s="498"/>
      <c r="W190" s="498">
        <v>10</v>
      </c>
      <c r="X190" s="498"/>
      <c r="Y190" s="498"/>
      <c r="Z190" s="462">
        <f t="shared" si="34"/>
        <v>192.26</v>
      </c>
      <c r="AA190" s="462">
        <f t="shared" si="35"/>
        <v>3831.1400000000003</v>
      </c>
      <c r="AB190" s="489">
        <v>1000</v>
      </c>
    </row>
    <row r="191" spans="1:28" s="507" customFormat="1" ht="12" customHeight="1">
      <c r="A191" s="456">
        <v>188</v>
      </c>
      <c r="B191" s="466" t="s">
        <v>1877</v>
      </c>
      <c r="C191" s="497">
        <v>9901442608</v>
      </c>
      <c r="D191" s="459" t="s">
        <v>1878</v>
      </c>
      <c r="E191" s="460" t="s">
        <v>72</v>
      </c>
      <c r="F191" s="461">
        <v>31</v>
      </c>
      <c r="G191" s="498">
        <v>71.400000000000006</v>
      </c>
      <c r="H191" s="462">
        <f t="shared" si="24"/>
        <v>2213.4</v>
      </c>
      <c r="I191" s="462">
        <f t="shared" si="25"/>
        <v>8568</v>
      </c>
      <c r="J191" s="463">
        <v>4</v>
      </c>
      <c r="K191" s="534">
        <v>50</v>
      </c>
      <c r="L191" s="462">
        <f t="shared" si="26"/>
        <v>1760</v>
      </c>
      <c r="M191" s="462">
        <v>1510</v>
      </c>
      <c r="N191" s="462">
        <v>250</v>
      </c>
      <c r="O191" s="462">
        <f t="shared" si="27"/>
        <v>4023.4</v>
      </c>
      <c r="P191" s="488">
        <f t="shared" si="28"/>
        <v>1234</v>
      </c>
      <c r="Q191" s="489">
        <f t="shared" si="29"/>
        <v>1217.0958904109589</v>
      </c>
      <c r="R191" s="489">
        <f t="shared" si="30"/>
        <v>65.753424657534239</v>
      </c>
      <c r="S191" s="490">
        <f t="shared" si="31"/>
        <v>15808</v>
      </c>
      <c r="T191" s="490">
        <f t="shared" si="32"/>
        <v>18324.849315068492</v>
      </c>
      <c r="U191" s="491">
        <f t="shared" si="33"/>
        <v>182.26</v>
      </c>
      <c r="V191" s="498"/>
      <c r="W191" s="498">
        <v>10</v>
      </c>
      <c r="X191" s="498"/>
      <c r="Y191" s="498">
        <v>985.98</v>
      </c>
      <c r="Z191" s="462">
        <f t="shared" si="34"/>
        <v>1178.24</v>
      </c>
      <c r="AA191" s="462">
        <f t="shared" si="35"/>
        <v>2845.16</v>
      </c>
      <c r="AB191" s="489">
        <v>1000</v>
      </c>
    </row>
    <row r="192" spans="1:28" s="507" customFormat="1" ht="12" customHeight="1">
      <c r="A192" s="456">
        <v>189</v>
      </c>
      <c r="B192" s="457" t="s">
        <v>1879</v>
      </c>
      <c r="C192" s="497">
        <v>9901443274</v>
      </c>
      <c r="D192" s="459" t="s">
        <v>1880</v>
      </c>
      <c r="E192" s="460" t="s">
        <v>32</v>
      </c>
      <c r="F192" s="461">
        <v>31</v>
      </c>
      <c r="G192" s="498">
        <v>71.400000000000006</v>
      </c>
      <c r="H192" s="462">
        <f t="shared" si="24"/>
        <v>2213.4</v>
      </c>
      <c r="I192" s="462">
        <f t="shared" si="25"/>
        <v>8568</v>
      </c>
      <c r="J192" s="463">
        <v>4</v>
      </c>
      <c r="K192" s="534">
        <v>50</v>
      </c>
      <c r="L192" s="462">
        <f t="shared" si="26"/>
        <v>1760</v>
      </c>
      <c r="M192" s="462">
        <v>1510</v>
      </c>
      <c r="N192" s="462">
        <v>250</v>
      </c>
      <c r="O192" s="462">
        <f t="shared" si="27"/>
        <v>4023.4</v>
      </c>
      <c r="P192" s="488">
        <f t="shared" si="28"/>
        <v>1234</v>
      </c>
      <c r="Q192" s="489">
        <f t="shared" si="29"/>
        <v>1217.0958904109589</v>
      </c>
      <c r="R192" s="489">
        <f t="shared" si="30"/>
        <v>65.753424657534239</v>
      </c>
      <c r="S192" s="490">
        <f t="shared" si="31"/>
        <v>15808</v>
      </c>
      <c r="T192" s="490">
        <f t="shared" si="32"/>
        <v>18324.849315068492</v>
      </c>
      <c r="U192" s="491">
        <f t="shared" si="33"/>
        <v>182.26</v>
      </c>
      <c r="V192" s="498">
        <f>(O192-N192)*11%</f>
        <v>415.07400000000001</v>
      </c>
      <c r="W192" s="498">
        <v>10</v>
      </c>
      <c r="X192" s="498"/>
      <c r="Y192" s="498"/>
      <c r="Z192" s="462">
        <f t="shared" si="34"/>
        <v>607.33400000000006</v>
      </c>
      <c r="AA192" s="462">
        <f t="shared" si="35"/>
        <v>3416.0659999999998</v>
      </c>
      <c r="AB192" s="489">
        <v>1000</v>
      </c>
    </row>
    <row r="193" spans="1:32" s="507" customFormat="1" ht="12" customHeight="1">
      <c r="A193" s="456">
        <v>190</v>
      </c>
      <c r="B193" s="466" t="s">
        <v>1881</v>
      </c>
      <c r="C193" s="497">
        <v>9901442824</v>
      </c>
      <c r="D193" s="459" t="s">
        <v>1882</v>
      </c>
      <c r="E193" s="460" t="s">
        <v>32</v>
      </c>
      <c r="F193" s="461">
        <v>31</v>
      </c>
      <c r="G193" s="498">
        <v>71.400000000000006</v>
      </c>
      <c r="H193" s="462">
        <f t="shared" si="24"/>
        <v>2213.4</v>
      </c>
      <c r="I193" s="462">
        <f t="shared" si="25"/>
        <v>8568</v>
      </c>
      <c r="J193" s="463">
        <v>4</v>
      </c>
      <c r="K193" s="534">
        <v>50</v>
      </c>
      <c r="L193" s="462">
        <f t="shared" si="26"/>
        <v>1760</v>
      </c>
      <c r="M193" s="462">
        <v>1510</v>
      </c>
      <c r="N193" s="462">
        <v>250</v>
      </c>
      <c r="O193" s="462">
        <f t="shared" si="27"/>
        <v>4023.4</v>
      </c>
      <c r="P193" s="488">
        <f t="shared" si="28"/>
        <v>1234</v>
      </c>
      <c r="Q193" s="489">
        <f t="shared" si="29"/>
        <v>1217.0958904109589</v>
      </c>
      <c r="R193" s="489">
        <f t="shared" si="30"/>
        <v>65.753424657534239</v>
      </c>
      <c r="S193" s="490">
        <f t="shared" si="31"/>
        <v>15808</v>
      </c>
      <c r="T193" s="490">
        <f t="shared" si="32"/>
        <v>18324.849315068492</v>
      </c>
      <c r="U193" s="491">
        <f t="shared" si="33"/>
        <v>182.26</v>
      </c>
      <c r="V193" s="498">
        <f>(O193-N193)*11%</f>
        <v>415.07400000000001</v>
      </c>
      <c r="W193" s="498">
        <v>10</v>
      </c>
      <c r="X193" s="512">
        <v>913</v>
      </c>
      <c r="Y193" s="498"/>
      <c r="Z193" s="462">
        <f t="shared" si="34"/>
        <v>1520.3340000000001</v>
      </c>
      <c r="AA193" s="462">
        <f t="shared" si="35"/>
        <v>2503.0659999999998</v>
      </c>
      <c r="AB193" s="489">
        <v>1000</v>
      </c>
    </row>
    <row r="194" spans="1:32" s="507" customFormat="1" ht="12" customHeight="1">
      <c r="A194" s="456">
        <v>191</v>
      </c>
      <c r="B194" s="466" t="s">
        <v>1883</v>
      </c>
      <c r="C194" s="497">
        <v>9901443066</v>
      </c>
      <c r="D194" s="459" t="s">
        <v>1884</v>
      </c>
      <c r="E194" s="460" t="s">
        <v>32</v>
      </c>
      <c r="F194" s="461">
        <v>31</v>
      </c>
      <c r="G194" s="498">
        <v>71.400000000000006</v>
      </c>
      <c r="H194" s="462">
        <f t="shared" si="24"/>
        <v>2213.4</v>
      </c>
      <c r="I194" s="462">
        <f t="shared" si="25"/>
        <v>8568</v>
      </c>
      <c r="J194" s="463">
        <v>4</v>
      </c>
      <c r="K194" s="534">
        <v>50</v>
      </c>
      <c r="L194" s="462">
        <f t="shared" si="26"/>
        <v>1760</v>
      </c>
      <c r="M194" s="462">
        <v>1510</v>
      </c>
      <c r="N194" s="462">
        <v>250</v>
      </c>
      <c r="O194" s="462">
        <f t="shared" si="27"/>
        <v>4023.4</v>
      </c>
      <c r="P194" s="488">
        <f t="shared" si="28"/>
        <v>1234</v>
      </c>
      <c r="Q194" s="489">
        <f t="shared" si="29"/>
        <v>1217.0958904109589</v>
      </c>
      <c r="R194" s="489">
        <f t="shared" si="30"/>
        <v>65.753424657534239</v>
      </c>
      <c r="S194" s="490">
        <f t="shared" si="31"/>
        <v>15808</v>
      </c>
      <c r="T194" s="490">
        <f t="shared" si="32"/>
        <v>18324.849315068492</v>
      </c>
      <c r="U194" s="491">
        <f t="shared" si="33"/>
        <v>182.26</v>
      </c>
      <c r="V194" s="498">
        <f>(O194-N194)*11%</f>
        <v>415.07400000000001</v>
      </c>
      <c r="W194" s="498">
        <v>10</v>
      </c>
      <c r="X194" s="512"/>
      <c r="Y194" s="498"/>
      <c r="Z194" s="462"/>
      <c r="AA194" s="462"/>
      <c r="AB194" s="489">
        <v>1000</v>
      </c>
    </row>
    <row r="195" spans="1:32" s="507" customFormat="1" ht="12" customHeight="1">
      <c r="A195" s="456">
        <v>192</v>
      </c>
      <c r="B195" s="466" t="s">
        <v>1885</v>
      </c>
      <c r="C195" s="601">
        <v>9901532783</v>
      </c>
      <c r="D195" s="522" t="s">
        <v>1886</v>
      </c>
      <c r="E195" s="602" t="s">
        <v>54</v>
      </c>
      <c r="F195" s="461">
        <v>31</v>
      </c>
      <c r="G195" s="498">
        <v>71.400000000000006</v>
      </c>
      <c r="H195" s="462">
        <f t="shared" si="24"/>
        <v>2213.4</v>
      </c>
      <c r="I195" s="462">
        <f t="shared" si="25"/>
        <v>8568</v>
      </c>
      <c r="J195" s="463">
        <v>4</v>
      </c>
      <c r="L195" s="462">
        <f t="shared" si="26"/>
        <v>1760</v>
      </c>
      <c r="M195" s="462">
        <v>1510</v>
      </c>
      <c r="N195" s="462">
        <v>250</v>
      </c>
      <c r="O195" s="462">
        <f t="shared" si="27"/>
        <v>3973.4</v>
      </c>
      <c r="P195" s="488">
        <f t="shared" si="28"/>
        <v>1217.3333333333333</v>
      </c>
      <c r="Q195" s="489">
        <f t="shared" si="29"/>
        <v>1200.6575342465753</v>
      </c>
      <c r="R195" s="489">
        <f t="shared" si="30"/>
        <v>65.753424657534239</v>
      </c>
      <c r="S195" s="490">
        <f t="shared" si="31"/>
        <v>15608</v>
      </c>
      <c r="T195" s="490">
        <f t="shared" si="32"/>
        <v>18091.744292237443</v>
      </c>
      <c r="U195" s="491">
        <f t="shared" si="33"/>
        <v>179.84</v>
      </c>
      <c r="V195" s="575">
        <f t="shared" ref="V195" si="38">(O195-N195)*11%</f>
        <v>409.57400000000001</v>
      </c>
      <c r="W195" s="498">
        <v>10</v>
      </c>
      <c r="X195" s="560"/>
      <c r="Y195" s="560"/>
      <c r="Z195" s="462">
        <f>V193+W193+X195+Y195+U193</f>
        <v>607.33400000000006</v>
      </c>
      <c r="AA195" s="462">
        <f>+O193-Z195</f>
        <v>3416.0659999999998</v>
      </c>
      <c r="AB195" s="489">
        <v>1000</v>
      </c>
    </row>
    <row r="196" spans="1:32" s="507" customFormat="1" ht="12" customHeight="1">
      <c r="A196" s="456">
        <v>193</v>
      </c>
      <c r="B196" s="466" t="s">
        <v>872</v>
      </c>
      <c r="C196" s="10">
        <v>9901546127</v>
      </c>
      <c r="D196" s="507" t="s">
        <v>1887</v>
      </c>
      <c r="E196" s="507" t="s">
        <v>48</v>
      </c>
      <c r="F196" s="461">
        <v>31</v>
      </c>
      <c r="G196" s="498">
        <v>71.400000000000006</v>
      </c>
      <c r="H196" s="462">
        <f t="shared" ref="H196:H203" si="39">+F196*G196</f>
        <v>2213.4</v>
      </c>
      <c r="I196" s="462">
        <f t="shared" ref="I196:I203" si="40">G196*120</f>
        <v>8568</v>
      </c>
      <c r="J196" s="463">
        <v>4</v>
      </c>
      <c r="K196" s="464">
        <v>0</v>
      </c>
      <c r="L196" s="462">
        <f t="shared" ref="L196:L203" si="41">M196+N196</f>
        <v>1760</v>
      </c>
      <c r="M196" s="462">
        <v>1510</v>
      </c>
      <c r="N196" s="462">
        <v>250</v>
      </c>
      <c r="O196" s="462">
        <f t="shared" ref="O196:O203" si="42">+H196+M196+N196+K196</f>
        <v>3973.4</v>
      </c>
      <c r="P196" s="488">
        <f t="shared" ref="P196:P203" si="43">(((G196*120)+(K196+M196)*4)/12)</f>
        <v>1217.3333333333333</v>
      </c>
      <c r="Q196" s="489">
        <f t="shared" ref="Q196:Q203" si="44">(((G196*30)+M196+K196)/365*120)</f>
        <v>1200.6575342465753</v>
      </c>
      <c r="R196" s="489">
        <f t="shared" ref="R196:R203" si="45">+(200/365)*120</f>
        <v>65.753424657534239</v>
      </c>
      <c r="S196" s="490">
        <f t="shared" ref="S196:S203" si="46">(((G196*120)+((K196+M196+N196)*4)))</f>
        <v>15608</v>
      </c>
      <c r="T196" s="490">
        <f t="shared" ref="T196:T203" si="47">+S196+R196+Q196+P196</f>
        <v>18091.744292237443</v>
      </c>
      <c r="U196" s="491">
        <f t="shared" ref="U196:U203" si="48">ROUND((((H196+K196+M196)*4.83)/100),2)</f>
        <v>179.84</v>
      </c>
      <c r="V196" s="456"/>
      <c r="Z196" s="462">
        <f>V193+W193+X196+Y196+U193</f>
        <v>607.33400000000006</v>
      </c>
      <c r="AA196" s="462">
        <f>+O193-Z196</f>
        <v>3416.0659999999998</v>
      </c>
      <c r="AB196" s="489">
        <v>1000</v>
      </c>
    </row>
    <row r="197" spans="1:32" s="507" customFormat="1" ht="12" customHeight="1">
      <c r="A197" s="456">
        <v>194</v>
      </c>
      <c r="B197" s="565" t="s">
        <v>1888</v>
      </c>
      <c r="C197" s="10">
        <v>9901548860</v>
      </c>
      <c r="D197" s="507" t="s">
        <v>1889</v>
      </c>
      <c r="E197" s="507" t="s">
        <v>48</v>
      </c>
      <c r="F197" s="461">
        <v>31</v>
      </c>
      <c r="G197" s="498">
        <v>71.400000000000006</v>
      </c>
      <c r="H197" s="462">
        <f t="shared" si="39"/>
        <v>2213.4</v>
      </c>
      <c r="I197" s="462">
        <f t="shared" si="40"/>
        <v>8568</v>
      </c>
      <c r="J197" s="463">
        <v>4</v>
      </c>
      <c r="K197" s="534"/>
      <c r="L197" s="462">
        <f t="shared" si="41"/>
        <v>1760</v>
      </c>
      <c r="M197" s="462">
        <v>1510</v>
      </c>
      <c r="N197" s="462">
        <v>250</v>
      </c>
      <c r="O197" s="462">
        <f t="shared" si="42"/>
        <v>3973.4</v>
      </c>
      <c r="P197" s="488">
        <f t="shared" si="43"/>
        <v>1217.3333333333333</v>
      </c>
      <c r="Q197" s="489">
        <f t="shared" si="44"/>
        <v>1200.6575342465753</v>
      </c>
      <c r="R197" s="489">
        <f t="shared" si="45"/>
        <v>65.753424657534239</v>
      </c>
      <c r="S197" s="490">
        <f t="shared" si="46"/>
        <v>15608</v>
      </c>
      <c r="T197" s="490">
        <f t="shared" si="47"/>
        <v>18091.744292237443</v>
      </c>
      <c r="U197" s="491">
        <f t="shared" si="48"/>
        <v>179.84</v>
      </c>
      <c r="V197" s="456"/>
      <c r="Z197" s="462">
        <f>V188+W188+X197+Y197+U188</f>
        <v>192.26</v>
      </c>
      <c r="AA197" s="462">
        <f>+O188-Z197</f>
        <v>3831.1400000000003</v>
      </c>
      <c r="AB197" s="489">
        <v>1000</v>
      </c>
    </row>
    <row r="198" spans="1:32" s="507" customFormat="1" ht="12" customHeight="1">
      <c r="A198" s="456">
        <v>195</v>
      </c>
      <c r="B198" s="593" t="s">
        <v>1890</v>
      </c>
      <c r="C198" s="10">
        <v>9901552690</v>
      </c>
      <c r="D198" s="507" t="s">
        <v>1891</v>
      </c>
      <c r="E198" s="507" t="s">
        <v>54</v>
      </c>
      <c r="F198" s="461">
        <v>31</v>
      </c>
      <c r="G198" s="498">
        <v>71.400000000000006</v>
      </c>
      <c r="H198" s="462">
        <f t="shared" si="39"/>
        <v>2213.4</v>
      </c>
      <c r="I198" s="462">
        <f t="shared" si="40"/>
        <v>8568</v>
      </c>
      <c r="J198" s="463">
        <v>4</v>
      </c>
      <c r="K198" s="464">
        <v>0</v>
      </c>
      <c r="L198" s="462">
        <f t="shared" si="41"/>
        <v>1760</v>
      </c>
      <c r="M198" s="462">
        <v>1510</v>
      </c>
      <c r="N198" s="462">
        <v>250</v>
      </c>
      <c r="O198" s="462">
        <f t="shared" si="42"/>
        <v>3973.4</v>
      </c>
      <c r="P198" s="488">
        <f t="shared" si="43"/>
        <v>1217.3333333333333</v>
      </c>
      <c r="Q198" s="489">
        <f t="shared" si="44"/>
        <v>1200.6575342465753</v>
      </c>
      <c r="R198" s="489">
        <f t="shared" si="45"/>
        <v>65.753424657534239</v>
      </c>
      <c r="S198" s="490">
        <f t="shared" si="46"/>
        <v>15608</v>
      </c>
      <c r="T198" s="490">
        <f t="shared" si="47"/>
        <v>18091.744292237443</v>
      </c>
      <c r="U198" s="491">
        <f t="shared" si="48"/>
        <v>179.84</v>
      </c>
      <c r="V198" s="456"/>
      <c r="Z198" s="462">
        <f>V195+W195+X198+Y198+U195</f>
        <v>599.41399999999999</v>
      </c>
      <c r="AA198" s="462">
        <f>+O195-Z198</f>
        <v>3373.9859999999999</v>
      </c>
      <c r="AB198" s="489">
        <v>1000</v>
      </c>
    </row>
    <row r="199" spans="1:32" s="507" customFormat="1" ht="12" customHeight="1">
      <c r="A199" s="456">
        <v>196</v>
      </c>
      <c r="B199" s="593" t="s">
        <v>1892</v>
      </c>
      <c r="C199" s="10">
        <v>9901552691</v>
      </c>
      <c r="D199" s="507" t="s">
        <v>1893</v>
      </c>
      <c r="E199" s="507" t="s">
        <v>54</v>
      </c>
      <c r="F199" s="461">
        <v>31</v>
      </c>
      <c r="G199" s="498">
        <v>71.400000000000006</v>
      </c>
      <c r="H199" s="462">
        <f t="shared" si="39"/>
        <v>2213.4</v>
      </c>
      <c r="I199" s="462">
        <f t="shared" si="40"/>
        <v>8568</v>
      </c>
      <c r="J199" s="463">
        <v>4</v>
      </c>
      <c r="K199" s="464">
        <v>0</v>
      </c>
      <c r="L199" s="462">
        <f t="shared" si="41"/>
        <v>1760</v>
      </c>
      <c r="M199" s="462">
        <v>1510</v>
      </c>
      <c r="N199" s="462">
        <v>250</v>
      </c>
      <c r="O199" s="462">
        <f t="shared" si="42"/>
        <v>3973.4</v>
      </c>
      <c r="P199" s="488">
        <f t="shared" si="43"/>
        <v>1217.3333333333333</v>
      </c>
      <c r="Q199" s="489">
        <f t="shared" si="44"/>
        <v>1200.6575342465753</v>
      </c>
      <c r="R199" s="489">
        <f t="shared" si="45"/>
        <v>65.753424657534239</v>
      </c>
      <c r="S199" s="490">
        <f t="shared" si="46"/>
        <v>15608</v>
      </c>
      <c r="T199" s="490">
        <f t="shared" si="47"/>
        <v>18091.744292237443</v>
      </c>
      <c r="U199" s="491">
        <f t="shared" si="48"/>
        <v>179.84</v>
      </c>
      <c r="V199" s="456"/>
      <c r="W199" s="603">
        <v>10</v>
      </c>
      <c r="Z199" s="462">
        <f t="shared" ref="Z199:Z203" si="49">V196+W196+X199+Y199+U196</f>
        <v>179.84</v>
      </c>
      <c r="AA199" s="462">
        <f t="shared" ref="AA199:AA203" si="50">+O196-Z199</f>
        <v>3793.56</v>
      </c>
      <c r="AB199" s="489">
        <v>1000</v>
      </c>
    </row>
    <row r="200" spans="1:32" s="507" customFormat="1" ht="12" customHeight="1">
      <c r="A200" s="456">
        <v>197</v>
      </c>
      <c r="B200" s="593" t="s">
        <v>1894</v>
      </c>
      <c r="C200">
        <v>9901557374</v>
      </c>
      <c r="D200" s="507" t="s">
        <v>1895</v>
      </c>
      <c r="E200" s="507" t="s">
        <v>48</v>
      </c>
      <c r="F200" s="461">
        <v>31</v>
      </c>
      <c r="G200" s="498">
        <v>71.400000000000006</v>
      </c>
      <c r="H200" s="462">
        <f t="shared" si="39"/>
        <v>2213.4</v>
      </c>
      <c r="I200" s="462">
        <f t="shared" si="40"/>
        <v>8568</v>
      </c>
      <c r="J200" s="463">
        <v>4</v>
      </c>
      <c r="K200" s="464">
        <v>0</v>
      </c>
      <c r="L200" s="462">
        <f t="shared" si="41"/>
        <v>1760</v>
      </c>
      <c r="M200" s="462">
        <v>1510</v>
      </c>
      <c r="N200" s="462">
        <v>250</v>
      </c>
      <c r="O200" s="462">
        <f t="shared" si="42"/>
        <v>3973.4</v>
      </c>
      <c r="P200" s="488">
        <f t="shared" si="43"/>
        <v>1217.3333333333333</v>
      </c>
      <c r="Q200" s="489">
        <f t="shared" si="44"/>
        <v>1200.6575342465753</v>
      </c>
      <c r="R200" s="489">
        <f t="shared" si="45"/>
        <v>65.753424657534239</v>
      </c>
      <c r="S200" s="490">
        <f t="shared" si="46"/>
        <v>15608</v>
      </c>
      <c r="T200" s="490">
        <f t="shared" si="47"/>
        <v>18091.744292237443</v>
      </c>
      <c r="U200" s="491">
        <f t="shared" si="48"/>
        <v>179.84</v>
      </c>
      <c r="V200" s="456"/>
      <c r="Z200" s="462">
        <f t="shared" si="49"/>
        <v>179.84</v>
      </c>
      <c r="AA200" s="462">
        <f t="shared" si="50"/>
        <v>3793.56</v>
      </c>
      <c r="AB200" s="489">
        <v>1000</v>
      </c>
    </row>
    <row r="201" spans="1:32" s="507" customFormat="1" ht="12" customHeight="1">
      <c r="A201" s="456">
        <v>198</v>
      </c>
      <c r="B201" s="593"/>
      <c r="C201" s="537">
        <v>9901563301</v>
      </c>
      <c r="D201" s="507" t="s">
        <v>1896</v>
      </c>
      <c r="E201" s="507" t="s">
        <v>83</v>
      </c>
      <c r="F201" s="604">
        <v>31</v>
      </c>
      <c r="G201" s="498">
        <v>71.400000000000006</v>
      </c>
      <c r="H201" s="462">
        <f t="shared" si="39"/>
        <v>2213.4</v>
      </c>
      <c r="I201" s="462">
        <f t="shared" si="40"/>
        <v>8568</v>
      </c>
      <c r="J201" s="463">
        <v>4</v>
      </c>
      <c r="K201" s="464"/>
      <c r="L201" s="462">
        <f t="shared" si="41"/>
        <v>1760</v>
      </c>
      <c r="M201" s="462">
        <v>1510</v>
      </c>
      <c r="N201" s="462">
        <v>250</v>
      </c>
      <c r="O201" s="462">
        <f t="shared" si="42"/>
        <v>3973.4</v>
      </c>
      <c r="P201" s="488">
        <f t="shared" si="43"/>
        <v>1217.3333333333333</v>
      </c>
      <c r="Q201" s="489">
        <f t="shared" si="44"/>
        <v>1200.6575342465753</v>
      </c>
      <c r="R201" s="489">
        <f t="shared" si="45"/>
        <v>65.753424657534239</v>
      </c>
      <c r="S201" s="490">
        <f t="shared" si="46"/>
        <v>15608</v>
      </c>
      <c r="T201" s="490">
        <f t="shared" si="47"/>
        <v>18091.744292237443</v>
      </c>
      <c r="U201" s="491">
        <f t="shared" si="48"/>
        <v>179.84</v>
      </c>
      <c r="V201" s="456"/>
      <c r="W201" s="603"/>
      <c r="Z201" s="462">
        <f t="shared" si="49"/>
        <v>179.84</v>
      </c>
      <c r="AA201" s="462">
        <f t="shared" si="50"/>
        <v>3793.56</v>
      </c>
      <c r="AB201" s="489">
        <v>1000</v>
      </c>
    </row>
    <row r="202" spans="1:32" s="507" customFormat="1" ht="12" customHeight="1">
      <c r="A202" s="456">
        <v>199</v>
      </c>
      <c r="B202" s="593"/>
      <c r="C202" s="537">
        <v>9901576087</v>
      </c>
      <c r="D202" s="507" t="s">
        <v>1897</v>
      </c>
      <c r="E202" s="460" t="s">
        <v>31</v>
      </c>
      <c r="F202" s="604">
        <v>31</v>
      </c>
      <c r="G202" s="498">
        <v>72.540000000000006</v>
      </c>
      <c r="H202" s="462">
        <f t="shared" si="39"/>
        <v>2248.7400000000002</v>
      </c>
      <c r="I202" s="462">
        <f t="shared" si="40"/>
        <v>8704.8000000000011</v>
      </c>
      <c r="J202" s="463">
        <v>4</v>
      </c>
      <c r="K202" s="464"/>
      <c r="L202" s="462">
        <f t="shared" si="41"/>
        <v>1760</v>
      </c>
      <c r="M202" s="462">
        <v>1510</v>
      </c>
      <c r="N202" s="462">
        <v>250</v>
      </c>
      <c r="O202" s="462">
        <f t="shared" si="42"/>
        <v>4008.7400000000002</v>
      </c>
      <c r="P202" s="488">
        <f t="shared" si="43"/>
        <v>1228.7333333333333</v>
      </c>
      <c r="Q202" s="489">
        <f t="shared" si="44"/>
        <v>1211.9013698630138</v>
      </c>
      <c r="R202" s="489">
        <f t="shared" si="45"/>
        <v>65.753424657534239</v>
      </c>
      <c r="S202" s="490">
        <f t="shared" si="46"/>
        <v>15744.800000000001</v>
      </c>
      <c r="T202" s="490">
        <f t="shared" si="47"/>
        <v>18251.188127853882</v>
      </c>
      <c r="U202" s="491">
        <f t="shared" si="48"/>
        <v>181.55</v>
      </c>
      <c r="V202" s="456"/>
      <c r="W202" s="603"/>
      <c r="Z202" s="462">
        <f t="shared" si="49"/>
        <v>189.84</v>
      </c>
      <c r="AA202" s="462">
        <f t="shared" si="50"/>
        <v>3783.56</v>
      </c>
      <c r="AB202" s="489">
        <v>1000</v>
      </c>
    </row>
    <row r="203" spans="1:32" s="507" customFormat="1" ht="12" customHeight="1">
      <c r="A203" s="456">
        <v>200</v>
      </c>
      <c r="B203" s="593"/>
      <c r="C203" s="537">
        <v>9901576096</v>
      </c>
      <c r="D203" s="507" t="s">
        <v>1898</v>
      </c>
      <c r="E203" s="460" t="s">
        <v>35</v>
      </c>
      <c r="F203" s="604">
        <v>31</v>
      </c>
      <c r="G203" s="560">
        <v>71.400000000000006</v>
      </c>
      <c r="H203" s="462">
        <f t="shared" si="39"/>
        <v>2213.4</v>
      </c>
      <c r="I203" s="462">
        <f t="shared" si="40"/>
        <v>8568</v>
      </c>
      <c r="J203" s="463">
        <v>4</v>
      </c>
      <c r="K203" s="464"/>
      <c r="L203" s="462">
        <f t="shared" si="41"/>
        <v>1760</v>
      </c>
      <c r="M203" s="462">
        <v>1510</v>
      </c>
      <c r="N203" s="462">
        <v>250</v>
      </c>
      <c r="O203" s="462">
        <f t="shared" si="42"/>
        <v>3973.4</v>
      </c>
      <c r="P203" s="488">
        <f t="shared" si="43"/>
        <v>1217.3333333333333</v>
      </c>
      <c r="Q203" s="489">
        <f t="shared" si="44"/>
        <v>1200.6575342465753</v>
      </c>
      <c r="R203" s="489">
        <f t="shared" si="45"/>
        <v>65.753424657534239</v>
      </c>
      <c r="S203" s="490">
        <f t="shared" si="46"/>
        <v>15608</v>
      </c>
      <c r="T203" s="490">
        <f t="shared" si="47"/>
        <v>18091.744292237443</v>
      </c>
      <c r="U203" s="491">
        <f t="shared" si="48"/>
        <v>179.84</v>
      </c>
      <c r="V203" s="456"/>
      <c r="W203" s="603"/>
      <c r="Z203" s="462">
        <f t="shared" si="49"/>
        <v>179.84</v>
      </c>
      <c r="AA203" s="462">
        <f t="shared" si="50"/>
        <v>3793.56</v>
      </c>
      <c r="AB203" s="489">
        <v>1000</v>
      </c>
    </row>
    <row r="204" spans="1:32" s="507" customFormat="1" ht="15" customHeight="1">
      <c r="A204" s="456"/>
      <c r="B204" s="456"/>
      <c r="C204" s="476"/>
      <c r="D204" s="456"/>
      <c r="E204" s="456"/>
      <c r="F204" s="502"/>
      <c r="G204" s="548">
        <f t="shared" ref="G204:AB204" si="51">SUM(G4:G203)</f>
        <v>14345.339999999967</v>
      </c>
      <c r="H204" s="548">
        <f t="shared" si="51"/>
        <v>444705.54000000097</v>
      </c>
      <c r="I204" s="548">
        <f t="shared" si="51"/>
        <v>1721440.8000000007</v>
      </c>
      <c r="J204" s="548">
        <f t="shared" si="51"/>
        <v>800</v>
      </c>
      <c r="K204" s="548">
        <f t="shared" si="51"/>
        <v>9220</v>
      </c>
      <c r="L204" s="548">
        <f t="shared" si="51"/>
        <v>352000</v>
      </c>
      <c r="M204" s="548">
        <f t="shared" si="51"/>
        <v>302000</v>
      </c>
      <c r="N204" s="548">
        <f t="shared" si="51"/>
        <v>50000</v>
      </c>
      <c r="O204" s="549">
        <f t="shared" si="51"/>
        <v>805925.54000000237</v>
      </c>
      <c r="P204" s="548">
        <f t="shared" si="51"/>
        <v>247193.40000000017</v>
      </c>
      <c r="Q204" s="548">
        <f t="shared" si="51"/>
        <v>243807.18904109634</v>
      </c>
      <c r="R204" s="548">
        <f t="shared" si="51"/>
        <v>13150.684931506841</v>
      </c>
      <c r="S204" s="548">
        <f t="shared" si="51"/>
        <v>3166320.7999999984</v>
      </c>
      <c r="T204" s="548">
        <f t="shared" si="51"/>
        <v>3670472.0739726094</v>
      </c>
      <c r="U204" s="548">
        <f t="shared" si="51"/>
        <v>36511.52999999989</v>
      </c>
      <c r="V204" s="548" t="e">
        <f t="shared" si="51"/>
        <v>#REF!</v>
      </c>
      <c r="W204" s="548">
        <f t="shared" si="51"/>
        <v>1360</v>
      </c>
      <c r="X204" s="548">
        <f t="shared" si="51"/>
        <v>4060.04</v>
      </c>
      <c r="Y204" s="548">
        <f t="shared" si="51"/>
        <v>140143.45999999993</v>
      </c>
      <c r="Z204" s="548" t="e">
        <f t="shared" si="51"/>
        <v>#REF!</v>
      </c>
      <c r="AA204" s="548" t="e">
        <f t="shared" si="51"/>
        <v>#REF!</v>
      </c>
      <c r="AB204" s="548">
        <f t="shared" si="51"/>
        <v>200000</v>
      </c>
      <c r="AC204" s="547"/>
      <c r="AF204" s="507">
        <v>12</v>
      </c>
    </row>
  </sheetData>
  <mergeCells count="1">
    <mergeCell ref="A1:N1"/>
  </mergeCells>
  <conditionalFormatting sqref="D184">
    <cfRule type="duplicateValues" dxfId="32" priority="5" stopIfTrue="1"/>
  </conditionalFormatting>
  <conditionalFormatting sqref="D183">
    <cfRule type="duplicateValues" dxfId="31" priority="6" stopIfTrue="1"/>
  </conditionalFormatting>
  <conditionalFormatting sqref="D3">
    <cfRule type="duplicateValues" dxfId="30" priority="7"/>
  </conditionalFormatting>
  <conditionalFormatting sqref="D3">
    <cfRule type="duplicateValues" dxfId="29" priority="8" stopIfTrue="1"/>
  </conditionalFormatting>
  <conditionalFormatting sqref="D3">
    <cfRule type="duplicateValues" dxfId="28" priority="9"/>
  </conditionalFormatting>
  <conditionalFormatting sqref="A1:A2">
    <cfRule type="duplicateValues" dxfId="27" priority="10"/>
  </conditionalFormatting>
  <conditionalFormatting sqref="D188:D193">
    <cfRule type="duplicateValues" dxfId="26" priority="11" stopIfTrue="1"/>
  </conditionalFormatting>
  <conditionalFormatting sqref="D188:D193">
    <cfRule type="duplicateValues" dxfId="25" priority="12"/>
  </conditionalFormatting>
  <conditionalFormatting sqref="D194 D185:D187">
    <cfRule type="duplicateValues" dxfId="24" priority="13" stopIfTrue="1"/>
  </conditionalFormatting>
  <conditionalFormatting sqref="D194 D185:D187">
    <cfRule type="duplicateValues" dxfId="23" priority="14"/>
  </conditionalFormatting>
  <conditionalFormatting sqref="B1:B2">
    <cfRule type="duplicateValues" dxfId="22" priority="4"/>
  </conditionalFormatting>
  <conditionalFormatting sqref="D66:D182 D4:D64">
    <cfRule type="duplicateValues" dxfId="21" priority="15" stopIfTrue="1"/>
  </conditionalFormatting>
  <conditionalFormatting sqref="D65">
    <cfRule type="duplicateValues" dxfId="20" priority="1" stopIfTrue="1"/>
  </conditionalFormatting>
  <conditionalFormatting sqref="D65">
    <cfRule type="duplicateValues" dxfId="19" priority="2"/>
  </conditionalFormatting>
  <conditionalFormatting sqref="D65">
    <cfRule type="duplicateValues" dxfId="18" priority="3"/>
  </conditionalFormatting>
  <conditionalFormatting sqref="D66:D184 D4:D64">
    <cfRule type="duplicateValues" dxfId="17" priority="16"/>
  </conditionalFormatting>
  <conditionalFormatting sqref="D194 D66:D187 D4:D64">
    <cfRule type="duplicateValues" dxfId="16" priority="17"/>
  </conditionalFormatting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11"/>
  <sheetViews>
    <sheetView topLeftCell="P1" workbookViewId="0">
      <selection activeCell="AH6" sqref="AH6:AH23"/>
    </sheetView>
  </sheetViews>
  <sheetFormatPr baseColWidth="10" defaultRowHeight="15"/>
  <cols>
    <col min="31" max="31" width="30.7109375" customWidth="1"/>
    <col min="32" max="32" width="27.140625" bestFit="1" customWidth="1"/>
    <col min="33" max="33" width="19" customWidth="1"/>
    <col min="34" max="34" width="17.85546875" customWidth="1"/>
  </cols>
  <sheetData>
    <row r="1" spans="1:34" s="486" customFormat="1" ht="45.75" customHeight="1">
      <c r="A1" s="739" t="s">
        <v>1899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505"/>
      <c r="P1" s="505"/>
      <c r="Q1" s="505"/>
      <c r="R1" s="505"/>
      <c r="S1" s="506"/>
      <c r="T1" s="506"/>
      <c r="U1" s="505"/>
      <c r="V1" s="505"/>
      <c r="W1" s="505"/>
      <c r="X1" s="505"/>
      <c r="Y1" s="505"/>
      <c r="Z1" s="505"/>
      <c r="AA1" s="505"/>
    </row>
    <row r="2" spans="1:34" s="486" customFormat="1" ht="12.75" thickBot="1">
      <c r="C2" s="494"/>
      <c r="F2" s="509"/>
      <c r="S2" s="508"/>
      <c r="T2" s="508"/>
    </row>
    <row r="3" spans="1:34" s="486" customFormat="1" ht="33.75" customHeight="1">
      <c r="A3" s="740" t="s">
        <v>1900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495"/>
      <c r="P3" s="495"/>
      <c r="Q3" s="495"/>
      <c r="R3" s="495"/>
      <c r="S3" s="496"/>
      <c r="T3" s="496"/>
      <c r="U3" s="495"/>
      <c r="V3" s="495"/>
      <c r="W3" s="495"/>
      <c r="X3" s="495"/>
      <c r="Y3" s="495"/>
      <c r="Z3" s="495"/>
      <c r="AA3" s="495"/>
    </row>
    <row r="4" spans="1:34" s="486" customFormat="1" ht="24.75" customHeight="1">
      <c r="A4" s="543" t="s">
        <v>149</v>
      </c>
      <c r="B4" s="449" t="s">
        <v>150</v>
      </c>
      <c r="C4" s="450" t="s">
        <v>151</v>
      </c>
      <c r="D4" s="544" t="s">
        <v>152</v>
      </c>
      <c r="E4" s="544" t="s">
        <v>153</v>
      </c>
      <c r="F4" s="545" t="s">
        <v>2412</v>
      </c>
      <c r="G4" s="546" t="s">
        <v>155</v>
      </c>
      <c r="H4" s="454" t="s">
        <v>156</v>
      </c>
      <c r="I4" s="454" t="s">
        <v>157</v>
      </c>
      <c r="J4" s="454" t="s">
        <v>158</v>
      </c>
      <c r="K4" s="485" t="s">
        <v>159</v>
      </c>
      <c r="L4" s="485" t="s">
        <v>1177</v>
      </c>
      <c r="M4" s="485" t="s">
        <v>160</v>
      </c>
      <c r="N4" s="485" t="s">
        <v>161</v>
      </c>
      <c r="O4" s="485" t="s">
        <v>162</v>
      </c>
      <c r="P4" s="485" t="s">
        <v>232</v>
      </c>
      <c r="Q4" s="485" t="s">
        <v>233</v>
      </c>
      <c r="R4" s="455" t="s">
        <v>234</v>
      </c>
      <c r="S4" s="531" t="s">
        <v>235</v>
      </c>
      <c r="T4" s="531" t="s">
        <v>236</v>
      </c>
      <c r="U4" s="485" t="s">
        <v>237</v>
      </c>
      <c r="V4" s="485" t="s">
        <v>238</v>
      </c>
      <c r="W4" s="485" t="s">
        <v>239</v>
      </c>
      <c r="X4" s="485" t="s">
        <v>267</v>
      </c>
      <c r="Y4" s="485" t="s">
        <v>1176</v>
      </c>
      <c r="Z4" s="485" t="s">
        <v>240</v>
      </c>
      <c r="AA4" s="485" t="s">
        <v>241</v>
      </c>
      <c r="AB4" s="455" t="s">
        <v>242</v>
      </c>
    </row>
    <row r="5" spans="1:34" s="507" customFormat="1">
      <c r="A5" s="456">
        <v>1</v>
      </c>
      <c r="B5" s="466" t="s">
        <v>1901</v>
      </c>
      <c r="C5" s="497">
        <v>9901442293</v>
      </c>
      <c r="D5" s="459" t="s">
        <v>1902</v>
      </c>
      <c r="E5" s="460" t="s">
        <v>44</v>
      </c>
      <c r="F5" s="461">
        <v>31</v>
      </c>
      <c r="G5" s="498">
        <v>72.540000000000006</v>
      </c>
      <c r="H5" s="462">
        <f t="shared" ref="H5:H68" si="0">+F5*G5</f>
        <v>2248.7400000000002</v>
      </c>
      <c r="I5" s="462">
        <f t="shared" ref="I5:I68" si="1">G5*120</f>
        <v>8704.8000000000011</v>
      </c>
      <c r="J5" s="463">
        <v>4</v>
      </c>
      <c r="K5" s="534">
        <v>75</v>
      </c>
      <c r="L5" s="462">
        <f t="shared" ref="L5:L68" si="2">M5+N5</f>
        <v>1760</v>
      </c>
      <c r="M5" s="462">
        <v>1510</v>
      </c>
      <c r="N5" s="462">
        <v>250</v>
      </c>
      <c r="O5" s="462">
        <f t="shared" ref="O5:O68" si="3">+H5+M5+N5+K5</f>
        <v>4083.7400000000002</v>
      </c>
      <c r="P5" s="488">
        <f t="shared" ref="P5:P68" si="4">(((G5*120)+(K5+M5)*4)/12)</f>
        <v>1253.7333333333333</v>
      </c>
      <c r="Q5" s="489">
        <f t="shared" ref="Q5:Q68" si="5">(((G5*30)+M5+K5)/365*120)</f>
        <v>1236.5589041095891</v>
      </c>
      <c r="R5" s="489">
        <f t="shared" ref="R5:R68" si="6">+(200/365)*120</f>
        <v>65.753424657534239</v>
      </c>
      <c r="S5" s="490">
        <f t="shared" ref="S5:S68" si="7">(((G5*120)+((K5+M5+N5)*4)))</f>
        <v>16044.800000000001</v>
      </c>
      <c r="T5" s="490">
        <f t="shared" ref="T5:T68" si="8">+S5+R5+Q5+P5</f>
        <v>18600.845662100459</v>
      </c>
      <c r="U5" s="491">
        <f t="shared" ref="U5:U68" si="9">ROUND((((H5+K5+M5)*4.83)/100),2)</f>
        <v>185.17</v>
      </c>
      <c r="V5" s="498"/>
      <c r="W5" s="498">
        <v>10</v>
      </c>
      <c r="X5" s="498"/>
      <c r="Y5" s="498"/>
      <c r="Z5" s="462">
        <f t="shared" ref="Z5:Z68" si="10">V5+W5+X5+Y5+U5</f>
        <v>195.17</v>
      </c>
      <c r="AA5" s="462">
        <f t="shared" ref="AA5:AA68" si="11">+O5-Z5</f>
        <v>3888.57</v>
      </c>
      <c r="AB5" s="489">
        <v>1000</v>
      </c>
      <c r="AE5" s="479" t="s">
        <v>226</v>
      </c>
      <c r="AF5" t="s">
        <v>228</v>
      </c>
      <c r="AG5" t="s">
        <v>229</v>
      </c>
      <c r="AH5" t="s">
        <v>231</v>
      </c>
    </row>
    <row r="6" spans="1:34" s="507" customFormat="1">
      <c r="A6" s="456">
        <v>2</v>
      </c>
      <c r="B6" s="457" t="s">
        <v>1903</v>
      </c>
      <c r="C6" s="497">
        <v>9901443342</v>
      </c>
      <c r="D6" s="459" t="s">
        <v>1904</v>
      </c>
      <c r="E6" s="460" t="s">
        <v>39</v>
      </c>
      <c r="F6" s="461">
        <v>31</v>
      </c>
      <c r="G6" s="498">
        <v>78.25</v>
      </c>
      <c r="H6" s="462">
        <f t="shared" si="0"/>
        <v>2425.75</v>
      </c>
      <c r="I6" s="462">
        <f t="shared" si="1"/>
        <v>9390</v>
      </c>
      <c r="J6" s="463">
        <v>4</v>
      </c>
      <c r="K6" s="534">
        <v>75</v>
      </c>
      <c r="L6" s="462">
        <f t="shared" si="2"/>
        <v>1760</v>
      </c>
      <c r="M6" s="462">
        <v>1510</v>
      </c>
      <c r="N6" s="462">
        <v>250</v>
      </c>
      <c r="O6" s="462">
        <f t="shared" si="3"/>
        <v>4260.75</v>
      </c>
      <c r="P6" s="488">
        <f t="shared" si="4"/>
        <v>1310.8333333333333</v>
      </c>
      <c r="Q6" s="489">
        <f t="shared" si="5"/>
        <v>1292.8767123287671</v>
      </c>
      <c r="R6" s="489">
        <f t="shared" si="6"/>
        <v>65.753424657534239</v>
      </c>
      <c r="S6" s="490">
        <f t="shared" si="7"/>
        <v>16730</v>
      </c>
      <c r="T6" s="490">
        <f t="shared" si="8"/>
        <v>19399.463470319632</v>
      </c>
      <c r="U6" s="491">
        <f t="shared" si="9"/>
        <v>193.72</v>
      </c>
      <c r="V6" s="498"/>
      <c r="W6" s="498">
        <v>10</v>
      </c>
      <c r="X6" s="498"/>
      <c r="Y6" s="498"/>
      <c r="Z6" s="462">
        <f t="shared" si="10"/>
        <v>203.72</v>
      </c>
      <c r="AA6" s="462">
        <f t="shared" si="11"/>
        <v>4057.03</v>
      </c>
      <c r="AB6" s="489">
        <v>1000</v>
      </c>
      <c r="AE6" s="480" t="s">
        <v>44</v>
      </c>
      <c r="AF6" s="481">
        <v>32</v>
      </c>
      <c r="AG6" s="481">
        <v>72.540000000000006</v>
      </c>
      <c r="AH6" s="481">
        <v>1800</v>
      </c>
    </row>
    <row r="7" spans="1:34" s="507" customFormat="1">
      <c r="A7" s="456">
        <v>3</v>
      </c>
      <c r="B7" s="457" t="s">
        <v>1905</v>
      </c>
      <c r="C7" s="497">
        <v>9901443691</v>
      </c>
      <c r="D7" s="459" t="s">
        <v>1906</v>
      </c>
      <c r="E7" s="460" t="s">
        <v>72</v>
      </c>
      <c r="F7" s="461">
        <v>31</v>
      </c>
      <c r="G7" s="498">
        <v>71.400000000000006</v>
      </c>
      <c r="H7" s="462">
        <f t="shared" si="0"/>
        <v>2213.4</v>
      </c>
      <c r="I7" s="462">
        <f t="shared" si="1"/>
        <v>8568</v>
      </c>
      <c r="J7" s="463">
        <v>4</v>
      </c>
      <c r="K7" s="534">
        <v>75</v>
      </c>
      <c r="L7" s="462">
        <f t="shared" si="2"/>
        <v>1760</v>
      </c>
      <c r="M7" s="462">
        <v>1510</v>
      </c>
      <c r="N7" s="462">
        <v>250</v>
      </c>
      <c r="O7" s="462">
        <f t="shared" si="3"/>
        <v>4048.4</v>
      </c>
      <c r="P7" s="488">
        <f t="shared" si="4"/>
        <v>1242.3333333333333</v>
      </c>
      <c r="Q7" s="489">
        <f t="shared" si="5"/>
        <v>1225.3150684931506</v>
      </c>
      <c r="R7" s="489">
        <f t="shared" si="6"/>
        <v>65.753424657534239</v>
      </c>
      <c r="S7" s="490">
        <f t="shared" si="7"/>
        <v>15908</v>
      </c>
      <c r="T7" s="490">
        <f t="shared" si="8"/>
        <v>18441.401826484016</v>
      </c>
      <c r="U7" s="491">
        <f t="shared" si="9"/>
        <v>183.46</v>
      </c>
      <c r="V7" s="498"/>
      <c r="W7" s="498">
        <v>10</v>
      </c>
      <c r="X7" s="498"/>
      <c r="Y7" s="498"/>
      <c r="Z7" s="462">
        <f t="shared" si="10"/>
        <v>193.46</v>
      </c>
      <c r="AA7" s="462">
        <f t="shared" si="11"/>
        <v>3854.94</v>
      </c>
      <c r="AB7" s="489">
        <v>1000</v>
      </c>
      <c r="AE7" s="480" t="s">
        <v>138</v>
      </c>
      <c r="AF7" s="481">
        <v>3</v>
      </c>
      <c r="AG7" s="481">
        <v>72.540000000000006</v>
      </c>
      <c r="AH7" s="481">
        <v>200</v>
      </c>
    </row>
    <row r="8" spans="1:34" s="507" customFormat="1">
      <c r="A8" s="456">
        <v>4</v>
      </c>
      <c r="B8" s="466" t="s">
        <v>1907</v>
      </c>
      <c r="C8" s="497">
        <v>9901442559</v>
      </c>
      <c r="D8" s="459" t="s">
        <v>1908</v>
      </c>
      <c r="E8" s="460" t="s">
        <v>138</v>
      </c>
      <c r="F8" s="461">
        <v>31</v>
      </c>
      <c r="G8" s="498">
        <v>72.540000000000006</v>
      </c>
      <c r="H8" s="462">
        <f t="shared" si="0"/>
        <v>2248.7400000000002</v>
      </c>
      <c r="I8" s="462">
        <f t="shared" si="1"/>
        <v>8704.8000000000011</v>
      </c>
      <c r="J8" s="463">
        <v>4</v>
      </c>
      <c r="K8" s="534">
        <v>75</v>
      </c>
      <c r="L8" s="462">
        <f t="shared" si="2"/>
        <v>1760</v>
      </c>
      <c r="M8" s="462">
        <v>1510</v>
      </c>
      <c r="N8" s="462">
        <v>250</v>
      </c>
      <c r="O8" s="462">
        <f t="shared" si="3"/>
        <v>4083.7400000000002</v>
      </c>
      <c r="P8" s="488">
        <f t="shared" si="4"/>
        <v>1253.7333333333333</v>
      </c>
      <c r="Q8" s="489">
        <f t="shared" si="5"/>
        <v>1236.5589041095891</v>
      </c>
      <c r="R8" s="489">
        <f t="shared" si="6"/>
        <v>65.753424657534239</v>
      </c>
      <c r="S8" s="490">
        <f t="shared" si="7"/>
        <v>16044.800000000001</v>
      </c>
      <c r="T8" s="490">
        <f t="shared" si="8"/>
        <v>18600.845662100459</v>
      </c>
      <c r="U8" s="491">
        <f t="shared" si="9"/>
        <v>185.17</v>
      </c>
      <c r="V8" s="498"/>
      <c r="W8" s="498">
        <v>10</v>
      </c>
      <c r="X8" s="498"/>
      <c r="Y8" s="498"/>
      <c r="Z8" s="462">
        <f t="shared" si="10"/>
        <v>195.17</v>
      </c>
      <c r="AA8" s="462">
        <f t="shared" si="11"/>
        <v>3888.57</v>
      </c>
      <c r="AB8" s="489">
        <v>1000</v>
      </c>
      <c r="AE8" s="480" t="s">
        <v>71</v>
      </c>
      <c r="AF8" s="481">
        <v>2</v>
      </c>
      <c r="AG8" s="481">
        <v>73.59</v>
      </c>
      <c r="AH8" s="481">
        <v>75</v>
      </c>
    </row>
    <row r="9" spans="1:34" s="507" customFormat="1">
      <c r="A9" s="456">
        <v>5</v>
      </c>
      <c r="B9" s="457" t="s">
        <v>1909</v>
      </c>
      <c r="C9" s="497">
        <v>9901443432</v>
      </c>
      <c r="D9" s="459" t="s">
        <v>1910</v>
      </c>
      <c r="E9" s="460" t="s">
        <v>73</v>
      </c>
      <c r="F9" s="461">
        <v>31</v>
      </c>
      <c r="G9" s="498">
        <v>71.400000000000006</v>
      </c>
      <c r="H9" s="462">
        <f t="shared" si="0"/>
        <v>2213.4</v>
      </c>
      <c r="I9" s="462">
        <f t="shared" si="1"/>
        <v>8568</v>
      </c>
      <c r="J9" s="463">
        <v>4</v>
      </c>
      <c r="K9" s="534">
        <v>75</v>
      </c>
      <c r="L9" s="462">
        <f t="shared" si="2"/>
        <v>1760</v>
      </c>
      <c r="M9" s="462">
        <v>1510</v>
      </c>
      <c r="N9" s="462">
        <v>250</v>
      </c>
      <c r="O9" s="462">
        <f t="shared" si="3"/>
        <v>4048.4</v>
      </c>
      <c r="P9" s="488">
        <f t="shared" si="4"/>
        <v>1242.3333333333333</v>
      </c>
      <c r="Q9" s="489">
        <f t="shared" si="5"/>
        <v>1225.3150684931506</v>
      </c>
      <c r="R9" s="489">
        <f t="shared" si="6"/>
        <v>65.753424657534239</v>
      </c>
      <c r="S9" s="490">
        <f t="shared" si="7"/>
        <v>15908</v>
      </c>
      <c r="T9" s="490">
        <f t="shared" si="8"/>
        <v>18441.401826484016</v>
      </c>
      <c r="U9" s="491">
        <f t="shared" si="9"/>
        <v>183.46</v>
      </c>
      <c r="V9" s="498"/>
      <c r="W9" s="498">
        <v>10</v>
      </c>
      <c r="X9" s="498"/>
      <c r="Y9" s="498"/>
      <c r="Z9" s="462">
        <f t="shared" si="10"/>
        <v>193.46</v>
      </c>
      <c r="AA9" s="462">
        <f t="shared" si="11"/>
        <v>3854.94</v>
      </c>
      <c r="AB9" s="489">
        <v>1000</v>
      </c>
      <c r="AE9" s="480" t="s">
        <v>72</v>
      </c>
      <c r="AF9" s="481">
        <v>28</v>
      </c>
      <c r="AG9" s="481">
        <v>71.400000000000006</v>
      </c>
      <c r="AH9" s="481">
        <v>1600</v>
      </c>
    </row>
    <row r="10" spans="1:34" s="507" customFormat="1">
      <c r="A10" s="456">
        <v>6</v>
      </c>
      <c r="B10" s="466" t="s">
        <v>1911</v>
      </c>
      <c r="C10" s="497">
        <v>9901191034</v>
      </c>
      <c r="D10" s="459" t="s">
        <v>1912</v>
      </c>
      <c r="E10" s="460" t="s">
        <v>72</v>
      </c>
      <c r="F10" s="461">
        <v>31</v>
      </c>
      <c r="G10" s="498">
        <v>71.400000000000006</v>
      </c>
      <c r="H10" s="462">
        <f t="shared" si="0"/>
        <v>2213.4</v>
      </c>
      <c r="I10" s="462">
        <f t="shared" si="1"/>
        <v>8568</v>
      </c>
      <c r="J10" s="463">
        <v>4</v>
      </c>
      <c r="K10" s="534"/>
      <c r="L10" s="462">
        <f t="shared" si="2"/>
        <v>1760</v>
      </c>
      <c r="M10" s="462">
        <v>1510</v>
      </c>
      <c r="N10" s="462">
        <v>250</v>
      </c>
      <c r="O10" s="462">
        <f t="shared" si="3"/>
        <v>3973.4</v>
      </c>
      <c r="P10" s="488">
        <f t="shared" si="4"/>
        <v>1217.3333333333333</v>
      </c>
      <c r="Q10" s="489">
        <f t="shared" si="5"/>
        <v>1200.6575342465753</v>
      </c>
      <c r="R10" s="489">
        <f t="shared" si="6"/>
        <v>65.753424657534239</v>
      </c>
      <c r="S10" s="490">
        <f t="shared" si="7"/>
        <v>15608</v>
      </c>
      <c r="T10" s="490">
        <f t="shared" si="8"/>
        <v>18091.744292237443</v>
      </c>
      <c r="U10" s="491">
        <f t="shared" si="9"/>
        <v>179.84</v>
      </c>
      <c r="V10" s="498"/>
      <c r="W10" s="498">
        <v>10</v>
      </c>
      <c r="X10" s="498"/>
      <c r="Y10" s="498">
        <v>1719.26</v>
      </c>
      <c r="Z10" s="462">
        <f t="shared" si="10"/>
        <v>1909.1</v>
      </c>
      <c r="AA10" s="462">
        <f t="shared" si="11"/>
        <v>2064.3000000000002</v>
      </c>
      <c r="AB10" s="489">
        <v>1000</v>
      </c>
      <c r="AE10" s="480" t="s">
        <v>48</v>
      </c>
      <c r="AF10" s="481">
        <v>1</v>
      </c>
      <c r="AG10" s="481">
        <v>71.400000000000006</v>
      </c>
      <c r="AH10" s="481"/>
    </row>
    <row r="11" spans="1:34" s="507" customFormat="1">
      <c r="A11" s="456">
        <v>7</v>
      </c>
      <c r="B11" s="466" t="s">
        <v>1913</v>
      </c>
      <c r="C11" s="497">
        <v>9901443408</v>
      </c>
      <c r="D11" s="459" t="s">
        <v>1914</v>
      </c>
      <c r="E11" s="460" t="s">
        <v>44</v>
      </c>
      <c r="F11" s="461">
        <v>31</v>
      </c>
      <c r="G11" s="498">
        <v>72.540000000000006</v>
      </c>
      <c r="H11" s="462">
        <f t="shared" si="0"/>
        <v>2248.7400000000002</v>
      </c>
      <c r="I11" s="462">
        <f t="shared" si="1"/>
        <v>8704.8000000000011</v>
      </c>
      <c r="J11" s="463">
        <v>4</v>
      </c>
      <c r="K11" s="534">
        <v>75</v>
      </c>
      <c r="L11" s="462">
        <f t="shared" si="2"/>
        <v>1760</v>
      </c>
      <c r="M11" s="462">
        <v>1510</v>
      </c>
      <c r="N11" s="462">
        <v>250</v>
      </c>
      <c r="O11" s="462">
        <f t="shared" si="3"/>
        <v>4083.7400000000002</v>
      </c>
      <c r="P11" s="488">
        <f t="shared" si="4"/>
        <v>1253.7333333333333</v>
      </c>
      <c r="Q11" s="489">
        <f t="shared" si="5"/>
        <v>1236.5589041095891</v>
      </c>
      <c r="R11" s="489">
        <f t="shared" si="6"/>
        <v>65.753424657534239</v>
      </c>
      <c r="S11" s="490">
        <f t="shared" si="7"/>
        <v>16044.800000000001</v>
      </c>
      <c r="T11" s="490">
        <f t="shared" si="8"/>
        <v>18600.845662100459</v>
      </c>
      <c r="U11" s="491">
        <f t="shared" si="9"/>
        <v>185.17</v>
      </c>
      <c r="V11" s="498"/>
      <c r="W11" s="498">
        <v>10</v>
      </c>
      <c r="X11" s="498"/>
      <c r="Y11" s="498"/>
      <c r="Z11" s="462">
        <f t="shared" si="10"/>
        <v>195.17</v>
      </c>
      <c r="AA11" s="462">
        <f t="shared" si="11"/>
        <v>3888.57</v>
      </c>
      <c r="AB11" s="489">
        <v>1000</v>
      </c>
      <c r="AE11" s="480" t="s">
        <v>73</v>
      </c>
      <c r="AF11" s="481">
        <v>1</v>
      </c>
      <c r="AG11" s="481">
        <v>71.400000000000006</v>
      </c>
      <c r="AH11" s="481">
        <v>75</v>
      </c>
    </row>
    <row r="12" spans="1:34" s="507" customFormat="1">
      <c r="A12" s="456">
        <v>8</v>
      </c>
      <c r="B12" s="466" t="s">
        <v>1915</v>
      </c>
      <c r="C12" s="497">
        <v>9901451071</v>
      </c>
      <c r="D12" s="459" t="s">
        <v>1916</v>
      </c>
      <c r="E12" s="460" t="s">
        <v>35</v>
      </c>
      <c r="F12" s="461">
        <v>31</v>
      </c>
      <c r="G12" s="498">
        <v>71.400000000000006</v>
      </c>
      <c r="H12" s="462">
        <f t="shared" si="0"/>
        <v>2213.4</v>
      </c>
      <c r="I12" s="462">
        <f t="shared" si="1"/>
        <v>8568</v>
      </c>
      <c r="J12" s="463">
        <v>4</v>
      </c>
      <c r="K12" s="534"/>
      <c r="L12" s="462">
        <f t="shared" si="2"/>
        <v>1760</v>
      </c>
      <c r="M12" s="462">
        <v>1510</v>
      </c>
      <c r="N12" s="462">
        <v>250</v>
      </c>
      <c r="O12" s="462">
        <f t="shared" si="3"/>
        <v>3973.4</v>
      </c>
      <c r="P12" s="488">
        <f t="shared" si="4"/>
        <v>1217.3333333333333</v>
      </c>
      <c r="Q12" s="489">
        <f t="shared" si="5"/>
        <v>1200.6575342465753</v>
      </c>
      <c r="R12" s="489">
        <f t="shared" si="6"/>
        <v>65.753424657534239</v>
      </c>
      <c r="S12" s="490">
        <f t="shared" si="7"/>
        <v>15608</v>
      </c>
      <c r="T12" s="490">
        <f t="shared" si="8"/>
        <v>18091.744292237443</v>
      </c>
      <c r="U12" s="491">
        <f t="shared" si="9"/>
        <v>179.84</v>
      </c>
      <c r="V12" s="498"/>
      <c r="W12" s="498">
        <v>10</v>
      </c>
      <c r="X12" s="498"/>
      <c r="Y12" s="498"/>
      <c r="Z12" s="462">
        <f t="shared" si="10"/>
        <v>189.84</v>
      </c>
      <c r="AA12" s="462">
        <f t="shared" si="11"/>
        <v>3783.56</v>
      </c>
      <c r="AB12" s="489">
        <v>1000</v>
      </c>
      <c r="AE12" s="480" t="s">
        <v>74</v>
      </c>
      <c r="AF12" s="481">
        <v>1</v>
      </c>
      <c r="AG12" s="481">
        <v>71.400000000000006</v>
      </c>
      <c r="AH12" s="481">
        <v>35</v>
      </c>
    </row>
    <row r="13" spans="1:34" s="507" customFormat="1">
      <c r="A13" s="456">
        <v>9</v>
      </c>
      <c r="B13" s="466" t="s">
        <v>1917</v>
      </c>
      <c r="C13" s="497">
        <v>9901443267</v>
      </c>
      <c r="D13" s="459" t="s">
        <v>1918</v>
      </c>
      <c r="E13" s="460" t="s">
        <v>72</v>
      </c>
      <c r="F13" s="461">
        <v>31</v>
      </c>
      <c r="G13" s="498">
        <v>71.400000000000006</v>
      </c>
      <c r="H13" s="462">
        <f t="shared" si="0"/>
        <v>2213.4</v>
      </c>
      <c r="I13" s="462">
        <f t="shared" si="1"/>
        <v>8568</v>
      </c>
      <c r="J13" s="463">
        <v>4</v>
      </c>
      <c r="K13" s="534">
        <v>75</v>
      </c>
      <c r="L13" s="462">
        <f t="shared" si="2"/>
        <v>1760</v>
      </c>
      <c r="M13" s="462">
        <v>1510</v>
      </c>
      <c r="N13" s="462">
        <v>250</v>
      </c>
      <c r="O13" s="462">
        <f t="shared" si="3"/>
        <v>4048.4</v>
      </c>
      <c r="P13" s="488">
        <f t="shared" si="4"/>
        <v>1242.3333333333333</v>
      </c>
      <c r="Q13" s="489">
        <f t="shared" si="5"/>
        <v>1225.3150684931506</v>
      </c>
      <c r="R13" s="489">
        <f t="shared" si="6"/>
        <v>65.753424657534239</v>
      </c>
      <c r="S13" s="490">
        <f t="shared" si="7"/>
        <v>15908</v>
      </c>
      <c r="T13" s="490">
        <f t="shared" si="8"/>
        <v>18441.401826484016</v>
      </c>
      <c r="U13" s="491">
        <f t="shared" si="9"/>
        <v>183.46</v>
      </c>
      <c r="V13" s="498">
        <f>(O13-N13)*11%</f>
        <v>417.82400000000001</v>
      </c>
      <c r="W13" s="498">
        <v>10</v>
      </c>
      <c r="X13" s="498"/>
      <c r="Y13" s="498"/>
      <c r="Z13" s="462">
        <f t="shared" si="10"/>
        <v>611.28399999999999</v>
      </c>
      <c r="AA13" s="462">
        <f t="shared" si="11"/>
        <v>3437.116</v>
      </c>
      <c r="AB13" s="489">
        <v>1000</v>
      </c>
      <c r="AE13" s="480" t="s">
        <v>35</v>
      </c>
      <c r="AF13" s="481">
        <v>5</v>
      </c>
      <c r="AG13" s="481">
        <v>71.400000000000006</v>
      </c>
      <c r="AH13" s="481">
        <v>170</v>
      </c>
    </row>
    <row r="14" spans="1:34" s="507" customFormat="1">
      <c r="A14" s="456">
        <v>10</v>
      </c>
      <c r="B14" s="466" t="s">
        <v>1919</v>
      </c>
      <c r="C14" s="497">
        <v>9901443472</v>
      </c>
      <c r="D14" s="459" t="s">
        <v>1920</v>
      </c>
      <c r="E14" s="460" t="s">
        <v>72</v>
      </c>
      <c r="F14" s="461">
        <v>31</v>
      </c>
      <c r="G14" s="498">
        <v>71.400000000000006</v>
      </c>
      <c r="H14" s="462">
        <f t="shared" si="0"/>
        <v>2213.4</v>
      </c>
      <c r="I14" s="462">
        <f t="shared" si="1"/>
        <v>8568</v>
      </c>
      <c r="J14" s="463">
        <v>4</v>
      </c>
      <c r="K14" s="534">
        <v>75</v>
      </c>
      <c r="L14" s="462">
        <f t="shared" si="2"/>
        <v>1760</v>
      </c>
      <c r="M14" s="462">
        <v>1510</v>
      </c>
      <c r="N14" s="462">
        <v>250</v>
      </c>
      <c r="O14" s="462">
        <f t="shared" si="3"/>
        <v>4048.4</v>
      </c>
      <c r="P14" s="488">
        <f t="shared" si="4"/>
        <v>1242.3333333333333</v>
      </c>
      <c r="Q14" s="489">
        <f t="shared" si="5"/>
        <v>1225.3150684931506</v>
      </c>
      <c r="R14" s="489">
        <f t="shared" si="6"/>
        <v>65.753424657534239</v>
      </c>
      <c r="S14" s="490">
        <f t="shared" si="7"/>
        <v>15908</v>
      </c>
      <c r="T14" s="490">
        <f t="shared" si="8"/>
        <v>18441.401826484016</v>
      </c>
      <c r="U14" s="491">
        <f t="shared" si="9"/>
        <v>183.46</v>
      </c>
      <c r="V14" s="498"/>
      <c r="W14" s="498">
        <v>10</v>
      </c>
      <c r="X14" s="498"/>
      <c r="Y14" s="498"/>
      <c r="Z14" s="462">
        <f t="shared" si="10"/>
        <v>193.46</v>
      </c>
      <c r="AA14" s="462">
        <f t="shared" si="11"/>
        <v>3854.94</v>
      </c>
      <c r="AB14" s="489">
        <v>1000</v>
      </c>
      <c r="AE14" s="480" t="s">
        <v>52</v>
      </c>
      <c r="AF14" s="481">
        <v>4</v>
      </c>
      <c r="AG14" s="481">
        <v>72.540000000000006</v>
      </c>
      <c r="AH14" s="481">
        <v>185</v>
      </c>
    </row>
    <row r="15" spans="1:34" s="507" customFormat="1">
      <c r="A15" s="456">
        <v>11</v>
      </c>
      <c r="B15" s="466" t="s">
        <v>1921</v>
      </c>
      <c r="C15" s="497">
        <v>9901442343</v>
      </c>
      <c r="D15" s="459" t="s">
        <v>1922</v>
      </c>
      <c r="E15" s="460" t="s">
        <v>72</v>
      </c>
      <c r="F15" s="461">
        <v>31</v>
      </c>
      <c r="G15" s="498">
        <v>71.400000000000006</v>
      </c>
      <c r="H15" s="462">
        <f t="shared" si="0"/>
        <v>2213.4</v>
      </c>
      <c r="I15" s="462">
        <f t="shared" si="1"/>
        <v>8568</v>
      </c>
      <c r="J15" s="463">
        <v>4</v>
      </c>
      <c r="K15" s="534">
        <v>50</v>
      </c>
      <c r="L15" s="462">
        <f t="shared" si="2"/>
        <v>1760</v>
      </c>
      <c r="M15" s="462">
        <v>1510</v>
      </c>
      <c r="N15" s="462">
        <v>250</v>
      </c>
      <c r="O15" s="462">
        <f t="shared" si="3"/>
        <v>4023.4</v>
      </c>
      <c r="P15" s="488">
        <f t="shared" si="4"/>
        <v>1234</v>
      </c>
      <c r="Q15" s="489">
        <f t="shared" si="5"/>
        <v>1217.0958904109589</v>
      </c>
      <c r="R15" s="489">
        <f t="shared" si="6"/>
        <v>65.753424657534239</v>
      </c>
      <c r="S15" s="490">
        <f t="shared" si="7"/>
        <v>15808</v>
      </c>
      <c r="T15" s="490">
        <f t="shared" si="8"/>
        <v>18324.849315068492</v>
      </c>
      <c r="U15" s="491">
        <f t="shared" si="9"/>
        <v>182.26</v>
      </c>
      <c r="V15" s="498">
        <f>(O15-N15)*11%</f>
        <v>415.07400000000001</v>
      </c>
      <c r="W15" s="498">
        <v>10</v>
      </c>
      <c r="X15" s="498"/>
      <c r="Y15" s="498"/>
      <c r="Z15" s="462">
        <f t="shared" si="10"/>
        <v>607.33400000000006</v>
      </c>
      <c r="AA15" s="462">
        <f t="shared" si="11"/>
        <v>3416.0659999999998</v>
      </c>
      <c r="AB15" s="489">
        <v>1000</v>
      </c>
      <c r="AE15" s="480" t="s">
        <v>61</v>
      </c>
      <c r="AF15" s="481">
        <v>1</v>
      </c>
      <c r="AG15" s="481">
        <v>77.59</v>
      </c>
      <c r="AH15" s="481"/>
    </row>
    <row r="16" spans="1:34" s="507" customFormat="1">
      <c r="A16" s="456">
        <v>12</v>
      </c>
      <c r="B16" s="466" t="s">
        <v>1923</v>
      </c>
      <c r="C16" s="497">
        <v>9901443292</v>
      </c>
      <c r="D16" s="605" t="s">
        <v>1924</v>
      </c>
      <c r="E16" s="460" t="s">
        <v>71</v>
      </c>
      <c r="F16" s="461"/>
      <c r="G16" s="498">
        <v>73.59</v>
      </c>
      <c r="H16" s="462">
        <f t="shared" si="0"/>
        <v>0</v>
      </c>
      <c r="I16" s="462"/>
      <c r="J16" s="463">
        <v>4</v>
      </c>
      <c r="K16" s="534"/>
      <c r="L16" s="462"/>
      <c r="M16" s="462"/>
      <c r="N16" s="462"/>
      <c r="O16" s="462"/>
      <c r="P16" s="488">
        <f t="shared" si="4"/>
        <v>735.90000000000009</v>
      </c>
      <c r="Q16" s="489">
        <f t="shared" si="5"/>
        <v>725.81917808219191</v>
      </c>
      <c r="R16" s="489">
        <f t="shared" si="6"/>
        <v>65.753424657534239</v>
      </c>
      <c r="S16" s="490">
        <f t="shared" si="7"/>
        <v>8830.8000000000011</v>
      </c>
      <c r="T16" s="490">
        <f t="shared" si="8"/>
        <v>10358.272602739728</v>
      </c>
      <c r="U16" s="491">
        <f t="shared" si="9"/>
        <v>0</v>
      </c>
      <c r="V16" s="498"/>
      <c r="W16" s="498">
        <v>10</v>
      </c>
      <c r="X16" s="498"/>
      <c r="Y16" s="498"/>
      <c r="Z16" s="462">
        <f t="shared" si="10"/>
        <v>10</v>
      </c>
      <c r="AA16" s="462">
        <f t="shared" si="11"/>
        <v>-10</v>
      </c>
      <c r="AB16" s="489">
        <v>1000</v>
      </c>
      <c r="AE16" s="480" t="s">
        <v>38</v>
      </c>
      <c r="AF16" s="481">
        <v>7</v>
      </c>
      <c r="AG16" s="481">
        <v>71.400000000000006</v>
      </c>
      <c r="AH16" s="481">
        <v>285</v>
      </c>
    </row>
    <row r="17" spans="1:34" s="507" customFormat="1">
      <c r="A17" s="456">
        <v>13</v>
      </c>
      <c r="B17" s="466" t="s">
        <v>1925</v>
      </c>
      <c r="C17" s="497">
        <v>9901442314</v>
      </c>
      <c r="D17" s="459" t="s">
        <v>1926</v>
      </c>
      <c r="E17" s="460" t="s">
        <v>39</v>
      </c>
      <c r="F17" s="461">
        <v>31</v>
      </c>
      <c r="G17" s="498">
        <v>78.25</v>
      </c>
      <c r="H17" s="462">
        <f t="shared" si="0"/>
        <v>2425.75</v>
      </c>
      <c r="I17" s="462">
        <f t="shared" si="1"/>
        <v>9390</v>
      </c>
      <c r="J17" s="463">
        <v>4</v>
      </c>
      <c r="K17" s="534">
        <v>75</v>
      </c>
      <c r="L17" s="462">
        <f t="shared" si="2"/>
        <v>1760</v>
      </c>
      <c r="M17" s="462">
        <v>1510</v>
      </c>
      <c r="N17" s="462">
        <v>250</v>
      </c>
      <c r="O17" s="462">
        <f t="shared" si="3"/>
        <v>4260.75</v>
      </c>
      <c r="P17" s="488">
        <f t="shared" si="4"/>
        <v>1310.8333333333333</v>
      </c>
      <c r="Q17" s="489">
        <f t="shared" si="5"/>
        <v>1292.8767123287671</v>
      </c>
      <c r="R17" s="489">
        <f t="shared" si="6"/>
        <v>65.753424657534239</v>
      </c>
      <c r="S17" s="490">
        <f t="shared" si="7"/>
        <v>16730</v>
      </c>
      <c r="T17" s="490">
        <f t="shared" si="8"/>
        <v>19399.463470319632</v>
      </c>
      <c r="U17" s="491">
        <f t="shared" si="9"/>
        <v>193.72</v>
      </c>
      <c r="V17" s="498"/>
      <c r="W17" s="498">
        <v>10</v>
      </c>
      <c r="X17" s="498"/>
      <c r="Y17" s="498"/>
      <c r="Z17" s="462">
        <f t="shared" si="10"/>
        <v>203.72</v>
      </c>
      <c r="AA17" s="462">
        <f t="shared" si="11"/>
        <v>4057.03</v>
      </c>
      <c r="AB17" s="489">
        <v>1000</v>
      </c>
      <c r="AE17" s="480" t="s">
        <v>62</v>
      </c>
      <c r="AF17" s="481">
        <v>1</v>
      </c>
      <c r="AG17" s="481">
        <v>75.64</v>
      </c>
      <c r="AH17" s="481">
        <v>35</v>
      </c>
    </row>
    <row r="18" spans="1:34" s="507" customFormat="1">
      <c r="A18" s="456">
        <v>14</v>
      </c>
      <c r="B18" s="457" t="s">
        <v>1927</v>
      </c>
      <c r="C18" s="497">
        <v>9901443426</v>
      </c>
      <c r="D18" s="459" t="s">
        <v>1928</v>
      </c>
      <c r="E18" s="460" t="s">
        <v>39</v>
      </c>
      <c r="F18" s="461">
        <v>31</v>
      </c>
      <c r="G18" s="498">
        <v>78.25</v>
      </c>
      <c r="H18" s="462">
        <f t="shared" si="0"/>
        <v>2425.75</v>
      </c>
      <c r="I18" s="462">
        <f t="shared" si="1"/>
        <v>9390</v>
      </c>
      <c r="J18" s="463">
        <v>4</v>
      </c>
      <c r="K18" s="534">
        <v>75</v>
      </c>
      <c r="L18" s="462">
        <f t="shared" si="2"/>
        <v>1760</v>
      </c>
      <c r="M18" s="462">
        <v>1510</v>
      </c>
      <c r="N18" s="462">
        <v>250</v>
      </c>
      <c r="O18" s="462">
        <f t="shared" si="3"/>
        <v>4260.75</v>
      </c>
      <c r="P18" s="488">
        <f t="shared" si="4"/>
        <v>1310.8333333333333</v>
      </c>
      <c r="Q18" s="489">
        <f t="shared" si="5"/>
        <v>1292.8767123287671</v>
      </c>
      <c r="R18" s="489">
        <f t="shared" si="6"/>
        <v>65.753424657534239</v>
      </c>
      <c r="S18" s="490">
        <f t="shared" si="7"/>
        <v>16730</v>
      </c>
      <c r="T18" s="490">
        <f t="shared" si="8"/>
        <v>19399.463470319632</v>
      </c>
      <c r="U18" s="491">
        <f t="shared" si="9"/>
        <v>193.72</v>
      </c>
      <c r="V18" s="498"/>
      <c r="W18" s="498">
        <v>10</v>
      </c>
      <c r="X18" s="498"/>
      <c r="Y18" s="498"/>
      <c r="Z18" s="462">
        <f t="shared" si="10"/>
        <v>203.72</v>
      </c>
      <c r="AA18" s="462">
        <f t="shared" si="11"/>
        <v>4057.03</v>
      </c>
      <c r="AB18" s="489">
        <v>1000</v>
      </c>
      <c r="AE18" s="480" t="s">
        <v>39</v>
      </c>
      <c r="AF18" s="481">
        <v>9</v>
      </c>
      <c r="AG18" s="481">
        <v>78.25</v>
      </c>
      <c r="AH18" s="481">
        <v>625</v>
      </c>
    </row>
    <row r="19" spans="1:34" s="507" customFormat="1">
      <c r="A19" s="456">
        <v>15</v>
      </c>
      <c r="B19" s="466" t="s">
        <v>1929</v>
      </c>
      <c r="C19" s="497">
        <v>9901442452</v>
      </c>
      <c r="D19" s="459" t="s">
        <v>1930</v>
      </c>
      <c r="E19" s="460" t="s">
        <v>138</v>
      </c>
      <c r="F19" s="461">
        <v>31</v>
      </c>
      <c r="G19" s="498">
        <v>72.540000000000006</v>
      </c>
      <c r="H19" s="462">
        <f t="shared" si="0"/>
        <v>2248.7400000000002</v>
      </c>
      <c r="I19" s="462">
        <f t="shared" si="1"/>
        <v>8704.8000000000011</v>
      </c>
      <c r="J19" s="463">
        <v>4</v>
      </c>
      <c r="K19" s="534">
        <v>50</v>
      </c>
      <c r="L19" s="462">
        <f t="shared" si="2"/>
        <v>1760</v>
      </c>
      <c r="M19" s="462">
        <v>1510</v>
      </c>
      <c r="N19" s="462">
        <v>250</v>
      </c>
      <c r="O19" s="462">
        <f t="shared" si="3"/>
        <v>4058.7400000000002</v>
      </c>
      <c r="P19" s="488">
        <f t="shared" si="4"/>
        <v>1245.4000000000001</v>
      </c>
      <c r="Q19" s="489">
        <f t="shared" si="5"/>
        <v>1228.3397260273973</v>
      </c>
      <c r="R19" s="489">
        <f t="shared" si="6"/>
        <v>65.753424657534239</v>
      </c>
      <c r="S19" s="490">
        <f t="shared" si="7"/>
        <v>15944.800000000001</v>
      </c>
      <c r="T19" s="490">
        <f t="shared" si="8"/>
        <v>18484.293150684935</v>
      </c>
      <c r="U19" s="491">
        <f t="shared" si="9"/>
        <v>183.96</v>
      </c>
      <c r="V19" s="498"/>
      <c r="W19" s="498">
        <v>10</v>
      </c>
      <c r="X19" s="498"/>
      <c r="Y19" s="498"/>
      <c r="Z19" s="462">
        <f t="shared" si="10"/>
        <v>193.96</v>
      </c>
      <c r="AA19" s="462">
        <f t="shared" si="11"/>
        <v>3864.78</v>
      </c>
      <c r="AB19" s="489">
        <v>1000</v>
      </c>
      <c r="AE19" s="480" t="s">
        <v>31</v>
      </c>
      <c r="AF19" s="481">
        <v>1</v>
      </c>
      <c r="AG19" s="481">
        <v>72.540000000000006</v>
      </c>
      <c r="AH19" s="481"/>
    </row>
    <row r="20" spans="1:34" s="507" customFormat="1">
      <c r="A20" s="456">
        <v>16</v>
      </c>
      <c r="B20" s="466" t="s">
        <v>1931</v>
      </c>
      <c r="C20" s="497">
        <v>9901443410</v>
      </c>
      <c r="D20" s="459" t="s">
        <v>1932</v>
      </c>
      <c r="E20" s="460" t="s">
        <v>44</v>
      </c>
      <c r="F20" s="461">
        <v>31</v>
      </c>
      <c r="G20" s="498">
        <v>72.540000000000006</v>
      </c>
      <c r="H20" s="462">
        <f t="shared" si="0"/>
        <v>2248.7400000000002</v>
      </c>
      <c r="I20" s="462">
        <f t="shared" si="1"/>
        <v>8704.8000000000011</v>
      </c>
      <c r="J20" s="463">
        <v>4</v>
      </c>
      <c r="K20" s="534">
        <v>75</v>
      </c>
      <c r="L20" s="462">
        <f t="shared" si="2"/>
        <v>1760</v>
      </c>
      <c r="M20" s="462">
        <v>1510</v>
      </c>
      <c r="N20" s="462">
        <v>250</v>
      </c>
      <c r="O20" s="462">
        <f t="shared" si="3"/>
        <v>4083.7400000000002</v>
      </c>
      <c r="P20" s="488">
        <f t="shared" si="4"/>
        <v>1253.7333333333333</v>
      </c>
      <c r="Q20" s="489">
        <f t="shared" si="5"/>
        <v>1236.5589041095891</v>
      </c>
      <c r="R20" s="489">
        <f t="shared" si="6"/>
        <v>65.753424657534239</v>
      </c>
      <c r="S20" s="490">
        <f t="shared" si="7"/>
        <v>16044.800000000001</v>
      </c>
      <c r="T20" s="490">
        <f t="shared" si="8"/>
        <v>18600.845662100459</v>
      </c>
      <c r="U20" s="491">
        <f t="shared" si="9"/>
        <v>185.17</v>
      </c>
      <c r="V20" s="498">
        <f>(O20-N20)*11%</f>
        <v>421.71140000000003</v>
      </c>
      <c r="W20" s="498">
        <v>10</v>
      </c>
      <c r="X20" s="498"/>
      <c r="Y20" s="498"/>
      <c r="Z20" s="462">
        <f t="shared" si="10"/>
        <v>616.88139999999999</v>
      </c>
      <c r="AA20" s="462">
        <f t="shared" si="11"/>
        <v>3466.8586000000005</v>
      </c>
      <c r="AB20" s="489">
        <v>1000</v>
      </c>
      <c r="AE20" s="480" t="s">
        <v>32</v>
      </c>
      <c r="AF20" s="481">
        <v>1</v>
      </c>
      <c r="AG20" s="481">
        <v>71.400000000000006</v>
      </c>
      <c r="AH20" s="481">
        <v>0</v>
      </c>
    </row>
    <row r="21" spans="1:34" s="507" customFormat="1">
      <c r="A21" s="456">
        <v>17</v>
      </c>
      <c r="B21" s="599" t="s">
        <v>1933</v>
      </c>
      <c r="C21" s="497">
        <v>9901442277</v>
      </c>
      <c r="D21" s="459" t="s">
        <v>1934</v>
      </c>
      <c r="E21" s="460" t="s">
        <v>44</v>
      </c>
      <c r="F21" s="461">
        <v>31</v>
      </c>
      <c r="G21" s="498">
        <v>72.540000000000006</v>
      </c>
      <c r="H21" s="462">
        <f t="shared" si="0"/>
        <v>2248.7400000000002</v>
      </c>
      <c r="I21" s="462">
        <f t="shared" si="1"/>
        <v>8704.8000000000011</v>
      </c>
      <c r="J21" s="463">
        <v>4</v>
      </c>
      <c r="K21" s="534">
        <v>75</v>
      </c>
      <c r="L21" s="462">
        <f t="shared" si="2"/>
        <v>1760</v>
      </c>
      <c r="M21" s="462">
        <v>1510</v>
      </c>
      <c r="N21" s="462">
        <v>250</v>
      </c>
      <c r="O21" s="462">
        <f t="shared" si="3"/>
        <v>4083.7400000000002</v>
      </c>
      <c r="P21" s="488">
        <f t="shared" si="4"/>
        <v>1253.7333333333333</v>
      </c>
      <c r="Q21" s="489">
        <f t="shared" si="5"/>
        <v>1236.5589041095891</v>
      </c>
      <c r="R21" s="489">
        <f t="shared" si="6"/>
        <v>65.753424657534239</v>
      </c>
      <c r="S21" s="490">
        <f t="shared" si="7"/>
        <v>16044.800000000001</v>
      </c>
      <c r="T21" s="490">
        <f t="shared" si="8"/>
        <v>18600.845662100459</v>
      </c>
      <c r="U21" s="491">
        <f t="shared" si="9"/>
        <v>185.17</v>
      </c>
      <c r="V21" s="498"/>
      <c r="W21" s="498">
        <v>10</v>
      </c>
      <c r="X21" s="498"/>
      <c r="Y21" s="498"/>
      <c r="Z21" s="462">
        <f t="shared" si="10"/>
        <v>195.17</v>
      </c>
      <c r="AA21" s="462">
        <f t="shared" si="11"/>
        <v>3888.57</v>
      </c>
      <c r="AB21" s="489">
        <v>1000</v>
      </c>
      <c r="AE21" s="480" t="s">
        <v>54</v>
      </c>
      <c r="AF21" s="481">
        <v>1</v>
      </c>
      <c r="AG21" s="481">
        <v>71.400000000000006</v>
      </c>
      <c r="AH21" s="481">
        <v>50</v>
      </c>
    </row>
    <row r="22" spans="1:34" s="507" customFormat="1">
      <c r="A22" s="456">
        <v>18</v>
      </c>
      <c r="B22" s="466" t="s">
        <v>1935</v>
      </c>
      <c r="C22" s="497">
        <v>9901442471</v>
      </c>
      <c r="D22" s="459" t="s">
        <v>1936</v>
      </c>
      <c r="E22" s="460" t="s">
        <v>44</v>
      </c>
      <c r="F22" s="461">
        <v>31</v>
      </c>
      <c r="G22" s="498">
        <v>72.540000000000006</v>
      </c>
      <c r="H22" s="462">
        <f t="shared" si="0"/>
        <v>2248.7400000000002</v>
      </c>
      <c r="I22" s="462">
        <f t="shared" si="1"/>
        <v>8704.8000000000011</v>
      </c>
      <c r="J22" s="463">
        <v>4</v>
      </c>
      <c r="K22" s="534">
        <v>75</v>
      </c>
      <c r="L22" s="462">
        <f t="shared" si="2"/>
        <v>1760</v>
      </c>
      <c r="M22" s="462">
        <v>1510</v>
      </c>
      <c r="N22" s="462">
        <v>250</v>
      </c>
      <c r="O22" s="462">
        <f t="shared" si="3"/>
        <v>4083.7400000000002</v>
      </c>
      <c r="P22" s="488">
        <f t="shared" si="4"/>
        <v>1253.7333333333333</v>
      </c>
      <c r="Q22" s="489">
        <f t="shared" si="5"/>
        <v>1236.5589041095891</v>
      </c>
      <c r="R22" s="489">
        <f t="shared" si="6"/>
        <v>65.753424657534239</v>
      </c>
      <c r="S22" s="490">
        <f t="shared" si="7"/>
        <v>16044.800000000001</v>
      </c>
      <c r="T22" s="490">
        <f t="shared" si="8"/>
        <v>18600.845662100459</v>
      </c>
      <c r="U22" s="491">
        <f t="shared" si="9"/>
        <v>185.17</v>
      </c>
      <c r="V22" s="498"/>
      <c r="W22" s="498">
        <v>10</v>
      </c>
      <c r="X22" s="498"/>
      <c r="Y22" s="498"/>
      <c r="Z22" s="462">
        <f t="shared" si="10"/>
        <v>195.17</v>
      </c>
      <c r="AA22" s="462">
        <f t="shared" si="11"/>
        <v>3888.57</v>
      </c>
      <c r="AB22" s="489">
        <v>1000</v>
      </c>
      <c r="AE22" s="480" t="s">
        <v>42</v>
      </c>
      <c r="AF22" s="481">
        <v>1</v>
      </c>
      <c r="AG22" s="481">
        <v>75.64</v>
      </c>
      <c r="AH22" s="481">
        <v>35</v>
      </c>
    </row>
    <row r="23" spans="1:34" s="507" customFormat="1">
      <c r="A23" s="456">
        <v>19</v>
      </c>
      <c r="B23" s="466" t="s">
        <v>1937</v>
      </c>
      <c r="C23" s="497">
        <v>9901443405</v>
      </c>
      <c r="D23" s="459" t="s">
        <v>1938</v>
      </c>
      <c r="E23" s="460" t="s">
        <v>44</v>
      </c>
      <c r="F23" s="461">
        <v>31</v>
      </c>
      <c r="G23" s="498">
        <v>72.540000000000006</v>
      </c>
      <c r="H23" s="462">
        <f t="shared" si="0"/>
        <v>2248.7400000000002</v>
      </c>
      <c r="I23" s="462">
        <f t="shared" si="1"/>
        <v>8704.8000000000011</v>
      </c>
      <c r="J23" s="463">
        <v>4</v>
      </c>
      <c r="K23" s="534">
        <v>75</v>
      </c>
      <c r="L23" s="462">
        <f t="shared" si="2"/>
        <v>1760</v>
      </c>
      <c r="M23" s="462">
        <v>1510</v>
      </c>
      <c r="N23" s="462">
        <v>250</v>
      </c>
      <c r="O23" s="462">
        <f t="shared" si="3"/>
        <v>4083.7400000000002</v>
      </c>
      <c r="P23" s="488">
        <f t="shared" si="4"/>
        <v>1253.7333333333333</v>
      </c>
      <c r="Q23" s="489">
        <f t="shared" si="5"/>
        <v>1236.5589041095891</v>
      </c>
      <c r="R23" s="489">
        <f t="shared" si="6"/>
        <v>65.753424657534239</v>
      </c>
      <c r="S23" s="490">
        <f t="shared" si="7"/>
        <v>16044.800000000001</v>
      </c>
      <c r="T23" s="490">
        <f t="shared" si="8"/>
        <v>18600.845662100459</v>
      </c>
      <c r="U23" s="491">
        <f t="shared" si="9"/>
        <v>185.17</v>
      </c>
      <c r="V23" s="498"/>
      <c r="W23" s="498">
        <v>10</v>
      </c>
      <c r="X23" s="498"/>
      <c r="Y23" s="498"/>
      <c r="Z23" s="462">
        <f t="shared" si="10"/>
        <v>195.17</v>
      </c>
      <c r="AA23" s="462">
        <f t="shared" si="11"/>
        <v>3888.57</v>
      </c>
      <c r="AB23" s="489">
        <v>1000</v>
      </c>
      <c r="AE23" s="480" t="s">
        <v>37</v>
      </c>
      <c r="AF23" s="481">
        <v>7</v>
      </c>
      <c r="AG23" s="481">
        <v>80.86</v>
      </c>
      <c r="AH23" s="481">
        <v>35</v>
      </c>
    </row>
    <row r="24" spans="1:34" s="507" customFormat="1">
      <c r="A24" s="456">
        <v>20</v>
      </c>
      <c r="B24" s="466" t="s">
        <v>1939</v>
      </c>
      <c r="C24" s="497">
        <v>9901443965</v>
      </c>
      <c r="D24" s="459" t="s">
        <v>1940</v>
      </c>
      <c r="E24" s="460" t="s">
        <v>44</v>
      </c>
      <c r="F24" s="461">
        <v>31</v>
      </c>
      <c r="G24" s="498">
        <v>72.540000000000006</v>
      </c>
      <c r="H24" s="462">
        <f t="shared" si="0"/>
        <v>2248.7400000000002</v>
      </c>
      <c r="I24" s="462">
        <f t="shared" si="1"/>
        <v>8704.8000000000011</v>
      </c>
      <c r="J24" s="463">
        <v>4</v>
      </c>
      <c r="K24" s="534">
        <v>75</v>
      </c>
      <c r="L24" s="462">
        <f t="shared" si="2"/>
        <v>1760</v>
      </c>
      <c r="M24" s="462">
        <v>1510</v>
      </c>
      <c r="N24" s="462">
        <v>250</v>
      </c>
      <c r="O24" s="462">
        <f t="shared" si="3"/>
        <v>4083.7400000000002</v>
      </c>
      <c r="P24" s="488">
        <f t="shared" si="4"/>
        <v>1253.7333333333333</v>
      </c>
      <c r="Q24" s="489">
        <f t="shared" si="5"/>
        <v>1236.5589041095891</v>
      </c>
      <c r="R24" s="489">
        <f t="shared" si="6"/>
        <v>65.753424657534239</v>
      </c>
      <c r="S24" s="490">
        <f t="shared" si="7"/>
        <v>16044.800000000001</v>
      </c>
      <c r="T24" s="490">
        <f t="shared" si="8"/>
        <v>18600.845662100459</v>
      </c>
      <c r="U24" s="491">
        <f t="shared" si="9"/>
        <v>185.17</v>
      </c>
      <c r="V24" s="498"/>
      <c r="W24" s="498">
        <v>10</v>
      </c>
      <c r="X24" s="498"/>
      <c r="Y24" s="498"/>
      <c r="Z24" s="462">
        <f t="shared" si="10"/>
        <v>195.17</v>
      </c>
      <c r="AA24" s="462">
        <f t="shared" si="11"/>
        <v>3888.57</v>
      </c>
      <c r="AB24" s="489">
        <v>1000</v>
      </c>
      <c r="AE24" s="480" t="s">
        <v>227</v>
      </c>
      <c r="AF24" s="481">
        <v>106</v>
      </c>
      <c r="AG24" s="481">
        <v>80.86</v>
      </c>
      <c r="AH24" s="481">
        <v>5205</v>
      </c>
    </row>
    <row r="25" spans="1:34" s="507" customFormat="1">
      <c r="A25" s="456">
        <v>21</v>
      </c>
      <c r="B25" s="466" t="s">
        <v>1941</v>
      </c>
      <c r="C25" s="497">
        <v>9901443343</v>
      </c>
      <c r="D25" s="459" t="s">
        <v>1942</v>
      </c>
      <c r="E25" s="460" t="s">
        <v>72</v>
      </c>
      <c r="F25" s="461">
        <v>31</v>
      </c>
      <c r="G25" s="498">
        <v>71.400000000000006</v>
      </c>
      <c r="H25" s="462">
        <f t="shared" si="0"/>
        <v>2213.4</v>
      </c>
      <c r="I25" s="462">
        <f t="shared" si="1"/>
        <v>8568</v>
      </c>
      <c r="J25" s="463">
        <v>4</v>
      </c>
      <c r="K25" s="534">
        <v>75</v>
      </c>
      <c r="L25" s="462">
        <f t="shared" si="2"/>
        <v>1760</v>
      </c>
      <c r="M25" s="462">
        <v>1510</v>
      </c>
      <c r="N25" s="462">
        <v>250</v>
      </c>
      <c r="O25" s="462">
        <f t="shared" si="3"/>
        <v>4048.4</v>
      </c>
      <c r="P25" s="488">
        <f t="shared" si="4"/>
        <v>1242.3333333333333</v>
      </c>
      <c r="Q25" s="489">
        <f t="shared" si="5"/>
        <v>1225.3150684931506</v>
      </c>
      <c r="R25" s="489">
        <f t="shared" si="6"/>
        <v>65.753424657534239</v>
      </c>
      <c r="S25" s="490">
        <f t="shared" si="7"/>
        <v>15908</v>
      </c>
      <c r="T25" s="490">
        <f t="shared" si="8"/>
        <v>18441.401826484016</v>
      </c>
      <c r="U25" s="491">
        <f t="shared" si="9"/>
        <v>183.46</v>
      </c>
      <c r="V25" s="498">
        <f>(O25-N25)*11%</f>
        <v>417.82400000000001</v>
      </c>
      <c r="W25" s="498">
        <v>10</v>
      </c>
      <c r="X25" s="498"/>
      <c r="Y25" s="498"/>
      <c r="Z25" s="462">
        <f t="shared" si="10"/>
        <v>611.28399999999999</v>
      </c>
      <c r="AA25" s="462">
        <f t="shared" si="11"/>
        <v>3437.116</v>
      </c>
      <c r="AB25" s="489">
        <v>1000</v>
      </c>
      <c r="AE25"/>
      <c r="AF25"/>
      <c r="AG25"/>
    </row>
    <row r="26" spans="1:34" s="507" customFormat="1">
      <c r="A26" s="456">
        <v>22</v>
      </c>
      <c r="B26" s="466" t="s">
        <v>1943</v>
      </c>
      <c r="C26" s="497">
        <v>9901443162</v>
      </c>
      <c r="D26" s="459" t="s">
        <v>1944</v>
      </c>
      <c r="E26" s="460" t="s">
        <v>54</v>
      </c>
      <c r="F26" s="461">
        <v>31</v>
      </c>
      <c r="G26" s="498">
        <v>71.400000000000006</v>
      </c>
      <c r="H26" s="462">
        <f t="shared" si="0"/>
        <v>2213.4</v>
      </c>
      <c r="I26" s="462">
        <f t="shared" si="1"/>
        <v>8568</v>
      </c>
      <c r="J26" s="463">
        <v>4</v>
      </c>
      <c r="K26" s="533">
        <v>50</v>
      </c>
      <c r="L26" s="462">
        <f t="shared" si="2"/>
        <v>1760</v>
      </c>
      <c r="M26" s="462">
        <v>1510</v>
      </c>
      <c r="N26" s="462">
        <v>250</v>
      </c>
      <c r="O26" s="462">
        <f t="shared" si="3"/>
        <v>4023.4</v>
      </c>
      <c r="P26" s="488">
        <f t="shared" si="4"/>
        <v>1234</v>
      </c>
      <c r="Q26" s="489">
        <f t="shared" si="5"/>
        <v>1217.0958904109589</v>
      </c>
      <c r="R26" s="489">
        <f t="shared" si="6"/>
        <v>65.753424657534239</v>
      </c>
      <c r="S26" s="490">
        <f t="shared" si="7"/>
        <v>15808</v>
      </c>
      <c r="T26" s="490">
        <f t="shared" si="8"/>
        <v>18324.849315068492</v>
      </c>
      <c r="U26" s="491">
        <f t="shared" si="9"/>
        <v>182.26</v>
      </c>
      <c r="V26" s="498"/>
      <c r="W26" s="498">
        <v>10</v>
      </c>
      <c r="X26" s="498"/>
      <c r="Y26" s="498">
        <v>986.76</v>
      </c>
      <c r="Z26" s="462">
        <f t="shared" si="10"/>
        <v>1179.02</v>
      </c>
      <c r="AA26" s="462">
        <f t="shared" si="11"/>
        <v>2844.38</v>
      </c>
      <c r="AB26" s="489">
        <v>1000</v>
      </c>
      <c r="AE26"/>
      <c r="AF26"/>
      <c r="AG26"/>
    </row>
    <row r="27" spans="1:34" s="507" customFormat="1">
      <c r="A27" s="456">
        <v>23</v>
      </c>
      <c r="B27" s="466" t="s">
        <v>1945</v>
      </c>
      <c r="C27" s="497">
        <v>9901443341</v>
      </c>
      <c r="D27" s="459" t="s">
        <v>1946</v>
      </c>
      <c r="E27" s="460" t="s">
        <v>72</v>
      </c>
      <c r="F27" s="461">
        <v>31</v>
      </c>
      <c r="G27" s="498">
        <v>71.400000000000006</v>
      </c>
      <c r="H27" s="462">
        <f t="shared" si="0"/>
        <v>2213.4</v>
      </c>
      <c r="I27" s="462">
        <f t="shared" si="1"/>
        <v>8568</v>
      </c>
      <c r="J27" s="463">
        <v>4</v>
      </c>
      <c r="K27" s="534">
        <v>75</v>
      </c>
      <c r="L27" s="462">
        <f t="shared" si="2"/>
        <v>1760</v>
      </c>
      <c r="M27" s="462">
        <v>1510</v>
      </c>
      <c r="N27" s="462">
        <v>250</v>
      </c>
      <c r="O27" s="462">
        <f t="shared" si="3"/>
        <v>4048.4</v>
      </c>
      <c r="P27" s="488">
        <f t="shared" si="4"/>
        <v>1242.3333333333333</v>
      </c>
      <c r="Q27" s="489">
        <f t="shared" si="5"/>
        <v>1225.3150684931506</v>
      </c>
      <c r="R27" s="489">
        <f t="shared" si="6"/>
        <v>65.753424657534239</v>
      </c>
      <c r="S27" s="490">
        <f t="shared" si="7"/>
        <v>15908</v>
      </c>
      <c r="T27" s="490">
        <f t="shared" si="8"/>
        <v>18441.401826484016</v>
      </c>
      <c r="U27" s="491">
        <f t="shared" si="9"/>
        <v>183.46</v>
      </c>
      <c r="V27" s="498"/>
      <c r="W27" s="498">
        <v>10</v>
      </c>
      <c r="X27" s="498"/>
      <c r="Y27" s="498"/>
      <c r="Z27" s="462">
        <f t="shared" si="10"/>
        <v>193.46</v>
      </c>
      <c r="AA27" s="462">
        <f t="shared" si="11"/>
        <v>3854.94</v>
      </c>
      <c r="AB27" s="489">
        <v>1000</v>
      </c>
      <c r="AE27"/>
      <c r="AF27"/>
      <c r="AG27"/>
    </row>
    <row r="28" spans="1:34" s="507" customFormat="1">
      <c r="A28" s="456">
        <v>24</v>
      </c>
      <c r="B28" s="457" t="s">
        <v>1947</v>
      </c>
      <c r="C28" s="497">
        <v>9901443491</v>
      </c>
      <c r="D28" s="459" t="s">
        <v>1948</v>
      </c>
      <c r="E28" s="460" t="s">
        <v>44</v>
      </c>
      <c r="F28" s="461">
        <v>31</v>
      </c>
      <c r="G28" s="498">
        <v>72.540000000000006</v>
      </c>
      <c r="H28" s="462">
        <f t="shared" si="0"/>
        <v>2248.7400000000002</v>
      </c>
      <c r="I28" s="462">
        <f t="shared" si="1"/>
        <v>8704.8000000000011</v>
      </c>
      <c r="J28" s="463">
        <v>4</v>
      </c>
      <c r="K28" s="534">
        <v>75</v>
      </c>
      <c r="L28" s="462">
        <f t="shared" si="2"/>
        <v>1760</v>
      </c>
      <c r="M28" s="462">
        <v>1510</v>
      </c>
      <c r="N28" s="462">
        <v>250</v>
      </c>
      <c r="O28" s="462">
        <f t="shared" si="3"/>
        <v>4083.7400000000002</v>
      </c>
      <c r="P28" s="488">
        <f t="shared" si="4"/>
        <v>1253.7333333333333</v>
      </c>
      <c r="Q28" s="489">
        <f t="shared" si="5"/>
        <v>1236.5589041095891</v>
      </c>
      <c r="R28" s="489">
        <f t="shared" si="6"/>
        <v>65.753424657534239</v>
      </c>
      <c r="S28" s="490">
        <f t="shared" si="7"/>
        <v>16044.800000000001</v>
      </c>
      <c r="T28" s="490">
        <f t="shared" si="8"/>
        <v>18600.845662100459</v>
      </c>
      <c r="U28" s="491">
        <f t="shared" si="9"/>
        <v>185.17</v>
      </c>
      <c r="V28" s="498"/>
      <c r="W28" s="498">
        <v>10</v>
      </c>
      <c r="X28" s="498"/>
      <c r="Y28" s="498"/>
      <c r="Z28" s="462">
        <f t="shared" si="10"/>
        <v>195.17</v>
      </c>
      <c r="AA28" s="462">
        <f t="shared" si="11"/>
        <v>3888.57</v>
      </c>
      <c r="AB28" s="489">
        <v>1000</v>
      </c>
      <c r="AE28"/>
      <c r="AF28"/>
      <c r="AG28"/>
    </row>
    <row r="29" spans="1:34" s="507" customFormat="1">
      <c r="A29" s="456">
        <v>25</v>
      </c>
      <c r="B29" s="466" t="s">
        <v>1949</v>
      </c>
      <c r="C29" s="497">
        <v>9901443508</v>
      </c>
      <c r="D29" s="459" t="s">
        <v>1950</v>
      </c>
      <c r="E29" s="460" t="s">
        <v>35</v>
      </c>
      <c r="F29" s="461">
        <v>31</v>
      </c>
      <c r="G29" s="498">
        <v>71.400000000000006</v>
      </c>
      <c r="H29" s="462">
        <f t="shared" si="0"/>
        <v>2213.4</v>
      </c>
      <c r="I29" s="462">
        <f t="shared" si="1"/>
        <v>8568</v>
      </c>
      <c r="J29" s="463">
        <v>4</v>
      </c>
      <c r="K29" s="533">
        <v>35</v>
      </c>
      <c r="L29" s="462">
        <f t="shared" si="2"/>
        <v>1760</v>
      </c>
      <c r="M29" s="462">
        <v>1510</v>
      </c>
      <c r="N29" s="462">
        <v>250</v>
      </c>
      <c r="O29" s="462">
        <f t="shared" si="3"/>
        <v>4008.4</v>
      </c>
      <c r="P29" s="488">
        <f t="shared" si="4"/>
        <v>1229</v>
      </c>
      <c r="Q29" s="489">
        <f t="shared" si="5"/>
        <v>1212.1643835616437</v>
      </c>
      <c r="R29" s="489">
        <f t="shared" si="6"/>
        <v>65.753424657534239</v>
      </c>
      <c r="S29" s="490">
        <f t="shared" si="7"/>
        <v>15748</v>
      </c>
      <c r="T29" s="490">
        <f t="shared" si="8"/>
        <v>18254.917808219179</v>
      </c>
      <c r="U29" s="491">
        <f t="shared" si="9"/>
        <v>181.53</v>
      </c>
      <c r="V29" s="498"/>
      <c r="W29" s="498"/>
      <c r="X29" s="498"/>
      <c r="Y29" s="498"/>
      <c r="Z29" s="462">
        <f t="shared" si="10"/>
        <v>181.53</v>
      </c>
      <c r="AA29" s="462">
        <f t="shared" si="11"/>
        <v>3826.87</v>
      </c>
      <c r="AB29" s="489">
        <v>1000</v>
      </c>
      <c r="AE29"/>
      <c r="AF29"/>
      <c r="AG29"/>
    </row>
    <row r="30" spans="1:34" s="507" customFormat="1">
      <c r="A30" s="456">
        <v>26</v>
      </c>
      <c r="B30" s="457" t="s">
        <v>1951</v>
      </c>
      <c r="C30" s="497">
        <v>9901442315</v>
      </c>
      <c r="D30" s="459" t="s">
        <v>1952</v>
      </c>
      <c r="E30" s="460" t="s">
        <v>72</v>
      </c>
      <c r="F30" s="461">
        <v>31</v>
      </c>
      <c r="G30" s="498">
        <v>71.400000000000006</v>
      </c>
      <c r="H30" s="462">
        <f t="shared" si="0"/>
        <v>2213.4</v>
      </c>
      <c r="I30" s="462">
        <f t="shared" si="1"/>
        <v>8568</v>
      </c>
      <c r="J30" s="463">
        <v>4</v>
      </c>
      <c r="K30" s="534">
        <v>75</v>
      </c>
      <c r="L30" s="462">
        <f t="shared" si="2"/>
        <v>1760</v>
      </c>
      <c r="M30" s="462">
        <v>1510</v>
      </c>
      <c r="N30" s="462">
        <v>250</v>
      </c>
      <c r="O30" s="462">
        <f t="shared" si="3"/>
        <v>4048.4</v>
      </c>
      <c r="P30" s="488">
        <f t="shared" si="4"/>
        <v>1242.3333333333333</v>
      </c>
      <c r="Q30" s="489">
        <f t="shared" si="5"/>
        <v>1225.3150684931506</v>
      </c>
      <c r="R30" s="489">
        <f t="shared" si="6"/>
        <v>65.753424657534239</v>
      </c>
      <c r="S30" s="490">
        <f t="shared" si="7"/>
        <v>15908</v>
      </c>
      <c r="T30" s="490">
        <f t="shared" si="8"/>
        <v>18441.401826484016</v>
      </c>
      <c r="U30" s="491">
        <f t="shared" si="9"/>
        <v>183.46</v>
      </c>
      <c r="V30" s="498">
        <f>(O30-N30)*11%</f>
        <v>417.82400000000001</v>
      </c>
      <c r="W30" s="498">
        <v>10</v>
      </c>
      <c r="X30" s="498"/>
      <c r="Y30" s="498"/>
      <c r="Z30" s="462">
        <f t="shared" si="10"/>
        <v>611.28399999999999</v>
      </c>
      <c r="AA30" s="462">
        <f t="shared" si="11"/>
        <v>3437.116</v>
      </c>
      <c r="AB30" s="489">
        <v>1000</v>
      </c>
      <c r="AE30"/>
      <c r="AF30"/>
      <c r="AG30"/>
    </row>
    <row r="31" spans="1:34" s="507" customFormat="1">
      <c r="A31" s="456">
        <v>27</v>
      </c>
      <c r="B31" s="466" t="s">
        <v>1953</v>
      </c>
      <c r="C31" s="497">
        <v>9901443476</v>
      </c>
      <c r="D31" s="459" t="s">
        <v>1954</v>
      </c>
      <c r="E31" s="460" t="s">
        <v>39</v>
      </c>
      <c r="F31" s="461">
        <v>31</v>
      </c>
      <c r="G31" s="498">
        <v>78.25</v>
      </c>
      <c r="H31" s="462">
        <f t="shared" si="0"/>
        <v>2425.75</v>
      </c>
      <c r="I31" s="462">
        <f t="shared" si="1"/>
        <v>9390</v>
      </c>
      <c r="J31" s="463">
        <v>4</v>
      </c>
      <c r="K31" s="534">
        <v>75</v>
      </c>
      <c r="L31" s="462">
        <f t="shared" si="2"/>
        <v>1760</v>
      </c>
      <c r="M31" s="462">
        <v>1510</v>
      </c>
      <c r="N31" s="462">
        <v>250</v>
      </c>
      <c r="O31" s="462">
        <f t="shared" si="3"/>
        <v>4260.75</v>
      </c>
      <c r="P31" s="488">
        <f t="shared" si="4"/>
        <v>1310.8333333333333</v>
      </c>
      <c r="Q31" s="489">
        <f t="shared" si="5"/>
        <v>1292.8767123287671</v>
      </c>
      <c r="R31" s="489">
        <f t="shared" si="6"/>
        <v>65.753424657534239</v>
      </c>
      <c r="S31" s="490">
        <f t="shared" si="7"/>
        <v>16730</v>
      </c>
      <c r="T31" s="490">
        <f t="shared" si="8"/>
        <v>19399.463470319632</v>
      </c>
      <c r="U31" s="491">
        <f t="shared" si="9"/>
        <v>193.72</v>
      </c>
      <c r="V31" s="498"/>
      <c r="W31" s="498">
        <v>10</v>
      </c>
      <c r="X31" s="498"/>
      <c r="Y31" s="498"/>
      <c r="Z31" s="462">
        <f t="shared" si="10"/>
        <v>203.72</v>
      </c>
      <c r="AA31" s="462">
        <f t="shared" si="11"/>
        <v>4057.03</v>
      </c>
      <c r="AB31" s="489">
        <v>1000</v>
      </c>
      <c r="AE31"/>
      <c r="AF31"/>
      <c r="AG31"/>
    </row>
    <row r="32" spans="1:34" s="507" customFormat="1">
      <c r="A32" s="456">
        <v>28</v>
      </c>
      <c r="B32" s="457" t="s">
        <v>1955</v>
      </c>
      <c r="C32" s="497">
        <v>9901442287</v>
      </c>
      <c r="D32" s="459" t="s">
        <v>1956</v>
      </c>
      <c r="E32" s="460" t="s">
        <v>39</v>
      </c>
      <c r="F32" s="461">
        <v>31</v>
      </c>
      <c r="G32" s="498">
        <v>78.25</v>
      </c>
      <c r="H32" s="462">
        <f t="shared" si="0"/>
        <v>2425.75</v>
      </c>
      <c r="I32" s="462">
        <f t="shared" si="1"/>
        <v>9390</v>
      </c>
      <c r="J32" s="463">
        <v>4</v>
      </c>
      <c r="K32" s="534">
        <v>75</v>
      </c>
      <c r="L32" s="462">
        <f t="shared" si="2"/>
        <v>1760</v>
      </c>
      <c r="M32" s="462">
        <v>1510</v>
      </c>
      <c r="N32" s="462">
        <v>250</v>
      </c>
      <c r="O32" s="462">
        <f t="shared" si="3"/>
        <v>4260.75</v>
      </c>
      <c r="P32" s="488">
        <f t="shared" si="4"/>
        <v>1310.8333333333333</v>
      </c>
      <c r="Q32" s="489">
        <f t="shared" si="5"/>
        <v>1292.8767123287671</v>
      </c>
      <c r="R32" s="489">
        <f t="shared" si="6"/>
        <v>65.753424657534239</v>
      </c>
      <c r="S32" s="490">
        <f t="shared" si="7"/>
        <v>16730</v>
      </c>
      <c r="T32" s="490">
        <f t="shared" si="8"/>
        <v>19399.463470319632</v>
      </c>
      <c r="U32" s="491">
        <f t="shared" si="9"/>
        <v>193.72</v>
      </c>
      <c r="V32" s="498"/>
      <c r="W32" s="498">
        <v>10</v>
      </c>
      <c r="X32" s="498"/>
      <c r="Y32" s="498"/>
      <c r="Z32" s="462">
        <f t="shared" si="10"/>
        <v>203.72</v>
      </c>
      <c r="AA32" s="462">
        <f t="shared" si="11"/>
        <v>4057.03</v>
      </c>
      <c r="AB32" s="489">
        <v>1000</v>
      </c>
      <c r="AE32"/>
      <c r="AF32"/>
      <c r="AG32"/>
    </row>
    <row r="33" spans="1:33" s="507" customFormat="1">
      <c r="A33" s="456">
        <v>29</v>
      </c>
      <c r="B33" s="466" t="s">
        <v>1957</v>
      </c>
      <c r="C33" s="497">
        <v>9901442294</v>
      </c>
      <c r="D33" s="459" t="s">
        <v>1958</v>
      </c>
      <c r="E33" s="460" t="s">
        <v>72</v>
      </c>
      <c r="F33" s="461">
        <v>31</v>
      </c>
      <c r="G33" s="498">
        <v>71.400000000000006</v>
      </c>
      <c r="H33" s="462">
        <f t="shared" si="0"/>
        <v>2213.4</v>
      </c>
      <c r="I33" s="462">
        <f t="shared" si="1"/>
        <v>8568</v>
      </c>
      <c r="J33" s="463">
        <v>4</v>
      </c>
      <c r="K33" s="534">
        <v>75</v>
      </c>
      <c r="L33" s="462">
        <f t="shared" si="2"/>
        <v>1760</v>
      </c>
      <c r="M33" s="462">
        <v>1510</v>
      </c>
      <c r="N33" s="462">
        <v>250</v>
      </c>
      <c r="O33" s="462">
        <f t="shared" si="3"/>
        <v>4048.4</v>
      </c>
      <c r="P33" s="488">
        <f t="shared" si="4"/>
        <v>1242.3333333333333</v>
      </c>
      <c r="Q33" s="489">
        <f t="shared" si="5"/>
        <v>1225.3150684931506</v>
      </c>
      <c r="R33" s="489">
        <f t="shared" si="6"/>
        <v>65.753424657534239</v>
      </c>
      <c r="S33" s="490">
        <f t="shared" si="7"/>
        <v>15908</v>
      </c>
      <c r="T33" s="490">
        <f t="shared" si="8"/>
        <v>18441.401826484016</v>
      </c>
      <c r="U33" s="491">
        <f t="shared" si="9"/>
        <v>183.46</v>
      </c>
      <c r="V33" s="498"/>
      <c r="W33" s="498">
        <v>10</v>
      </c>
      <c r="X33" s="498"/>
      <c r="Y33" s="498"/>
      <c r="Z33" s="462">
        <f t="shared" si="10"/>
        <v>193.46</v>
      </c>
      <c r="AA33" s="462">
        <f t="shared" si="11"/>
        <v>3854.94</v>
      </c>
      <c r="AB33" s="489">
        <v>1000</v>
      </c>
      <c r="AE33"/>
      <c r="AF33"/>
      <c r="AG33"/>
    </row>
    <row r="34" spans="1:33" s="507" customFormat="1">
      <c r="A34" s="456">
        <v>30</v>
      </c>
      <c r="B34" s="466" t="s">
        <v>1959</v>
      </c>
      <c r="C34" s="497">
        <v>9901442312</v>
      </c>
      <c r="D34" s="459" t="s">
        <v>1960</v>
      </c>
      <c r="E34" s="460" t="s">
        <v>44</v>
      </c>
      <c r="F34" s="461">
        <v>31</v>
      </c>
      <c r="G34" s="498">
        <v>72.540000000000006</v>
      </c>
      <c r="H34" s="462">
        <f t="shared" si="0"/>
        <v>2248.7400000000002</v>
      </c>
      <c r="I34" s="462">
        <f t="shared" si="1"/>
        <v>8704.8000000000011</v>
      </c>
      <c r="J34" s="463">
        <v>4</v>
      </c>
      <c r="K34" s="534">
        <v>75</v>
      </c>
      <c r="L34" s="462">
        <f t="shared" si="2"/>
        <v>1760</v>
      </c>
      <c r="M34" s="462">
        <v>1510</v>
      </c>
      <c r="N34" s="462">
        <v>250</v>
      </c>
      <c r="O34" s="462">
        <f t="shared" si="3"/>
        <v>4083.7400000000002</v>
      </c>
      <c r="P34" s="488">
        <f t="shared" si="4"/>
        <v>1253.7333333333333</v>
      </c>
      <c r="Q34" s="489">
        <f t="shared" si="5"/>
        <v>1236.5589041095891</v>
      </c>
      <c r="R34" s="489">
        <f t="shared" si="6"/>
        <v>65.753424657534239</v>
      </c>
      <c r="S34" s="490">
        <f t="shared" si="7"/>
        <v>16044.800000000001</v>
      </c>
      <c r="T34" s="490">
        <f t="shared" si="8"/>
        <v>18600.845662100459</v>
      </c>
      <c r="U34" s="491">
        <f t="shared" si="9"/>
        <v>185.17</v>
      </c>
      <c r="V34" s="498"/>
      <c r="W34" s="498">
        <v>10</v>
      </c>
      <c r="X34" s="498"/>
      <c r="Y34" s="498"/>
      <c r="Z34" s="462">
        <f t="shared" si="10"/>
        <v>195.17</v>
      </c>
      <c r="AA34" s="462">
        <f t="shared" si="11"/>
        <v>3888.57</v>
      </c>
      <c r="AB34" s="489">
        <v>1000</v>
      </c>
      <c r="AE34"/>
      <c r="AF34"/>
      <c r="AG34"/>
    </row>
    <row r="35" spans="1:33" s="507" customFormat="1">
      <c r="A35" s="456">
        <v>31</v>
      </c>
      <c r="B35" s="466" t="s">
        <v>1961</v>
      </c>
      <c r="C35" s="497">
        <v>9901443956</v>
      </c>
      <c r="D35" s="459" t="s">
        <v>1962</v>
      </c>
      <c r="E35" s="460" t="s">
        <v>38</v>
      </c>
      <c r="F35" s="461">
        <v>31</v>
      </c>
      <c r="G35" s="498">
        <v>71.400000000000006</v>
      </c>
      <c r="H35" s="462">
        <f t="shared" si="0"/>
        <v>2213.4</v>
      </c>
      <c r="I35" s="462">
        <f t="shared" si="1"/>
        <v>8568</v>
      </c>
      <c r="J35" s="463">
        <v>4</v>
      </c>
      <c r="K35" s="533">
        <v>50</v>
      </c>
      <c r="L35" s="462">
        <f t="shared" si="2"/>
        <v>1760</v>
      </c>
      <c r="M35" s="462">
        <v>1510</v>
      </c>
      <c r="N35" s="462">
        <v>250</v>
      </c>
      <c r="O35" s="462">
        <f t="shared" si="3"/>
        <v>4023.4</v>
      </c>
      <c r="P35" s="488">
        <f t="shared" si="4"/>
        <v>1234</v>
      </c>
      <c r="Q35" s="489">
        <f t="shared" si="5"/>
        <v>1217.0958904109589</v>
      </c>
      <c r="R35" s="489">
        <f t="shared" si="6"/>
        <v>65.753424657534239</v>
      </c>
      <c r="S35" s="490">
        <f t="shared" si="7"/>
        <v>15808</v>
      </c>
      <c r="T35" s="490">
        <f t="shared" si="8"/>
        <v>18324.849315068492</v>
      </c>
      <c r="U35" s="491">
        <f t="shared" si="9"/>
        <v>182.26</v>
      </c>
      <c r="V35" s="498">
        <f>(O35-N35)*11%</f>
        <v>415.07400000000001</v>
      </c>
      <c r="W35" s="498">
        <v>10</v>
      </c>
      <c r="X35" s="498"/>
      <c r="Y35" s="498"/>
      <c r="Z35" s="462">
        <f t="shared" si="10"/>
        <v>607.33400000000006</v>
      </c>
      <c r="AA35" s="462">
        <f t="shared" si="11"/>
        <v>3416.0659999999998</v>
      </c>
      <c r="AB35" s="489">
        <v>1000</v>
      </c>
      <c r="AE35"/>
      <c r="AF35"/>
      <c r="AG35"/>
    </row>
    <row r="36" spans="1:33" s="507" customFormat="1">
      <c r="A36" s="456">
        <v>32</v>
      </c>
      <c r="B36" s="466" t="s">
        <v>1963</v>
      </c>
      <c r="C36" s="497">
        <v>9901442333</v>
      </c>
      <c r="D36" s="459" t="s">
        <v>1964</v>
      </c>
      <c r="E36" s="460" t="s">
        <v>72</v>
      </c>
      <c r="F36" s="461">
        <v>31</v>
      </c>
      <c r="G36" s="498">
        <v>71.400000000000006</v>
      </c>
      <c r="H36" s="462">
        <f t="shared" si="0"/>
        <v>2213.4</v>
      </c>
      <c r="I36" s="462">
        <f t="shared" si="1"/>
        <v>8568</v>
      </c>
      <c r="J36" s="463">
        <v>4</v>
      </c>
      <c r="K36" s="534">
        <v>50</v>
      </c>
      <c r="L36" s="462">
        <f t="shared" si="2"/>
        <v>1760</v>
      </c>
      <c r="M36" s="462">
        <v>1510</v>
      </c>
      <c r="N36" s="462">
        <v>250</v>
      </c>
      <c r="O36" s="462">
        <f t="shared" si="3"/>
        <v>4023.4</v>
      </c>
      <c r="P36" s="488">
        <f t="shared" si="4"/>
        <v>1234</v>
      </c>
      <c r="Q36" s="489">
        <f t="shared" si="5"/>
        <v>1217.0958904109589</v>
      </c>
      <c r="R36" s="489">
        <f t="shared" si="6"/>
        <v>65.753424657534239</v>
      </c>
      <c r="S36" s="490">
        <f t="shared" si="7"/>
        <v>15808</v>
      </c>
      <c r="T36" s="490">
        <f t="shared" si="8"/>
        <v>18324.849315068492</v>
      </c>
      <c r="U36" s="491">
        <f t="shared" si="9"/>
        <v>182.26</v>
      </c>
      <c r="V36" s="498">
        <f>(O36-N36)*11%</f>
        <v>415.07400000000001</v>
      </c>
      <c r="W36" s="498">
        <v>10</v>
      </c>
      <c r="X36" s="498"/>
      <c r="Y36" s="498"/>
      <c r="Z36" s="462">
        <f t="shared" si="10"/>
        <v>607.33400000000006</v>
      </c>
      <c r="AA36" s="462">
        <f t="shared" si="11"/>
        <v>3416.0659999999998</v>
      </c>
      <c r="AB36" s="489">
        <v>1000</v>
      </c>
      <c r="AE36"/>
      <c r="AF36"/>
      <c r="AG36"/>
    </row>
    <row r="37" spans="1:33" s="507" customFormat="1">
      <c r="A37" s="456">
        <v>33</v>
      </c>
      <c r="B37" s="457" t="s">
        <v>1965</v>
      </c>
      <c r="C37" s="497">
        <v>9901443538</v>
      </c>
      <c r="D37" s="459" t="s">
        <v>1966</v>
      </c>
      <c r="E37" s="460" t="s">
        <v>44</v>
      </c>
      <c r="F37" s="461">
        <v>31</v>
      </c>
      <c r="G37" s="498">
        <v>72.540000000000006</v>
      </c>
      <c r="H37" s="462">
        <f t="shared" si="0"/>
        <v>2248.7400000000002</v>
      </c>
      <c r="I37" s="462">
        <f t="shared" si="1"/>
        <v>8704.8000000000011</v>
      </c>
      <c r="J37" s="463">
        <v>4</v>
      </c>
      <c r="K37" s="534">
        <v>50</v>
      </c>
      <c r="L37" s="462">
        <f t="shared" si="2"/>
        <v>1760</v>
      </c>
      <c r="M37" s="462">
        <v>1510</v>
      </c>
      <c r="N37" s="462">
        <v>250</v>
      </c>
      <c r="O37" s="462">
        <f t="shared" si="3"/>
        <v>4058.7400000000002</v>
      </c>
      <c r="P37" s="488">
        <f t="shared" si="4"/>
        <v>1245.4000000000001</v>
      </c>
      <c r="Q37" s="489">
        <f t="shared" si="5"/>
        <v>1228.3397260273973</v>
      </c>
      <c r="R37" s="489">
        <f t="shared" si="6"/>
        <v>65.753424657534239</v>
      </c>
      <c r="S37" s="490">
        <f t="shared" si="7"/>
        <v>15944.800000000001</v>
      </c>
      <c r="T37" s="490">
        <f t="shared" si="8"/>
        <v>18484.293150684935</v>
      </c>
      <c r="U37" s="491">
        <f t="shared" si="9"/>
        <v>183.96</v>
      </c>
      <c r="V37" s="498"/>
      <c r="W37" s="498">
        <v>10</v>
      </c>
      <c r="X37" s="498"/>
      <c r="Y37" s="498"/>
      <c r="Z37" s="462">
        <f t="shared" si="10"/>
        <v>193.96</v>
      </c>
      <c r="AA37" s="462">
        <f t="shared" si="11"/>
        <v>3864.78</v>
      </c>
      <c r="AB37" s="489">
        <v>1000</v>
      </c>
      <c r="AE37"/>
      <c r="AF37"/>
      <c r="AG37"/>
    </row>
    <row r="38" spans="1:33" s="507" customFormat="1">
      <c r="A38" s="456">
        <v>34</v>
      </c>
      <c r="B38" s="457" t="s">
        <v>1967</v>
      </c>
      <c r="C38" s="497">
        <v>9901443993</v>
      </c>
      <c r="D38" s="459" t="s">
        <v>1968</v>
      </c>
      <c r="E38" s="460" t="s">
        <v>44</v>
      </c>
      <c r="F38" s="461">
        <v>31</v>
      </c>
      <c r="G38" s="498">
        <v>72.540000000000006</v>
      </c>
      <c r="H38" s="462">
        <f t="shared" si="0"/>
        <v>2248.7400000000002</v>
      </c>
      <c r="I38" s="462">
        <f t="shared" si="1"/>
        <v>8704.8000000000011</v>
      </c>
      <c r="J38" s="463">
        <v>4</v>
      </c>
      <c r="K38" s="534">
        <v>75</v>
      </c>
      <c r="L38" s="462">
        <f t="shared" si="2"/>
        <v>1760</v>
      </c>
      <c r="M38" s="462">
        <v>1510</v>
      </c>
      <c r="N38" s="462">
        <v>250</v>
      </c>
      <c r="O38" s="462">
        <f t="shared" si="3"/>
        <v>4083.7400000000002</v>
      </c>
      <c r="P38" s="488">
        <f t="shared" si="4"/>
        <v>1253.7333333333333</v>
      </c>
      <c r="Q38" s="489">
        <f t="shared" si="5"/>
        <v>1236.5589041095891</v>
      </c>
      <c r="R38" s="489">
        <f t="shared" si="6"/>
        <v>65.753424657534239</v>
      </c>
      <c r="S38" s="490">
        <f t="shared" si="7"/>
        <v>16044.800000000001</v>
      </c>
      <c r="T38" s="490">
        <f t="shared" si="8"/>
        <v>18600.845662100459</v>
      </c>
      <c r="U38" s="491">
        <f t="shared" si="9"/>
        <v>185.17</v>
      </c>
      <c r="V38" s="498"/>
      <c r="W38" s="498">
        <v>10</v>
      </c>
      <c r="X38" s="498"/>
      <c r="Y38" s="498">
        <v>1880.73</v>
      </c>
      <c r="Z38" s="462">
        <f t="shared" si="10"/>
        <v>2075.9</v>
      </c>
      <c r="AA38" s="462">
        <f t="shared" si="11"/>
        <v>2007.8400000000001</v>
      </c>
      <c r="AB38" s="489">
        <v>1000</v>
      </c>
      <c r="AE38"/>
      <c r="AF38"/>
      <c r="AG38"/>
    </row>
    <row r="39" spans="1:33" s="507" customFormat="1">
      <c r="A39" s="456">
        <v>35</v>
      </c>
      <c r="B39" s="466" t="s">
        <v>1969</v>
      </c>
      <c r="C39" s="497">
        <v>9901443694</v>
      </c>
      <c r="D39" s="459" t="s">
        <v>1970</v>
      </c>
      <c r="E39" s="460" t="s">
        <v>72</v>
      </c>
      <c r="F39" s="461">
        <v>31</v>
      </c>
      <c r="G39" s="498">
        <v>71.400000000000006</v>
      </c>
      <c r="H39" s="462">
        <f t="shared" si="0"/>
        <v>2213.4</v>
      </c>
      <c r="I39" s="462">
        <f t="shared" si="1"/>
        <v>8568</v>
      </c>
      <c r="J39" s="463">
        <v>4</v>
      </c>
      <c r="K39" s="534">
        <v>50</v>
      </c>
      <c r="L39" s="462">
        <f t="shared" si="2"/>
        <v>1760</v>
      </c>
      <c r="M39" s="462">
        <v>1510</v>
      </c>
      <c r="N39" s="462">
        <v>250</v>
      </c>
      <c r="O39" s="462">
        <f t="shared" si="3"/>
        <v>4023.4</v>
      </c>
      <c r="P39" s="488">
        <f t="shared" si="4"/>
        <v>1234</v>
      </c>
      <c r="Q39" s="489">
        <f t="shared" si="5"/>
        <v>1217.0958904109589</v>
      </c>
      <c r="R39" s="489">
        <f t="shared" si="6"/>
        <v>65.753424657534239</v>
      </c>
      <c r="S39" s="490">
        <f t="shared" si="7"/>
        <v>15808</v>
      </c>
      <c r="T39" s="490">
        <f t="shared" si="8"/>
        <v>18324.849315068492</v>
      </c>
      <c r="U39" s="491">
        <f t="shared" si="9"/>
        <v>182.26</v>
      </c>
      <c r="V39" s="498">
        <f>(O39-N39)*11%</f>
        <v>415.07400000000001</v>
      </c>
      <c r="W39" s="498">
        <v>10</v>
      </c>
      <c r="X39" s="498"/>
      <c r="Y39" s="498"/>
      <c r="Z39" s="462">
        <f t="shared" si="10"/>
        <v>607.33400000000006</v>
      </c>
      <c r="AA39" s="462">
        <f t="shared" si="11"/>
        <v>3416.0659999999998</v>
      </c>
      <c r="AB39" s="489">
        <v>1000</v>
      </c>
      <c r="AE39"/>
      <c r="AF39"/>
      <c r="AG39"/>
    </row>
    <row r="40" spans="1:33" s="507" customFormat="1">
      <c r="A40" s="456">
        <v>36</v>
      </c>
      <c r="B40" s="466" t="s">
        <v>1971</v>
      </c>
      <c r="C40" s="497">
        <v>9901443244</v>
      </c>
      <c r="D40" s="459" t="s">
        <v>1972</v>
      </c>
      <c r="E40" s="460" t="s">
        <v>44</v>
      </c>
      <c r="F40" s="461">
        <v>31</v>
      </c>
      <c r="G40" s="498">
        <v>72.540000000000006</v>
      </c>
      <c r="H40" s="462">
        <f t="shared" si="0"/>
        <v>2248.7400000000002</v>
      </c>
      <c r="I40" s="462">
        <f t="shared" si="1"/>
        <v>8704.8000000000011</v>
      </c>
      <c r="J40" s="463">
        <v>4</v>
      </c>
      <c r="K40" s="534">
        <v>75</v>
      </c>
      <c r="L40" s="462">
        <f t="shared" si="2"/>
        <v>1760</v>
      </c>
      <c r="M40" s="462">
        <v>1510</v>
      </c>
      <c r="N40" s="462">
        <v>250</v>
      </c>
      <c r="O40" s="462">
        <f t="shared" si="3"/>
        <v>4083.7400000000002</v>
      </c>
      <c r="P40" s="488">
        <f t="shared" si="4"/>
        <v>1253.7333333333333</v>
      </c>
      <c r="Q40" s="489">
        <f t="shared" si="5"/>
        <v>1236.5589041095891</v>
      </c>
      <c r="R40" s="489">
        <f t="shared" si="6"/>
        <v>65.753424657534239</v>
      </c>
      <c r="S40" s="490">
        <f t="shared" si="7"/>
        <v>16044.800000000001</v>
      </c>
      <c r="T40" s="490">
        <f t="shared" si="8"/>
        <v>18600.845662100459</v>
      </c>
      <c r="U40" s="491">
        <f t="shared" si="9"/>
        <v>185.17</v>
      </c>
      <c r="V40" s="498"/>
      <c r="W40" s="498">
        <v>10</v>
      </c>
      <c r="X40" s="498"/>
      <c r="Y40" s="498"/>
      <c r="Z40" s="462">
        <f t="shared" si="10"/>
        <v>195.17</v>
      </c>
      <c r="AA40" s="462">
        <f t="shared" si="11"/>
        <v>3888.57</v>
      </c>
      <c r="AB40" s="489">
        <v>1000</v>
      </c>
      <c r="AE40"/>
      <c r="AF40"/>
      <c r="AG40"/>
    </row>
    <row r="41" spans="1:33" s="507" customFormat="1">
      <c r="A41" s="456">
        <v>37</v>
      </c>
      <c r="B41" s="466" t="s">
        <v>1973</v>
      </c>
      <c r="C41" s="497">
        <v>9901442342</v>
      </c>
      <c r="D41" s="459" t="s">
        <v>1974</v>
      </c>
      <c r="E41" s="460" t="s">
        <v>39</v>
      </c>
      <c r="F41" s="461">
        <v>31</v>
      </c>
      <c r="G41" s="498">
        <v>78.25</v>
      </c>
      <c r="H41" s="462">
        <f t="shared" si="0"/>
        <v>2425.75</v>
      </c>
      <c r="I41" s="462">
        <f t="shared" si="1"/>
        <v>9390</v>
      </c>
      <c r="J41" s="463">
        <v>4</v>
      </c>
      <c r="K41" s="534">
        <v>50</v>
      </c>
      <c r="L41" s="462">
        <f t="shared" si="2"/>
        <v>1760</v>
      </c>
      <c r="M41" s="462">
        <v>1510</v>
      </c>
      <c r="N41" s="462">
        <v>250</v>
      </c>
      <c r="O41" s="462">
        <f t="shared" si="3"/>
        <v>4235.75</v>
      </c>
      <c r="P41" s="488">
        <f t="shared" si="4"/>
        <v>1302.5</v>
      </c>
      <c r="Q41" s="489">
        <f t="shared" si="5"/>
        <v>1284.6575342465753</v>
      </c>
      <c r="R41" s="489">
        <f t="shared" si="6"/>
        <v>65.753424657534239</v>
      </c>
      <c r="S41" s="490">
        <f t="shared" si="7"/>
        <v>16630</v>
      </c>
      <c r="T41" s="490">
        <f t="shared" si="8"/>
        <v>19282.910958904111</v>
      </c>
      <c r="U41" s="491">
        <f t="shared" si="9"/>
        <v>192.51</v>
      </c>
      <c r="V41" s="498">
        <f>(O41-N41)*11%</f>
        <v>438.4325</v>
      </c>
      <c r="W41" s="498">
        <v>10</v>
      </c>
      <c r="X41" s="498"/>
      <c r="Y41" s="498"/>
      <c r="Z41" s="462">
        <f t="shared" si="10"/>
        <v>640.9425</v>
      </c>
      <c r="AA41" s="462">
        <f t="shared" si="11"/>
        <v>3594.8074999999999</v>
      </c>
      <c r="AB41" s="489">
        <v>1000</v>
      </c>
      <c r="AE41"/>
      <c r="AF41"/>
      <c r="AG41"/>
    </row>
    <row r="42" spans="1:33" s="507" customFormat="1">
      <c r="A42" s="456">
        <v>38</v>
      </c>
      <c r="B42" s="466" t="s">
        <v>1975</v>
      </c>
      <c r="C42" s="497">
        <v>9901442473</v>
      </c>
      <c r="D42" s="459" t="s">
        <v>1976</v>
      </c>
      <c r="E42" s="460" t="s">
        <v>35</v>
      </c>
      <c r="F42" s="461">
        <v>31</v>
      </c>
      <c r="G42" s="498">
        <v>71.400000000000006</v>
      </c>
      <c r="H42" s="462">
        <f t="shared" si="0"/>
        <v>2213.4</v>
      </c>
      <c r="I42" s="462">
        <f t="shared" si="1"/>
        <v>8568</v>
      </c>
      <c r="J42" s="463">
        <v>4</v>
      </c>
      <c r="K42" s="534">
        <v>50</v>
      </c>
      <c r="L42" s="462">
        <f t="shared" si="2"/>
        <v>1760</v>
      </c>
      <c r="M42" s="462">
        <v>1510</v>
      </c>
      <c r="N42" s="462">
        <v>250</v>
      </c>
      <c r="O42" s="462">
        <f t="shared" si="3"/>
        <v>4023.4</v>
      </c>
      <c r="P42" s="488">
        <f t="shared" si="4"/>
        <v>1234</v>
      </c>
      <c r="Q42" s="489">
        <f t="shared" si="5"/>
        <v>1217.0958904109589</v>
      </c>
      <c r="R42" s="489">
        <f t="shared" si="6"/>
        <v>65.753424657534239</v>
      </c>
      <c r="S42" s="490">
        <f t="shared" si="7"/>
        <v>15808</v>
      </c>
      <c r="T42" s="490">
        <f t="shared" si="8"/>
        <v>18324.849315068492</v>
      </c>
      <c r="U42" s="491">
        <f t="shared" si="9"/>
        <v>182.26</v>
      </c>
      <c r="V42" s="498">
        <f>(O42-N42)*11%</f>
        <v>415.07400000000001</v>
      </c>
      <c r="W42" s="498">
        <v>10</v>
      </c>
      <c r="X42" s="498"/>
      <c r="Y42" s="498"/>
      <c r="Z42" s="462">
        <f t="shared" si="10"/>
        <v>607.33400000000006</v>
      </c>
      <c r="AA42" s="462">
        <f t="shared" si="11"/>
        <v>3416.0659999999998</v>
      </c>
      <c r="AB42" s="489">
        <v>1000</v>
      </c>
      <c r="AE42"/>
      <c r="AF42"/>
      <c r="AG42"/>
    </row>
    <row r="43" spans="1:33" s="507" customFormat="1">
      <c r="A43" s="456">
        <v>39</v>
      </c>
      <c r="B43" s="457" t="s">
        <v>1977</v>
      </c>
      <c r="C43" s="497">
        <v>9901443470</v>
      </c>
      <c r="D43" s="459" t="s">
        <v>1978</v>
      </c>
      <c r="E43" s="460" t="s">
        <v>72</v>
      </c>
      <c r="F43" s="461">
        <v>31</v>
      </c>
      <c r="G43" s="498">
        <v>71.400000000000006</v>
      </c>
      <c r="H43" s="462">
        <f t="shared" si="0"/>
        <v>2213.4</v>
      </c>
      <c r="I43" s="462">
        <f t="shared" si="1"/>
        <v>8568</v>
      </c>
      <c r="J43" s="463">
        <v>4</v>
      </c>
      <c r="K43" s="534">
        <v>75</v>
      </c>
      <c r="L43" s="462">
        <f t="shared" si="2"/>
        <v>1760</v>
      </c>
      <c r="M43" s="462">
        <v>1510</v>
      </c>
      <c r="N43" s="462">
        <v>250</v>
      </c>
      <c r="O43" s="462">
        <f t="shared" si="3"/>
        <v>4048.4</v>
      </c>
      <c r="P43" s="488">
        <f t="shared" si="4"/>
        <v>1242.3333333333333</v>
      </c>
      <c r="Q43" s="489">
        <f t="shared" si="5"/>
        <v>1225.3150684931506</v>
      </c>
      <c r="R43" s="489">
        <f t="shared" si="6"/>
        <v>65.753424657534239</v>
      </c>
      <c r="S43" s="490">
        <f t="shared" si="7"/>
        <v>15908</v>
      </c>
      <c r="T43" s="490">
        <f t="shared" si="8"/>
        <v>18441.401826484016</v>
      </c>
      <c r="U43" s="491">
        <f t="shared" si="9"/>
        <v>183.46</v>
      </c>
      <c r="V43" s="498"/>
      <c r="W43" s="498">
        <v>10</v>
      </c>
      <c r="X43" s="498"/>
      <c r="Y43" s="498">
        <v>1741.38</v>
      </c>
      <c r="Z43" s="462">
        <f t="shared" si="10"/>
        <v>1934.8400000000001</v>
      </c>
      <c r="AA43" s="462">
        <f t="shared" si="11"/>
        <v>2113.56</v>
      </c>
      <c r="AB43" s="489">
        <v>1000</v>
      </c>
      <c r="AE43"/>
      <c r="AF43"/>
      <c r="AG43"/>
    </row>
    <row r="44" spans="1:33" s="507" customFormat="1">
      <c r="A44" s="456">
        <v>40</v>
      </c>
      <c r="B44" s="466" t="s">
        <v>1979</v>
      </c>
      <c r="C44" s="497">
        <v>9901443567</v>
      </c>
      <c r="D44" s="459" t="s">
        <v>1980</v>
      </c>
      <c r="E44" s="460" t="s">
        <v>38</v>
      </c>
      <c r="F44" s="461">
        <v>31</v>
      </c>
      <c r="G44" s="498">
        <v>71.400000000000006</v>
      </c>
      <c r="H44" s="462">
        <f t="shared" si="0"/>
        <v>2213.4</v>
      </c>
      <c r="I44" s="462">
        <f t="shared" si="1"/>
        <v>8568</v>
      </c>
      <c r="J44" s="463">
        <v>4</v>
      </c>
      <c r="K44" s="533">
        <v>35</v>
      </c>
      <c r="L44" s="462">
        <f t="shared" si="2"/>
        <v>1760</v>
      </c>
      <c r="M44" s="462">
        <v>1510</v>
      </c>
      <c r="N44" s="462">
        <v>250</v>
      </c>
      <c r="O44" s="462">
        <f t="shared" si="3"/>
        <v>4008.4</v>
      </c>
      <c r="P44" s="488">
        <f t="shared" si="4"/>
        <v>1229</v>
      </c>
      <c r="Q44" s="489">
        <f t="shared" si="5"/>
        <v>1212.1643835616437</v>
      </c>
      <c r="R44" s="489">
        <f t="shared" si="6"/>
        <v>65.753424657534239</v>
      </c>
      <c r="S44" s="490">
        <f t="shared" si="7"/>
        <v>15748</v>
      </c>
      <c r="T44" s="490">
        <f t="shared" si="8"/>
        <v>18254.917808219179</v>
      </c>
      <c r="U44" s="491">
        <f t="shared" si="9"/>
        <v>181.53</v>
      </c>
      <c r="V44" s="575">
        <f>(O44-N44)*11%</f>
        <v>413.42400000000004</v>
      </c>
      <c r="W44" s="498"/>
      <c r="X44" s="498"/>
      <c r="Y44" s="498"/>
      <c r="Z44" s="462">
        <f t="shared" si="10"/>
        <v>594.95400000000006</v>
      </c>
      <c r="AA44" s="462">
        <f t="shared" si="11"/>
        <v>3413.4459999999999</v>
      </c>
      <c r="AB44" s="489">
        <v>1000</v>
      </c>
      <c r="AE44"/>
      <c r="AF44"/>
      <c r="AG44"/>
    </row>
    <row r="45" spans="1:33" s="507" customFormat="1">
      <c r="A45" s="456">
        <v>41</v>
      </c>
      <c r="B45" s="466" t="s">
        <v>1981</v>
      </c>
      <c r="C45" s="497">
        <v>9901443901</v>
      </c>
      <c r="D45" s="459" t="s">
        <v>1982</v>
      </c>
      <c r="E45" s="460" t="s">
        <v>35</v>
      </c>
      <c r="F45" s="461">
        <v>31</v>
      </c>
      <c r="G45" s="498">
        <v>71.400000000000006</v>
      </c>
      <c r="H45" s="462">
        <f t="shared" si="0"/>
        <v>2213.4</v>
      </c>
      <c r="I45" s="462">
        <f t="shared" si="1"/>
        <v>8568</v>
      </c>
      <c r="J45" s="463">
        <v>4</v>
      </c>
      <c r="K45" s="534">
        <v>50</v>
      </c>
      <c r="L45" s="462">
        <f t="shared" si="2"/>
        <v>1760</v>
      </c>
      <c r="M45" s="462">
        <v>1510</v>
      </c>
      <c r="N45" s="462">
        <v>250</v>
      </c>
      <c r="O45" s="462">
        <f t="shared" si="3"/>
        <v>4023.4</v>
      </c>
      <c r="P45" s="488">
        <f t="shared" si="4"/>
        <v>1234</v>
      </c>
      <c r="Q45" s="489">
        <f t="shared" si="5"/>
        <v>1217.0958904109589</v>
      </c>
      <c r="R45" s="489">
        <f t="shared" si="6"/>
        <v>65.753424657534239</v>
      </c>
      <c r="S45" s="490">
        <f t="shared" si="7"/>
        <v>15808</v>
      </c>
      <c r="T45" s="490">
        <f t="shared" si="8"/>
        <v>18324.849315068492</v>
      </c>
      <c r="U45" s="491">
        <f t="shared" si="9"/>
        <v>182.26</v>
      </c>
      <c r="V45" s="498"/>
      <c r="W45" s="498">
        <v>10</v>
      </c>
      <c r="X45" s="498"/>
      <c r="Y45" s="498">
        <v>1626.73</v>
      </c>
      <c r="Z45" s="462">
        <f t="shared" si="10"/>
        <v>1818.99</v>
      </c>
      <c r="AA45" s="462">
        <f t="shared" si="11"/>
        <v>2204.41</v>
      </c>
      <c r="AB45" s="489">
        <v>1000</v>
      </c>
      <c r="AE45"/>
      <c r="AF45"/>
      <c r="AG45"/>
    </row>
    <row r="46" spans="1:33" s="507" customFormat="1">
      <c r="A46" s="456">
        <v>42</v>
      </c>
      <c r="B46" s="457" t="s">
        <v>1983</v>
      </c>
      <c r="C46" s="497">
        <v>9901443161</v>
      </c>
      <c r="D46" s="459" t="s">
        <v>1984</v>
      </c>
      <c r="E46" s="460" t="s">
        <v>38</v>
      </c>
      <c r="F46" s="461">
        <v>31</v>
      </c>
      <c r="G46" s="498">
        <v>71.400000000000006</v>
      </c>
      <c r="H46" s="462">
        <f t="shared" si="0"/>
        <v>2213.4</v>
      </c>
      <c r="I46" s="462">
        <f t="shared" si="1"/>
        <v>8568</v>
      </c>
      <c r="J46" s="463">
        <v>4</v>
      </c>
      <c r="K46" s="534">
        <v>50</v>
      </c>
      <c r="L46" s="462">
        <f t="shared" si="2"/>
        <v>1760</v>
      </c>
      <c r="M46" s="462">
        <v>1510</v>
      </c>
      <c r="N46" s="462">
        <v>250</v>
      </c>
      <c r="O46" s="462">
        <f t="shared" si="3"/>
        <v>4023.4</v>
      </c>
      <c r="P46" s="488">
        <f t="shared" si="4"/>
        <v>1234</v>
      </c>
      <c r="Q46" s="489">
        <f t="shared" si="5"/>
        <v>1217.0958904109589</v>
      </c>
      <c r="R46" s="489">
        <f t="shared" si="6"/>
        <v>65.753424657534239</v>
      </c>
      <c r="S46" s="490">
        <f t="shared" si="7"/>
        <v>15808</v>
      </c>
      <c r="T46" s="490">
        <f t="shared" si="8"/>
        <v>18324.849315068492</v>
      </c>
      <c r="U46" s="491">
        <f t="shared" si="9"/>
        <v>182.26</v>
      </c>
      <c r="V46" s="498"/>
      <c r="W46" s="498">
        <v>10</v>
      </c>
      <c r="X46" s="498"/>
      <c r="Y46" s="498">
        <v>1792.1</v>
      </c>
      <c r="Z46" s="462">
        <f t="shared" si="10"/>
        <v>1984.36</v>
      </c>
      <c r="AA46" s="462">
        <f t="shared" si="11"/>
        <v>2039.0400000000002</v>
      </c>
      <c r="AB46" s="489">
        <v>1000</v>
      </c>
      <c r="AE46"/>
      <c r="AF46"/>
      <c r="AG46"/>
    </row>
    <row r="47" spans="1:33" s="507" customFormat="1">
      <c r="A47" s="456">
        <v>43</v>
      </c>
      <c r="B47" s="457" t="s">
        <v>1985</v>
      </c>
      <c r="C47" s="497">
        <v>9901442288</v>
      </c>
      <c r="D47" s="459" t="s">
        <v>1986</v>
      </c>
      <c r="E47" s="460" t="s">
        <v>44</v>
      </c>
      <c r="F47" s="461">
        <v>31</v>
      </c>
      <c r="G47" s="498">
        <v>72.540000000000006</v>
      </c>
      <c r="H47" s="462">
        <f t="shared" si="0"/>
        <v>2248.7400000000002</v>
      </c>
      <c r="I47" s="462">
        <f t="shared" si="1"/>
        <v>8704.8000000000011</v>
      </c>
      <c r="J47" s="463">
        <v>4</v>
      </c>
      <c r="K47" s="534">
        <v>75</v>
      </c>
      <c r="L47" s="462">
        <f t="shared" si="2"/>
        <v>1760</v>
      </c>
      <c r="M47" s="462">
        <v>1510</v>
      </c>
      <c r="N47" s="462">
        <v>250</v>
      </c>
      <c r="O47" s="462">
        <f t="shared" si="3"/>
        <v>4083.7400000000002</v>
      </c>
      <c r="P47" s="488">
        <f t="shared" si="4"/>
        <v>1253.7333333333333</v>
      </c>
      <c r="Q47" s="489">
        <f t="shared" si="5"/>
        <v>1236.5589041095891</v>
      </c>
      <c r="R47" s="489">
        <f t="shared" si="6"/>
        <v>65.753424657534239</v>
      </c>
      <c r="S47" s="490">
        <f t="shared" si="7"/>
        <v>16044.800000000001</v>
      </c>
      <c r="T47" s="490">
        <f t="shared" si="8"/>
        <v>18600.845662100459</v>
      </c>
      <c r="U47" s="491">
        <f t="shared" si="9"/>
        <v>185.17</v>
      </c>
      <c r="V47" s="498"/>
      <c r="W47" s="498">
        <v>10</v>
      </c>
      <c r="X47" s="498"/>
      <c r="Y47" s="498"/>
      <c r="Z47" s="462">
        <f t="shared" si="10"/>
        <v>195.17</v>
      </c>
      <c r="AA47" s="462">
        <f t="shared" si="11"/>
        <v>3888.57</v>
      </c>
      <c r="AB47" s="489">
        <v>1000</v>
      </c>
      <c r="AE47"/>
      <c r="AF47"/>
      <c r="AG47"/>
    </row>
    <row r="48" spans="1:33" s="507" customFormat="1">
      <c r="A48" s="456">
        <v>44</v>
      </c>
      <c r="B48" s="457" t="s">
        <v>1987</v>
      </c>
      <c r="C48" s="497">
        <v>9901442558</v>
      </c>
      <c r="D48" s="459" t="s">
        <v>1988</v>
      </c>
      <c r="E48" s="460" t="s">
        <v>44</v>
      </c>
      <c r="F48" s="461">
        <v>31</v>
      </c>
      <c r="G48" s="498">
        <v>72.540000000000006</v>
      </c>
      <c r="H48" s="462">
        <f t="shared" si="0"/>
        <v>2248.7400000000002</v>
      </c>
      <c r="I48" s="462">
        <f t="shared" si="1"/>
        <v>8704.8000000000011</v>
      </c>
      <c r="J48" s="463">
        <v>4</v>
      </c>
      <c r="K48" s="534">
        <v>75</v>
      </c>
      <c r="L48" s="462">
        <f t="shared" si="2"/>
        <v>1760</v>
      </c>
      <c r="M48" s="462">
        <v>1510</v>
      </c>
      <c r="N48" s="462">
        <v>250</v>
      </c>
      <c r="O48" s="462">
        <f t="shared" si="3"/>
        <v>4083.7400000000002</v>
      </c>
      <c r="P48" s="488">
        <f t="shared" si="4"/>
        <v>1253.7333333333333</v>
      </c>
      <c r="Q48" s="489">
        <f t="shared" si="5"/>
        <v>1236.5589041095891</v>
      </c>
      <c r="R48" s="489">
        <f t="shared" si="6"/>
        <v>65.753424657534239</v>
      </c>
      <c r="S48" s="490">
        <f t="shared" si="7"/>
        <v>16044.800000000001</v>
      </c>
      <c r="T48" s="490">
        <f t="shared" si="8"/>
        <v>18600.845662100459</v>
      </c>
      <c r="U48" s="491">
        <f t="shared" si="9"/>
        <v>185.17</v>
      </c>
      <c r="V48" s="498"/>
      <c r="W48" s="498">
        <v>10</v>
      </c>
      <c r="X48" s="498"/>
      <c r="Y48" s="498"/>
      <c r="Z48" s="462">
        <f t="shared" si="10"/>
        <v>195.17</v>
      </c>
      <c r="AA48" s="462">
        <f t="shared" si="11"/>
        <v>3888.57</v>
      </c>
      <c r="AB48" s="489">
        <v>1000</v>
      </c>
      <c r="AE48"/>
      <c r="AF48"/>
      <c r="AG48"/>
    </row>
    <row r="49" spans="1:33" s="507" customFormat="1">
      <c r="A49" s="456">
        <v>45</v>
      </c>
      <c r="B49" s="466" t="s">
        <v>1989</v>
      </c>
      <c r="C49" s="497">
        <v>9901442341</v>
      </c>
      <c r="D49" s="459" t="s">
        <v>1990</v>
      </c>
      <c r="E49" s="460" t="s">
        <v>72</v>
      </c>
      <c r="F49" s="461">
        <v>31</v>
      </c>
      <c r="G49" s="498">
        <v>71.400000000000006</v>
      </c>
      <c r="H49" s="462">
        <f t="shared" si="0"/>
        <v>2213.4</v>
      </c>
      <c r="I49" s="462">
        <f t="shared" si="1"/>
        <v>8568</v>
      </c>
      <c r="J49" s="463">
        <v>4</v>
      </c>
      <c r="K49" s="534">
        <v>50</v>
      </c>
      <c r="L49" s="462">
        <f t="shared" si="2"/>
        <v>1760</v>
      </c>
      <c r="M49" s="462">
        <v>1510</v>
      </c>
      <c r="N49" s="462">
        <v>250</v>
      </c>
      <c r="O49" s="462">
        <f t="shared" si="3"/>
        <v>4023.4</v>
      </c>
      <c r="P49" s="488">
        <f t="shared" si="4"/>
        <v>1234</v>
      </c>
      <c r="Q49" s="489">
        <f t="shared" si="5"/>
        <v>1217.0958904109589</v>
      </c>
      <c r="R49" s="489">
        <f t="shared" si="6"/>
        <v>65.753424657534239</v>
      </c>
      <c r="S49" s="490">
        <f t="shared" si="7"/>
        <v>15808</v>
      </c>
      <c r="T49" s="490">
        <f t="shared" si="8"/>
        <v>18324.849315068492</v>
      </c>
      <c r="U49" s="491">
        <f t="shared" si="9"/>
        <v>182.26</v>
      </c>
      <c r="V49" s="498">
        <f>(O49-N49)*11%</f>
        <v>415.07400000000001</v>
      </c>
      <c r="W49" s="498">
        <v>10</v>
      </c>
      <c r="X49" s="498"/>
      <c r="Y49" s="498"/>
      <c r="Z49" s="462">
        <f t="shared" si="10"/>
        <v>607.33400000000006</v>
      </c>
      <c r="AA49" s="462">
        <f t="shared" si="11"/>
        <v>3416.0659999999998</v>
      </c>
      <c r="AB49" s="489">
        <v>1000</v>
      </c>
      <c r="AE49"/>
      <c r="AF49"/>
      <c r="AG49"/>
    </row>
    <row r="50" spans="1:33" s="507" customFormat="1">
      <c r="A50" s="456">
        <v>46</v>
      </c>
      <c r="B50" s="466" t="s">
        <v>1991</v>
      </c>
      <c r="C50" s="497">
        <v>9901443404</v>
      </c>
      <c r="D50" s="459" t="s">
        <v>1992</v>
      </c>
      <c r="E50" s="460" t="s">
        <v>72</v>
      </c>
      <c r="F50" s="461">
        <v>31</v>
      </c>
      <c r="G50" s="498">
        <v>71.400000000000006</v>
      </c>
      <c r="H50" s="462">
        <f t="shared" si="0"/>
        <v>2213.4</v>
      </c>
      <c r="I50" s="462">
        <f t="shared" si="1"/>
        <v>8568</v>
      </c>
      <c r="J50" s="463">
        <v>4</v>
      </c>
      <c r="K50" s="534">
        <v>75</v>
      </c>
      <c r="L50" s="462">
        <f t="shared" si="2"/>
        <v>1760</v>
      </c>
      <c r="M50" s="462">
        <v>1510</v>
      </c>
      <c r="N50" s="462">
        <v>250</v>
      </c>
      <c r="O50" s="462">
        <f t="shared" si="3"/>
        <v>4048.4</v>
      </c>
      <c r="P50" s="488">
        <f t="shared" si="4"/>
        <v>1242.3333333333333</v>
      </c>
      <c r="Q50" s="489">
        <f t="shared" si="5"/>
        <v>1225.3150684931506</v>
      </c>
      <c r="R50" s="489">
        <f t="shared" si="6"/>
        <v>65.753424657534239</v>
      </c>
      <c r="S50" s="490">
        <f t="shared" si="7"/>
        <v>15908</v>
      </c>
      <c r="T50" s="490">
        <f t="shared" si="8"/>
        <v>18441.401826484016</v>
      </c>
      <c r="U50" s="491">
        <f t="shared" si="9"/>
        <v>183.46</v>
      </c>
      <c r="V50" s="498"/>
      <c r="W50" s="498">
        <v>10</v>
      </c>
      <c r="X50" s="498"/>
      <c r="Y50" s="498">
        <v>1104.03</v>
      </c>
      <c r="Z50" s="462">
        <f t="shared" si="10"/>
        <v>1297.49</v>
      </c>
      <c r="AA50" s="462">
        <f t="shared" si="11"/>
        <v>2750.91</v>
      </c>
      <c r="AB50" s="489">
        <v>1000</v>
      </c>
      <c r="AE50"/>
      <c r="AF50"/>
      <c r="AG50"/>
    </row>
    <row r="51" spans="1:33" s="507" customFormat="1">
      <c r="A51" s="456">
        <v>47</v>
      </c>
      <c r="B51" s="466" t="s">
        <v>1993</v>
      </c>
      <c r="C51" s="497">
        <v>9901443338</v>
      </c>
      <c r="D51" s="459" t="s">
        <v>1994</v>
      </c>
      <c r="E51" s="460" t="s">
        <v>44</v>
      </c>
      <c r="F51" s="461">
        <v>31</v>
      </c>
      <c r="G51" s="498">
        <v>72.540000000000006</v>
      </c>
      <c r="H51" s="462">
        <f t="shared" si="0"/>
        <v>2248.7400000000002</v>
      </c>
      <c r="I51" s="462">
        <f t="shared" si="1"/>
        <v>8704.8000000000011</v>
      </c>
      <c r="J51" s="463">
        <v>4</v>
      </c>
      <c r="K51" s="534">
        <v>75</v>
      </c>
      <c r="L51" s="462">
        <f t="shared" si="2"/>
        <v>1760</v>
      </c>
      <c r="M51" s="462">
        <v>1510</v>
      </c>
      <c r="N51" s="462">
        <v>250</v>
      </c>
      <c r="O51" s="462">
        <f t="shared" si="3"/>
        <v>4083.7400000000002</v>
      </c>
      <c r="P51" s="488">
        <f t="shared" si="4"/>
        <v>1253.7333333333333</v>
      </c>
      <c r="Q51" s="489">
        <f t="shared" si="5"/>
        <v>1236.5589041095891</v>
      </c>
      <c r="R51" s="489">
        <f t="shared" si="6"/>
        <v>65.753424657534239</v>
      </c>
      <c r="S51" s="490">
        <f t="shared" si="7"/>
        <v>16044.800000000001</v>
      </c>
      <c r="T51" s="490">
        <f t="shared" si="8"/>
        <v>18600.845662100459</v>
      </c>
      <c r="U51" s="491">
        <f t="shared" si="9"/>
        <v>185.17</v>
      </c>
      <c r="V51" s="498"/>
      <c r="W51" s="498">
        <v>10</v>
      </c>
      <c r="X51" s="498"/>
      <c r="Y51" s="498">
        <v>613.51</v>
      </c>
      <c r="Z51" s="462">
        <f t="shared" si="10"/>
        <v>808.68</v>
      </c>
      <c r="AA51" s="462">
        <f t="shared" si="11"/>
        <v>3275.0600000000004</v>
      </c>
      <c r="AB51" s="489">
        <v>1000</v>
      </c>
      <c r="AE51"/>
      <c r="AF51"/>
      <c r="AG51"/>
    </row>
    <row r="52" spans="1:33" s="507" customFormat="1">
      <c r="A52" s="456">
        <v>48</v>
      </c>
      <c r="B52" s="457" t="s">
        <v>1995</v>
      </c>
      <c r="C52" s="497">
        <v>9901443407</v>
      </c>
      <c r="D52" s="459" t="s">
        <v>1996</v>
      </c>
      <c r="E52" s="460" t="s">
        <v>72</v>
      </c>
      <c r="F52" s="461">
        <v>31</v>
      </c>
      <c r="G52" s="498">
        <v>71.400000000000006</v>
      </c>
      <c r="H52" s="462">
        <f t="shared" si="0"/>
        <v>2213.4</v>
      </c>
      <c r="I52" s="462">
        <f t="shared" si="1"/>
        <v>8568</v>
      </c>
      <c r="J52" s="463">
        <v>4</v>
      </c>
      <c r="K52" s="468">
        <v>50</v>
      </c>
      <c r="L52" s="462">
        <f t="shared" si="2"/>
        <v>1760</v>
      </c>
      <c r="M52" s="462">
        <v>1510</v>
      </c>
      <c r="N52" s="462">
        <v>250</v>
      </c>
      <c r="O52" s="462">
        <f t="shared" si="3"/>
        <v>4023.4</v>
      </c>
      <c r="P52" s="488">
        <f t="shared" si="4"/>
        <v>1234</v>
      </c>
      <c r="Q52" s="489">
        <f t="shared" si="5"/>
        <v>1217.0958904109589</v>
      </c>
      <c r="R52" s="489">
        <f t="shared" si="6"/>
        <v>65.753424657534239</v>
      </c>
      <c r="S52" s="490">
        <f t="shared" si="7"/>
        <v>15808</v>
      </c>
      <c r="T52" s="490">
        <f t="shared" si="8"/>
        <v>18324.849315068492</v>
      </c>
      <c r="U52" s="491">
        <f t="shared" si="9"/>
        <v>182.26</v>
      </c>
      <c r="V52" s="498"/>
      <c r="W52" s="498">
        <v>10</v>
      </c>
      <c r="X52" s="498"/>
      <c r="Y52" s="498"/>
      <c r="Z52" s="462">
        <f t="shared" si="10"/>
        <v>192.26</v>
      </c>
      <c r="AA52" s="462">
        <f t="shared" si="11"/>
        <v>3831.1400000000003</v>
      </c>
      <c r="AB52" s="489">
        <v>1000</v>
      </c>
      <c r="AD52" s="507" t="s">
        <v>569</v>
      </c>
      <c r="AE52"/>
      <c r="AF52"/>
      <c r="AG52"/>
    </row>
    <row r="53" spans="1:33" s="507" customFormat="1">
      <c r="A53" s="456">
        <v>49</v>
      </c>
      <c r="B53" s="466" t="s">
        <v>1997</v>
      </c>
      <c r="C53" s="497">
        <v>9901443867</v>
      </c>
      <c r="D53" s="459" t="s">
        <v>1998</v>
      </c>
      <c r="E53" s="460" t="s">
        <v>52</v>
      </c>
      <c r="F53" s="461">
        <v>31</v>
      </c>
      <c r="G53" s="498">
        <v>72.540000000000006</v>
      </c>
      <c r="H53" s="462">
        <f t="shared" si="0"/>
        <v>2248.7400000000002</v>
      </c>
      <c r="I53" s="462">
        <f t="shared" si="1"/>
        <v>8704.8000000000011</v>
      </c>
      <c r="J53" s="463">
        <v>4</v>
      </c>
      <c r="K53" s="534"/>
      <c r="L53" s="462">
        <f t="shared" si="2"/>
        <v>1760</v>
      </c>
      <c r="M53" s="462">
        <v>1510</v>
      </c>
      <c r="N53" s="462">
        <v>250</v>
      </c>
      <c r="O53" s="462">
        <f t="shared" si="3"/>
        <v>4008.7400000000002</v>
      </c>
      <c r="P53" s="488">
        <f t="shared" si="4"/>
        <v>1228.7333333333333</v>
      </c>
      <c r="Q53" s="489">
        <f t="shared" si="5"/>
        <v>1211.9013698630138</v>
      </c>
      <c r="R53" s="489">
        <f t="shared" si="6"/>
        <v>65.753424657534239</v>
      </c>
      <c r="S53" s="490">
        <f t="shared" si="7"/>
        <v>15744.800000000001</v>
      </c>
      <c r="T53" s="490">
        <f t="shared" si="8"/>
        <v>18251.188127853882</v>
      </c>
      <c r="U53" s="491">
        <f t="shared" si="9"/>
        <v>181.55</v>
      </c>
      <c r="V53" s="498">
        <f>(O53-N53)*11%</f>
        <v>413.46140000000003</v>
      </c>
      <c r="W53" s="498"/>
      <c r="X53" s="498"/>
      <c r="Y53" s="498"/>
      <c r="Z53" s="462">
        <f t="shared" si="10"/>
        <v>595.01140000000009</v>
      </c>
      <c r="AA53" s="462">
        <f t="shared" si="11"/>
        <v>3413.7286000000004</v>
      </c>
      <c r="AB53" s="489">
        <v>1000</v>
      </c>
      <c r="AE53"/>
      <c r="AF53"/>
      <c r="AG53"/>
    </row>
    <row r="54" spans="1:33" s="507" customFormat="1">
      <c r="A54" s="456">
        <v>50</v>
      </c>
      <c r="B54" s="466" t="s">
        <v>1999</v>
      </c>
      <c r="C54" s="497">
        <v>9901443953</v>
      </c>
      <c r="D54" s="459" t="s">
        <v>2000</v>
      </c>
      <c r="E54" s="460" t="s">
        <v>44</v>
      </c>
      <c r="F54" s="461">
        <v>31</v>
      </c>
      <c r="G54" s="498">
        <v>72.540000000000006</v>
      </c>
      <c r="H54" s="462">
        <f t="shared" si="0"/>
        <v>2248.7400000000002</v>
      </c>
      <c r="I54" s="462">
        <f t="shared" si="1"/>
        <v>8704.8000000000011</v>
      </c>
      <c r="J54" s="463">
        <v>4</v>
      </c>
      <c r="K54" s="534">
        <v>75</v>
      </c>
      <c r="L54" s="462">
        <f t="shared" si="2"/>
        <v>1760</v>
      </c>
      <c r="M54" s="462">
        <v>1510</v>
      </c>
      <c r="N54" s="462">
        <v>250</v>
      </c>
      <c r="O54" s="462">
        <f t="shared" si="3"/>
        <v>4083.7400000000002</v>
      </c>
      <c r="P54" s="488">
        <f t="shared" si="4"/>
        <v>1253.7333333333333</v>
      </c>
      <c r="Q54" s="489">
        <f t="shared" si="5"/>
        <v>1236.5589041095891</v>
      </c>
      <c r="R54" s="489">
        <f t="shared" si="6"/>
        <v>65.753424657534239</v>
      </c>
      <c r="S54" s="490">
        <f t="shared" si="7"/>
        <v>16044.800000000001</v>
      </c>
      <c r="T54" s="490">
        <f t="shared" si="8"/>
        <v>18600.845662100459</v>
      </c>
      <c r="U54" s="491">
        <f t="shared" si="9"/>
        <v>185.17</v>
      </c>
      <c r="V54" s="498"/>
      <c r="W54" s="498">
        <v>10</v>
      </c>
      <c r="X54" s="498"/>
      <c r="Y54" s="498"/>
      <c r="Z54" s="462">
        <f t="shared" si="10"/>
        <v>195.17</v>
      </c>
      <c r="AA54" s="462">
        <f t="shared" si="11"/>
        <v>3888.57</v>
      </c>
      <c r="AB54" s="489">
        <v>1000</v>
      </c>
      <c r="AE54"/>
      <c r="AF54"/>
      <c r="AG54"/>
    </row>
    <row r="55" spans="1:33" s="507" customFormat="1">
      <c r="A55" s="456">
        <v>51</v>
      </c>
      <c r="B55" s="466" t="s">
        <v>2001</v>
      </c>
      <c r="C55" s="497">
        <v>9901443337</v>
      </c>
      <c r="D55" s="459" t="s">
        <v>2002</v>
      </c>
      <c r="E55" s="460" t="s">
        <v>71</v>
      </c>
      <c r="F55" s="461">
        <v>31</v>
      </c>
      <c r="G55" s="498">
        <v>73.59</v>
      </c>
      <c r="H55" s="462">
        <f t="shared" si="0"/>
        <v>2281.29</v>
      </c>
      <c r="I55" s="462">
        <f t="shared" si="1"/>
        <v>8830.8000000000011</v>
      </c>
      <c r="J55" s="463">
        <v>4</v>
      </c>
      <c r="K55" s="534">
        <v>75</v>
      </c>
      <c r="L55" s="462">
        <f t="shared" si="2"/>
        <v>1760</v>
      </c>
      <c r="M55" s="462">
        <v>1510</v>
      </c>
      <c r="N55" s="462">
        <v>250</v>
      </c>
      <c r="O55" s="462">
        <f t="shared" si="3"/>
        <v>4116.29</v>
      </c>
      <c r="P55" s="488">
        <f t="shared" si="4"/>
        <v>1264.2333333333333</v>
      </c>
      <c r="Q55" s="489">
        <f t="shared" si="5"/>
        <v>1246.9150684931508</v>
      </c>
      <c r="R55" s="489">
        <f t="shared" si="6"/>
        <v>65.753424657534239</v>
      </c>
      <c r="S55" s="490">
        <f t="shared" si="7"/>
        <v>16170.800000000001</v>
      </c>
      <c r="T55" s="490">
        <f t="shared" si="8"/>
        <v>18747.701826484019</v>
      </c>
      <c r="U55" s="491">
        <f t="shared" si="9"/>
        <v>186.74</v>
      </c>
      <c r="V55" s="498">
        <f>(O55-N55)*11%</f>
        <v>425.2919</v>
      </c>
      <c r="W55" s="498">
        <v>10</v>
      </c>
      <c r="X55" s="498"/>
      <c r="Y55" s="498"/>
      <c r="Z55" s="462">
        <f t="shared" si="10"/>
        <v>622.03189999999995</v>
      </c>
      <c r="AA55" s="462">
        <f t="shared" si="11"/>
        <v>3494.2581</v>
      </c>
      <c r="AB55" s="489">
        <v>1000</v>
      </c>
      <c r="AE55"/>
      <c r="AF55"/>
      <c r="AG55"/>
    </row>
    <row r="56" spans="1:33" s="507" customFormat="1">
      <c r="A56" s="456">
        <v>52</v>
      </c>
      <c r="B56" s="457" t="s">
        <v>2003</v>
      </c>
      <c r="C56" s="497">
        <v>9901443293</v>
      </c>
      <c r="D56" s="459" t="s">
        <v>2004</v>
      </c>
      <c r="E56" s="460" t="s">
        <v>44</v>
      </c>
      <c r="F56" s="461">
        <v>31</v>
      </c>
      <c r="G56" s="498">
        <v>72.540000000000006</v>
      </c>
      <c r="H56" s="462">
        <f t="shared" si="0"/>
        <v>2248.7400000000002</v>
      </c>
      <c r="I56" s="462">
        <f t="shared" si="1"/>
        <v>8704.8000000000011</v>
      </c>
      <c r="J56" s="463">
        <v>4</v>
      </c>
      <c r="K56" s="534">
        <v>75</v>
      </c>
      <c r="L56" s="462">
        <f t="shared" si="2"/>
        <v>1760</v>
      </c>
      <c r="M56" s="462">
        <v>1510</v>
      </c>
      <c r="N56" s="462">
        <v>250</v>
      </c>
      <c r="O56" s="462">
        <f t="shared" si="3"/>
        <v>4083.7400000000002</v>
      </c>
      <c r="P56" s="488">
        <f t="shared" si="4"/>
        <v>1253.7333333333333</v>
      </c>
      <c r="Q56" s="489">
        <f t="shared" si="5"/>
        <v>1236.5589041095891</v>
      </c>
      <c r="R56" s="489">
        <f t="shared" si="6"/>
        <v>65.753424657534239</v>
      </c>
      <c r="S56" s="490">
        <f t="shared" si="7"/>
        <v>16044.800000000001</v>
      </c>
      <c r="T56" s="490">
        <f t="shared" si="8"/>
        <v>18600.845662100459</v>
      </c>
      <c r="U56" s="491">
        <f t="shared" si="9"/>
        <v>185.17</v>
      </c>
      <c r="V56" s="498"/>
      <c r="W56" s="498">
        <v>10</v>
      </c>
      <c r="X56" s="498"/>
      <c r="Y56" s="498"/>
      <c r="Z56" s="462">
        <f t="shared" si="10"/>
        <v>195.17</v>
      </c>
      <c r="AA56" s="462">
        <f t="shared" si="11"/>
        <v>3888.57</v>
      </c>
      <c r="AB56" s="489">
        <v>1000</v>
      </c>
      <c r="AE56"/>
      <c r="AF56"/>
      <c r="AG56"/>
    </row>
    <row r="57" spans="1:33" s="507" customFormat="1">
      <c r="A57" s="456">
        <v>53</v>
      </c>
      <c r="B57" s="457" t="s">
        <v>2005</v>
      </c>
      <c r="C57" s="497">
        <v>9901443490</v>
      </c>
      <c r="D57" s="459" t="s">
        <v>2006</v>
      </c>
      <c r="E57" s="460" t="s">
        <v>38</v>
      </c>
      <c r="F57" s="461">
        <v>31</v>
      </c>
      <c r="G57" s="498">
        <v>71.400000000000006</v>
      </c>
      <c r="H57" s="462">
        <f t="shared" si="0"/>
        <v>2213.4</v>
      </c>
      <c r="I57" s="462">
        <f t="shared" si="1"/>
        <v>8568</v>
      </c>
      <c r="J57" s="463">
        <v>4</v>
      </c>
      <c r="K57" s="534">
        <v>50</v>
      </c>
      <c r="L57" s="462">
        <f t="shared" si="2"/>
        <v>1760</v>
      </c>
      <c r="M57" s="462">
        <v>1510</v>
      </c>
      <c r="N57" s="462">
        <v>250</v>
      </c>
      <c r="O57" s="462">
        <f t="shared" si="3"/>
        <v>4023.4</v>
      </c>
      <c r="P57" s="488">
        <f t="shared" si="4"/>
        <v>1234</v>
      </c>
      <c r="Q57" s="489">
        <f t="shared" si="5"/>
        <v>1217.0958904109589</v>
      </c>
      <c r="R57" s="489">
        <f t="shared" si="6"/>
        <v>65.753424657534239</v>
      </c>
      <c r="S57" s="490">
        <f t="shared" si="7"/>
        <v>15808</v>
      </c>
      <c r="T57" s="490">
        <f t="shared" si="8"/>
        <v>18324.849315068492</v>
      </c>
      <c r="U57" s="491">
        <f t="shared" si="9"/>
        <v>182.26</v>
      </c>
      <c r="V57" s="498">
        <f>(O57-N57)*11%</f>
        <v>415.07400000000001</v>
      </c>
      <c r="W57" s="498">
        <v>10</v>
      </c>
      <c r="X57" s="498"/>
      <c r="Y57" s="498"/>
      <c r="Z57" s="462">
        <f t="shared" si="10"/>
        <v>607.33400000000006</v>
      </c>
      <c r="AA57" s="462">
        <f t="shared" si="11"/>
        <v>3416.0659999999998</v>
      </c>
      <c r="AB57" s="489">
        <v>1000</v>
      </c>
      <c r="AE57"/>
      <c r="AF57"/>
      <c r="AG57"/>
    </row>
    <row r="58" spans="1:33" s="507" customFormat="1">
      <c r="A58" s="456">
        <v>54</v>
      </c>
      <c r="B58" s="466" t="s">
        <v>2007</v>
      </c>
      <c r="C58" s="497">
        <v>990104139</v>
      </c>
      <c r="D58" s="459" t="s">
        <v>2008</v>
      </c>
      <c r="E58" s="460" t="s">
        <v>37</v>
      </c>
      <c r="F58" s="461">
        <v>31</v>
      </c>
      <c r="G58" s="498">
        <v>80.86</v>
      </c>
      <c r="H58" s="462">
        <f t="shared" si="0"/>
        <v>2506.66</v>
      </c>
      <c r="I58" s="462">
        <f t="shared" si="1"/>
        <v>9703.2000000000007</v>
      </c>
      <c r="J58" s="463">
        <v>4</v>
      </c>
      <c r="K58" s="533">
        <v>35</v>
      </c>
      <c r="L58" s="462">
        <f t="shared" si="2"/>
        <v>1760</v>
      </c>
      <c r="M58" s="462">
        <v>1510</v>
      </c>
      <c r="N58" s="462">
        <v>250</v>
      </c>
      <c r="O58" s="462">
        <f t="shared" si="3"/>
        <v>4301.66</v>
      </c>
      <c r="P58" s="488">
        <f t="shared" si="4"/>
        <v>1323.6000000000001</v>
      </c>
      <c r="Q58" s="489">
        <f t="shared" si="5"/>
        <v>1305.4684931506852</v>
      </c>
      <c r="R58" s="489">
        <f t="shared" si="6"/>
        <v>65.753424657534239</v>
      </c>
      <c r="S58" s="490">
        <f t="shared" si="7"/>
        <v>16883.2</v>
      </c>
      <c r="T58" s="490">
        <f t="shared" si="8"/>
        <v>19578.021917808219</v>
      </c>
      <c r="U58" s="491">
        <f t="shared" si="9"/>
        <v>195.7</v>
      </c>
      <c r="V58" s="498"/>
      <c r="W58" s="498">
        <v>10</v>
      </c>
      <c r="X58" s="498"/>
      <c r="Y58" s="498">
        <v>342.13</v>
      </c>
      <c r="Z58" s="462">
        <f t="shared" si="10"/>
        <v>547.82999999999993</v>
      </c>
      <c r="AA58" s="462">
        <f t="shared" si="11"/>
        <v>3753.83</v>
      </c>
      <c r="AB58" s="489">
        <v>1000</v>
      </c>
      <c r="AE58"/>
      <c r="AF58"/>
      <c r="AG58"/>
    </row>
    <row r="59" spans="1:33" s="507" customFormat="1" ht="12">
      <c r="A59" s="456">
        <v>55</v>
      </c>
      <c r="B59" s="466" t="s">
        <v>2009</v>
      </c>
      <c r="C59" s="497">
        <v>9901442279</v>
      </c>
      <c r="D59" s="459" t="s">
        <v>2010</v>
      </c>
      <c r="E59" s="460" t="s">
        <v>72</v>
      </c>
      <c r="F59" s="461">
        <v>31</v>
      </c>
      <c r="G59" s="498">
        <v>71.400000000000006</v>
      </c>
      <c r="H59" s="462">
        <f t="shared" si="0"/>
        <v>2213.4</v>
      </c>
      <c r="I59" s="462">
        <f t="shared" si="1"/>
        <v>8568</v>
      </c>
      <c r="J59" s="463">
        <v>4</v>
      </c>
      <c r="K59" s="534">
        <v>75</v>
      </c>
      <c r="L59" s="462">
        <f t="shared" si="2"/>
        <v>1760</v>
      </c>
      <c r="M59" s="462">
        <v>1510</v>
      </c>
      <c r="N59" s="462">
        <v>250</v>
      </c>
      <c r="O59" s="462">
        <f t="shared" si="3"/>
        <v>4048.4</v>
      </c>
      <c r="P59" s="488">
        <f t="shared" si="4"/>
        <v>1242.3333333333333</v>
      </c>
      <c r="Q59" s="489">
        <f t="shared" si="5"/>
        <v>1225.3150684931506</v>
      </c>
      <c r="R59" s="489">
        <f t="shared" si="6"/>
        <v>65.753424657534239</v>
      </c>
      <c r="S59" s="490">
        <f t="shared" si="7"/>
        <v>15908</v>
      </c>
      <c r="T59" s="490">
        <f t="shared" si="8"/>
        <v>18441.401826484016</v>
      </c>
      <c r="U59" s="491">
        <f t="shared" si="9"/>
        <v>183.46</v>
      </c>
      <c r="V59" s="498"/>
      <c r="W59" s="498">
        <v>10</v>
      </c>
      <c r="X59" s="498"/>
      <c r="Y59" s="498"/>
      <c r="Z59" s="462">
        <f t="shared" si="10"/>
        <v>193.46</v>
      </c>
      <c r="AA59" s="462">
        <f t="shared" si="11"/>
        <v>3854.94</v>
      </c>
      <c r="AB59" s="489">
        <v>1000</v>
      </c>
    </row>
    <row r="60" spans="1:33" s="507" customFormat="1" ht="12">
      <c r="A60" s="456">
        <v>56</v>
      </c>
      <c r="B60" s="457" t="s">
        <v>2011</v>
      </c>
      <c r="C60" s="497">
        <v>9901442264</v>
      </c>
      <c r="D60" s="459" t="s">
        <v>2012</v>
      </c>
      <c r="E60" s="460" t="s">
        <v>44</v>
      </c>
      <c r="F60" s="461">
        <v>31</v>
      </c>
      <c r="G60" s="498">
        <v>72.540000000000006</v>
      </c>
      <c r="H60" s="462">
        <f t="shared" si="0"/>
        <v>2248.7400000000002</v>
      </c>
      <c r="I60" s="462">
        <f t="shared" si="1"/>
        <v>8704.8000000000011</v>
      </c>
      <c r="J60" s="463">
        <v>4</v>
      </c>
      <c r="K60" s="534">
        <v>75</v>
      </c>
      <c r="L60" s="462">
        <f t="shared" si="2"/>
        <v>1760</v>
      </c>
      <c r="M60" s="462">
        <v>1510</v>
      </c>
      <c r="N60" s="462">
        <v>250</v>
      </c>
      <c r="O60" s="462">
        <f t="shared" si="3"/>
        <v>4083.7400000000002</v>
      </c>
      <c r="P60" s="488">
        <f t="shared" si="4"/>
        <v>1253.7333333333333</v>
      </c>
      <c r="Q60" s="489">
        <f t="shared" si="5"/>
        <v>1236.5589041095891</v>
      </c>
      <c r="R60" s="489">
        <f t="shared" si="6"/>
        <v>65.753424657534239</v>
      </c>
      <c r="S60" s="490">
        <f t="shared" si="7"/>
        <v>16044.800000000001</v>
      </c>
      <c r="T60" s="490">
        <f t="shared" si="8"/>
        <v>18600.845662100459</v>
      </c>
      <c r="U60" s="491">
        <f t="shared" si="9"/>
        <v>185.17</v>
      </c>
      <c r="V60" s="498"/>
      <c r="W60" s="498">
        <v>10</v>
      </c>
      <c r="X60" s="498"/>
      <c r="Y60" s="498"/>
      <c r="Z60" s="462">
        <f t="shared" si="10"/>
        <v>195.17</v>
      </c>
      <c r="AA60" s="462">
        <f t="shared" si="11"/>
        <v>3888.57</v>
      </c>
      <c r="AB60" s="489">
        <v>1000</v>
      </c>
    </row>
    <row r="61" spans="1:33" s="507" customFormat="1" ht="12">
      <c r="A61" s="456">
        <v>57</v>
      </c>
      <c r="B61" s="466" t="s">
        <v>2013</v>
      </c>
      <c r="C61" s="497">
        <v>9901443437</v>
      </c>
      <c r="D61" s="459" t="s">
        <v>2014</v>
      </c>
      <c r="E61" s="460" t="s">
        <v>39</v>
      </c>
      <c r="F61" s="461">
        <v>31</v>
      </c>
      <c r="G61" s="498">
        <v>78.25</v>
      </c>
      <c r="H61" s="462">
        <f t="shared" si="0"/>
        <v>2425.75</v>
      </c>
      <c r="I61" s="462">
        <f t="shared" si="1"/>
        <v>9390</v>
      </c>
      <c r="J61" s="463">
        <v>4</v>
      </c>
      <c r="K61" s="534">
        <v>50</v>
      </c>
      <c r="L61" s="462">
        <f t="shared" si="2"/>
        <v>1760</v>
      </c>
      <c r="M61" s="462">
        <v>1510</v>
      </c>
      <c r="N61" s="462">
        <v>250</v>
      </c>
      <c r="O61" s="462">
        <f t="shared" si="3"/>
        <v>4235.75</v>
      </c>
      <c r="P61" s="488">
        <f t="shared" si="4"/>
        <v>1302.5</v>
      </c>
      <c r="Q61" s="489">
        <f t="shared" si="5"/>
        <v>1284.6575342465753</v>
      </c>
      <c r="R61" s="489">
        <f t="shared" si="6"/>
        <v>65.753424657534239</v>
      </c>
      <c r="S61" s="490">
        <f t="shared" si="7"/>
        <v>16630</v>
      </c>
      <c r="T61" s="490">
        <f t="shared" si="8"/>
        <v>19282.910958904111</v>
      </c>
      <c r="U61" s="491">
        <f t="shared" si="9"/>
        <v>192.51</v>
      </c>
      <c r="V61" s="498">
        <f>(O61-N61)*11%</f>
        <v>438.4325</v>
      </c>
      <c r="W61" s="498">
        <v>10</v>
      </c>
      <c r="X61" s="498"/>
      <c r="Y61" s="498"/>
      <c r="Z61" s="462">
        <f t="shared" si="10"/>
        <v>640.9425</v>
      </c>
      <c r="AA61" s="462">
        <f t="shared" si="11"/>
        <v>3594.8074999999999</v>
      </c>
      <c r="AB61" s="489">
        <v>1000</v>
      </c>
    </row>
    <row r="62" spans="1:33" s="507" customFormat="1" ht="12">
      <c r="A62" s="456">
        <v>58</v>
      </c>
      <c r="B62" s="457" t="s">
        <v>2015</v>
      </c>
      <c r="C62" s="497">
        <v>9901442263</v>
      </c>
      <c r="D62" s="459" t="s">
        <v>2016</v>
      </c>
      <c r="E62" s="460" t="s">
        <v>72</v>
      </c>
      <c r="F62" s="461">
        <v>31</v>
      </c>
      <c r="G62" s="498">
        <v>71.400000000000006</v>
      </c>
      <c r="H62" s="462">
        <f t="shared" si="0"/>
        <v>2213.4</v>
      </c>
      <c r="I62" s="462">
        <f t="shared" si="1"/>
        <v>8568</v>
      </c>
      <c r="J62" s="463">
        <v>4</v>
      </c>
      <c r="K62" s="534">
        <v>75</v>
      </c>
      <c r="L62" s="462">
        <f t="shared" si="2"/>
        <v>1760</v>
      </c>
      <c r="M62" s="462">
        <v>1510</v>
      </c>
      <c r="N62" s="462">
        <v>250</v>
      </c>
      <c r="O62" s="462">
        <f t="shared" si="3"/>
        <v>4048.4</v>
      </c>
      <c r="P62" s="488">
        <f t="shared" si="4"/>
        <v>1242.3333333333333</v>
      </c>
      <c r="Q62" s="489">
        <f t="shared" si="5"/>
        <v>1225.3150684931506</v>
      </c>
      <c r="R62" s="489">
        <f t="shared" si="6"/>
        <v>65.753424657534239</v>
      </c>
      <c r="S62" s="490">
        <f t="shared" si="7"/>
        <v>15908</v>
      </c>
      <c r="T62" s="490">
        <f t="shared" si="8"/>
        <v>18441.401826484016</v>
      </c>
      <c r="U62" s="491">
        <f t="shared" si="9"/>
        <v>183.46</v>
      </c>
      <c r="V62" s="498"/>
      <c r="W62" s="498">
        <v>10</v>
      </c>
      <c r="X62" s="498"/>
      <c r="Y62" s="498"/>
      <c r="Z62" s="462">
        <f t="shared" si="10"/>
        <v>193.46</v>
      </c>
      <c r="AA62" s="462">
        <f t="shared" si="11"/>
        <v>3854.94</v>
      </c>
      <c r="AB62" s="489">
        <v>1000</v>
      </c>
    </row>
    <row r="63" spans="1:33" s="507" customFormat="1" ht="12">
      <c r="A63" s="456">
        <v>59</v>
      </c>
      <c r="B63" s="466" t="s">
        <v>2017</v>
      </c>
      <c r="C63" s="497">
        <v>9901442311</v>
      </c>
      <c r="D63" s="459" t="s">
        <v>2018</v>
      </c>
      <c r="E63" s="460" t="s">
        <v>44</v>
      </c>
      <c r="F63" s="461">
        <v>31</v>
      </c>
      <c r="G63" s="498">
        <v>72.540000000000006</v>
      </c>
      <c r="H63" s="462">
        <f t="shared" si="0"/>
        <v>2248.7400000000002</v>
      </c>
      <c r="I63" s="462">
        <f t="shared" si="1"/>
        <v>8704.8000000000011</v>
      </c>
      <c r="J63" s="463">
        <v>4</v>
      </c>
      <c r="K63" s="534">
        <v>75</v>
      </c>
      <c r="L63" s="462">
        <f t="shared" si="2"/>
        <v>1760</v>
      </c>
      <c r="M63" s="462">
        <v>1510</v>
      </c>
      <c r="N63" s="462">
        <v>250</v>
      </c>
      <c r="O63" s="462">
        <f t="shared" si="3"/>
        <v>4083.7400000000002</v>
      </c>
      <c r="P63" s="488">
        <f t="shared" si="4"/>
        <v>1253.7333333333333</v>
      </c>
      <c r="Q63" s="489">
        <f t="shared" si="5"/>
        <v>1236.5589041095891</v>
      </c>
      <c r="R63" s="489">
        <f t="shared" si="6"/>
        <v>65.753424657534239</v>
      </c>
      <c r="S63" s="490">
        <f t="shared" si="7"/>
        <v>16044.800000000001</v>
      </c>
      <c r="T63" s="490">
        <f t="shared" si="8"/>
        <v>18600.845662100459</v>
      </c>
      <c r="U63" s="491">
        <f t="shared" si="9"/>
        <v>185.17</v>
      </c>
      <c r="V63" s="498"/>
      <c r="W63" s="498">
        <v>10</v>
      </c>
      <c r="X63" s="498"/>
      <c r="Y63" s="498"/>
      <c r="Z63" s="462">
        <f t="shared" si="10"/>
        <v>195.17</v>
      </c>
      <c r="AA63" s="462">
        <f t="shared" si="11"/>
        <v>3888.57</v>
      </c>
      <c r="AB63" s="489">
        <v>1000</v>
      </c>
    </row>
    <row r="64" spans="1:33" s="507" customFormat="1" ht="12">
      <c r="A64" s="456">
        <v>60</v>
      </c>
      <c r="B64" s="466" t="s">
        <v>2019</v>
      </c>
      <c r="C64" s="497">
        <v>9901442292</v>
      </c>
      <c r="D64" s="459" t="s">
        <v>2020</v>
      </c>
      <c r="E64" s="460" t="s">
        <v>44</v>
      </c>
      <c r="F64" s="461">
        <v>31</v>
      </c>
      <c r="G64" s="498">
        <v>72.540000000000006</v>
      </c>
      <c r="H64" s="462">
        <f t="shared" si="0"/>
        <v>2248.7400000000002</v>
      </c>
      <c r="I64" s="462">
        <f t="shared" si="1"/>
        <v>8704.8000000000011</v>
      </c>
      <c r="J64" s="463">
        <v>4</v>
      </c>
      <c r="K64" s="534">
        <v>75</v>
      </c>
      <c r="L64" s="462">
        <f t="shared" si="2"/>
        <v>1760</v>
      </c>
      <c r="M64" s="462">
        <v>1510</v>
      </c>
      <c r="N64" s="462">
        <v>250</v>
      </c>
      <c r="O64" s="462">
        <f t="shared" si="3"/>
        <v>4083.7400000000002</v>
      </c>
      <c r="P64" s="488">
        <f t="shared" si="4"/>
        <v>1253.7333333333333</v>
      </c>
      <c r="Q64" s="489">
        <f t="shared" si="5"/>
        <v>1236.5589041095891</v>
      </c>
      <c r="R64" s="489">
        <f t="shared" si="6"/>
        <v>65.753424657534239</v>
      </c>
      <c r="S64" s="490">
        <f t="shared" si="7"/>
        <v>16044.800000000001</v>
      </c>
      <c r="T64" s="490">
        <f t="shared" si="8"/>
        <v>18600.845662100459</v>
      </c>
      <c r="U64" s="491">
        <f t="shared" si="9"/>
        <v>185.17</v>
      </c>
      <c r="V64" s="498"/>
      <c r="W64" s="498">
        <v>10</v>
      </c>
      <c r="X64" s="498"/>
      <c r="Y64" s="498"/>
      <c r="Z64" s="462">
        <f t="shared" si="10"/>
        <v>195.17</v>
      </c>
      <c r="AA64" s="462">
        <f t="shared" si="11"/>
        <v>3888.57</v>
      </c>
      <c r="AB64" s="489">
        <v>1000</v>
      </c>
    </row>
    <row r="65" spans="1:28" s="507" customFormat="1" ht="12">
      <c r="A65" s="456">
        <v>61</v>
      </c>
      <c r="B65" s="466" t="s">
        <v>2021</v>
      </c>
      <c r="C65" s="497">
        <v>9901443344</v>
      </c>
      <c r="D65" s="459" t="s">
        <v>2022</v>
      </c>
      <c r="E65" s="460" t="s">
        <v>72</v>
      </c>
      <c r="F65" s="461">
        <v>31</v>
      </c>
      <c r="G65" s="498">
        <v>71.400000000000006</v>
      </c>
      <c r="H65" s="462">
        <f t="shared" si="0"/>
        <v>2213.4</v>
      </c>
      <c r="I65" s="462">
        <f t="shared" si="1"/>
        <v>8568</v>
      </c>
      <c r="J65" s="463">
        <v>4</v>
      </c>
      <c r="K65" s="534">
        <v>75</v>
      </c>
      <c r="L65" s="462">
        <f t="shared" si="2"/>
        <v>1760</v>
      </c>
      <c r="M65" s="462">
        <v>1510</v>
      </c>
      <c r="N65" s="462">
        <v>250</v>
      </c>
      <c r="O65" s="462">
        <f t="shared" si="3"/>
        <v>4048.4</v>
      </c>
      <c r="P65" s="488">
        <f t="shared" si="4"/>
        <v>1242.3333333333333</v>
      </c>
      <c r="Q65" s="489">
        <f t="shared" si="5"/>
        <v>1225.3150684931506</v>
      </c>
      <c r="R65" s="489">
        <f t="shared" si="6"/>
        <v>65.753424657534239</v>
      </c>
      <c r="S65" s="490">
        <f t="shared" si="7"/>
        <v>15908</v>
      </c>
      <c r="T65" s="490">
        <f t="shared" si="8"/>
        <v>18441.401826484016</v>
      </c>
      <c r="U65" s="491">
        <f t="shared" si="9"/>
        <v>183.46</v>
      </c>
      <c r="V65" s="498">
        <f>(O65-N65)*11%</f>
        <v>417.82400000000001</v>
      </c>
      <c r="W65" s="498">
        <v>10</v>
      </c>
      <c r="X65" s="498"/>
      <c r="Y65" s="498"/>
      <c r="Z65" s="462">
        <f t="shared" si="10"/>
        <v>611.28399999999999</v>
      </c>
      <c r="AA65" s="462">
        <f t="shared" si="11"/>
        <v>3437.116</v>
      </c>
      <c r="AB65" s="489">
        <v>1000</v>
      </c>
    </row>
    <row r="66" spans="1:28" s="507" customFormat="1" ht="12">
      <c r="A66" s="456">
        <v>62</v>
      </c>
      <c r="B66" s="466" t="s">
        <v>2023</v>
      </c>
      <c r="C66" s="497">
        <v>9901443815</v>
      </c>
      <c r="D66" s="459" t="s">
        <v>2024</v>
      </c>
      <c r="E66" s="460" t="s">
        <v>44</v>
      </c>
      <c r="F66" s="461">
        <v>31</v>
      </c>
      <c r="G66" s="498">
        <v>72.540000000000006</v>
      </c>
      <c r="H66" s="462">
        <f t="shared" si="0"/>
        <v>2248.7400000000002</v>
      </c>
      <c r="I66" s="462">
        <f t="shared" si="1"/>
        <v>8704.8000000000011</v>
      </c>
      <c r="J66" s="463">
        <v>4</v>
      </c>
      <c r="K66" s="534">
        <v>75</v>
      </c>
      <c r="L66" s="462">
        <f t="shared" si="2"/>
        <v>1760</v>
      </c>
      <c r="M66" s="462">
        <v>1510</v>
      </c>
      <c r="N66" s="462">
        <v>250</v>
      </c>
      <c r="O66" s="462">
        <f t="shared" si="3"/>
        <v>4083.7400000000002</v>
      </c>
      <c r="P66" s="488">
        <f t="shared" si="4"/>
        <v>1253.7333333333333</v>
      </c>
      <c r="Q66" s="489">
        <f t="shared" si="5"/>
        <v>1236.5589041095891</v>
      </c>
      <c r="R66" s="489">
        <f t="shared" si="6"/>
        <v>65.753424657534239</v>
      </c>
      <c r="S66" s="490">
        <f t="shared" si="7"/>
        <v>16044.800000000001</v>
      </c>
      <c r="T66" s="490">
        <f t="shared" si="8"/>
        <v>18600.845662100459</v>
      </c>
      <c r="U66" s="491">
        <f t="shared" si="9"/>
        <v>185.17</v>
      </c>
      <c r="V66" s="498"/>
      <c r="W66" s="498">
        <v>10</v>
      </c>
      <c r="X66" s="498"/>
      <c r="Y66" s="498"/>
      <c r="Z66" s="462">
        <f t="shared" si="10"/>
        <v>195.17</v>
      </c>
      <c r="AA66" s="462">
        <f t="shared" si="11"/>
        <v>3888.57</v>
      </c>
      <c r="AB66" s="489">
        <v>1000</v>
      </c>
    </row>
    <row r="67" spans="1:28" s="507" customFormat="1" ht="12">
      <c r="A67" s="456">
        <v>63</v>
      </c>
      <c r="B67" s="457" t="s">
        <v>2025</v>
      </c>
      <c r="C67" s="497">
        <v>9901443748</v>
      </c>
      <c r="D67" s="459" t="s">
        <v>2026</v>
      </c>
      <c r="E67" s="460" t="s">
        <v>72</v>
      </c>
      <c r="F67" s="461">
        <v>31</v>
      </c>
      <c r="G67" s="498">
        <v>71.400000000000006</v>
      </c>
      <c r="H67" s="462">
        <f t="shared" si="0"/>
        <v>2213.4</v>
      </c>
      <c r="I67" s="462">
        <f t="shared" si="1"/>
        <v>8568</v>
      </c>
      <c r="J67" s="463">
        <v>4</v>
      </c>
      <c r="K67" s="534">
        <v>75</v>
      </c>
      <c r="L67" s="462">
        <f t="shared" si="2"/>
        <v>1760</v>
      </c>
      <c r="M67" s="462">
        <v>1510</v>
      </c>
      <c r="N67" s="462">
        <v>250</v>
      </c>
      <c r="O67" s="462">
        <f t="shared" si="3"/>
        <v>4048.4</v>
      </c>
      <c r="P67" s="488">
        <f t="shared" si="4"/>
        <v>1242.3333333333333</v>
      </c>
      <c r="Q67" s="489">
        <f t="shared" si="5"/>
        <v>1225.3150684931506</v>
      </c>
      <c r="R67" s="489">
        <f t="shared" si="6"/>
        <v>65.753424657534239</v>
      </c>
      <c r="S67" s="490">
        <f t="shared" si="7"/>
        <v>15908</v>
      </c>
      <c r="T67" s="490">
        <f t="shared" si="8"/>
        <v>18441.401826484016</v>
      </c>
      <c r="U67" s="491">
        <f t="shared" si="9"/>
        <v>183.46</v>
      </c>
      <c r="V67" s="498">
        <f>(O67-N67)*11%</f>
        <v>417.82400000000001</v>
      </c>
      <c r="W67" s="498">
        <v>10</v>
      </c>
      <c r="X67" s="498"/>
      <c r="Y67" s="498"/>
      <c r="Z67" s="462">
        <f t="shared" si="10"/>
        <v>611.28399999999999</v>
      </c>
      <c r="AA67" s="462">
        <f t="shared" si="11"/>
        <v>3437.116</v>
      </c>
      <c r="AB67" s="489">
        <v>1000</v>
      </c>
    </row>
    <row r="68" spans="1:28" s="507" customFormat="1" ht="12">
      <c r="A68" s="456">
        <v>64</v>
      </c>
      <c r="B68" s="466" t="s">
        <v>2027</v>
      </c>
      <c r="C68" s="497">
        <v>9901442220</v>
      </c>
      <c r="D68" s="459" t="s">
        <v>2028</v>
      </c>
      <c r="E68" s="460" t="s">
        <v>44</v>
      </c>
      <c r="F68" s="461">
        <v>31</v>
      </c>
      <c r="G68" s="498">
        <v>72.540000000000006</v>
      </c>
      <c r="H68" s="462">
        <f t="shared" si="0"/>
        <v>2248.7400000000002</v>
      </c>
      <c r="I68" s="462">
        <f t="shared" si="1"/>
        <v>8704.8000000000011</v>
      </c>
      <c r="J68" s="463">
        <v>4</v>
      </c>
      <c r="K68" s="533">
        <v>50</v>
      </c>
      <c r="L68" s="462">
        <f t="shared" si="2"/>
        <v>1760</v>
      </c>
      <c r="M68" s="462">
        <v>1510</v>
      </c>
      <c r="N68" s="462">
        <v>250</v>
      </c>
      <c r="O68" s="462">
        <f t="shared" si="3"/>
        <v>4058.7400000000002</v>
      </c>
      <c r="P68" s="488">
        <f t="shared" si="4"/>
        <v>1245.4000000000001</v>
      </c>
      <c r="Q68" s="489">
        <f t="shared" si="5"/>
        <v>1228.3397260273973</v>
      </c>
      <c r="R68" s="489">
        <f t="shared" si="6"/>
        <v>65.753424657534239</v>
      </c>
      <c r="S68" s="490">
        <f t="shared" si="7"/>
        <v>15944.800000000001</v>
      </c>
      <c r="T68" s="490">
        <f t="shared" si="8"/>
        <v>18484.293150684935</v>
      </c>
      <c r="U68" s="491">
        <f t="shared" si="9"/>
        <v>183.96</v>
      </c>
      <c r="V68" s="498"/>
      <c r="W68" s="498"/>
      <c r="X68" s="498"/>
      <c r="Y68" s="498"/>
      <c r="Z68" s="462">
        <f t="shared" si="10"/>
        <v>183.96</v>
      </c>
      <c r="AA68" s="462">
        <f t="shared" si="11"/>
        <v>3874.78</v>
      </c>
      <c r="AB68" s="489">
        <v>1000</v>
      </c>
    </row>
    <row r="69" spans="1:28" s="507" customFormat="1" ht="12">
      <c r="A69" s="456">
        <v>65</v>
      </c>
      <c r="B69" s="457" t="s">
        <v>2029</v>
      </c>
      <c r="C69" s="497">
        <v>9901443406</v>
      </c>
      <c r="D69" s="459" t="s">
        <v>2030</v>
      </c>
      <c r="E69" s="460" t="s">
        <v>72</v>
      </c>
      <c r="F69" s="461">
        <v>31</v>
      </c>
      <c r="G69" s="498">
        <v>71.400000000000006</v>
      </c>
      <c r="H69" s="462">
        <f t="shared" ref="H69:H92" si="12">+F69*G69</f>
        <v>2213.4</v>
      </c>
      <c r="I69" s="462">
        <f t="shared" ref="I69:I103" si="13">G69*120</f>
        <v>8568</v>
      </c>
      <c r="J69" s="463">
        <v>4</v>
      </c>
      <c r="K69" s="534">
        <v>75</v>
      </c>
      <c r="L69" s="462">
        <f t="shared" ref="L69:L92" si="14">M69+N69</f>
        <v>1760</v>
      </c>
      <c r="M69" s="462">
        <v>1510</v>
      </c>
      <c r="N69" s="462">
        <v>250</v>
      </c>
      <c r="O69" s="462">
        <f t="shared" ref="O69:O92" si="15">+H69+M69+N69+K69</f>
        <v>4048.4</v>
      </c>
      <c r="P69" s="488">
        <f t="shared" ref="P69:P103" si="16">(((G69*120)+(K69+M69)*4)/12)</f>
        <v>1242.3333333333333</v>
      </c>
      <c r="Q69" s="489">
        <f t="shared" ref="Q69:Q103" si="17">(((G69*30)+M69+K69)/365*120)</f>
        <v>1225.3150684931506</v>
      </c>
      <c r="R69" s="489">
        <f t="shared" ref="R69:R103" si="18">+(200/365)*120</f>
        <v>65.753424657534239</v>
      </c>
      <c r="S69" s="490">
        <f t="shared" ref="S69:S103" si="19">(((G69*120)+((K69+M69+N69)*4)))</f>
        <v>15908</v>
      </c>
      <c r="T69" s="490">
        <f t="shared" ref="T69:T103" si="20">+S69+R69+Q69+P69</f>
        <v>18441.401826484016</v>
      </c>
      <c r="U69" s="491">
        <f t="shared" ref="U69:U92" si="21">ROUND((((H69+K69+M69)*4.83)/100),2)</f>
        <v>183.46</v>
      </c>
      <c r="V69" s="498"/>
      <c r="W69" s="498">
        <v>10</v>
      </c>
      <c r="X69" s="498"/>
      <c r="Y69" s="498"/>
      <c r="Z69" s="462">
        <f t="shared" ref="Z69:Z103" si="22">V69+W69+X69+Y69+U69</f>
        <v>193.46</v>
      </c>
      <c r="AA69" s="462">
        <f t="shared" ref="AA69:AA103" si="23">+O69-Z69</f>
        <v>3854.94</v>
      </c>
      <c r="AB69" s="489">
        <v>1000</v>
      </c>
    </row>
    <row r="70" spans="1:28" s="507" customFormat="1" ht="12">
      <c r="A70" s="456">
        <v>66</v>
      </c>
      <c r="B70" s="466" t="s">
        <v>2031</v>
      </c>
      <c r="C70" s="497">
        <v>9901443280</v>
      </c>
      <c r="D70" s="459" t="s">
        <v>2032</v>
      </c>
      <c r="E70" s="460" t="s">
        <v>35</v>
      </c>
      <c r="F70" s="461">
        <v>31</v>
      </c>
      <c r="G70" s="498">
        <v>71.400000000000006</v>
      </c>
      <c r="H70" s="462">
        <f t="shared" si="12"/>
        <v>2213.4</v>
      </c>
      <c r="I70" s="462">
        <f t="shared" si="13"/>
        <v>8568</v>
      </c>
      <c r="J70" s="463">
        <v>4</v>
      </c>
      <c r="K70" s="533">
        <v>35</v>
      </c>
      <c r="L70" s="462">
        <f t="shared" si="14"/>
        <v>1760</v>
      </c>
      <c r="M70" s="462">
        <v>1510</v>
      </c>
      <c r="N70" s="462">
        <v>250</v>
      </c>
      <c r="O70" s="462">
        <f t="shared" si="15"/>
        <v>4008.4</v>
      </c>
      <c r="P70" s="488">
        <f t="shared" si="16"/>
        <v>1229</v>
      </c>
      <c r="Q70" s="489">
        <f t="shared" si="17"/>
        <v>1212.1643835616437</v>
      </c>
      <c r="R70" s="489">
        <f t="shared" si="18"/>
        <v>65.753424657534239</v>
      </c>
      <c r="S70" s="490">
        <f t="shared" si="19"/>
        <v>15748</v>
      </c>
      <c r="T70" s="490">
        <f t="shared" si="20"/>
        <v>18254.917808219179</v>
      </c>
      <c r="U70" s="491">
        <f t="shared" si="21"/>
        <v>181.53</v>
      </c>
      <c r="V70" s="498">
        <f>(O73-N73)*11%</f>
        <v>415.07400000000001</v>
      </c>
      <c r="W70" s="498">
        <v>10</v>
      </c>
      <c r="X70" s="498"/>
      <c r="Y70" s="498"/>
      <c r="Z70" s="462">
        <f t="shared" si="22"/>
        <v>606.60400000000004</v>
      </c>
      <c r="AA70" s="462">
        <f t="shared" si="23"/>
        <v>3401.7960000000003</v>
      </c>
      <c r="AB70" s="489">
        <v>1000</v>
      </c>
    </row>
    <row r="71" spans="1:28" s="507" customFormat="1" ht="12">
      <c r="A71" s="456">
        <v>67</v>
      </c>
      <c r="B71" s="466" t="s">
        <v>2033</v>
      </c>
      <c r="C71" s="497">
        <v>990058350</v>
      </c>
      <c r="D71" s="459" t="s">
        <v>2034</v>
      </c>
      <c r="E71" s="460" t="s">
        <v>31</v>
      </c>
      <c r="F71" s="461">
        <v>31</v>
      </c>
      <c r="G71" s="498">
        <v>72.540000000000006</v>
      </c>
      <c r="H71" s="462">
        <f t="shared" si="12"/>
        <v>2248.7400000000002</v>
      </c>
      <c r="I71" s="462">
        <f t="shared" si="13"/>
        <v>8704.8000000000011</v>
      </c>
      <c r="J71" s="463">
        <v>4</v>
      </c>
      <c r="K71" s="534"/>
      <c r="L71" s="462">
        <f t="shared" si="14"/>
        <v>1760</v>
      </c>
      <c r="M71" s="462">
        <v>1510</v>
      </c>
      <c r="N71" s="462">
        <v>250</v>
      </c>
      <c r="O71" s="462">
        <f t="shared" si="15"/>
        <v>4008.7400000000002</v>
      </c>
      <c r="P71" s="488">
        <f t="shared" si="16"/>
        <v>1228.7333333333333</v>
      </c>
      <c r="Q71" s="489">
        <f t="shared" si="17"/>
        <v>1211.9013698630138</v>
      </c>
      <c r="R71" s="489">
        <f t="shared" si="18"/>
        <v>65.753424657534239</v>
      </c>
      <c r="S71" s="490">
        <f t="shared" si="19"/>
        <v>15744.800000000001</v>
      </c>
      <c r="T71" s="490">
        <f t="shared" si="20"/>
        <v>18251.188127853882</v>
      </c>
      <c r="U71" s="491">
        <f t="shared" si="21"/>
        <v>181.55</v>
      </c>
      <c r="V71" s="498">
        <f>(O71-N71)*11%</f>
        <v>413.46140000000003</v>
      </c>
      <c r="W71" s="498">
        <v>10</v>
      </c>
      <c r="X71" s="498"/>
      <c r="Y71" s="498"/>
      <c r="Z71" s="462">
        <f t="shared" si="22"/>
        <v>605.01140000000009</v>
      </c>
      <c r="AA71" s="462">
        <f t="shared" si="23"/>
        <v>3403.7286000000004</v>
      </c>
      <c r="AB71" s="489">
        <v>1000</v>
      </c>
    </row>
    <row r="72" spans="1:28" s="507" customFormat="1" ht="12">
      <c r="A72" s="456">
        <v>68</v>
      </c>
      <c r="B72" s="466" t="s">
        <v>2035</v>
      </c>
      <c r="C72" s="497">
        <v>9901443735</v>
      </c>
      <c r="D72" s="459" t="s">
        <v>2036</v>
      </c>
      <c r="E72" s="460" t="s">
        <v>62</v>
      </c>
      <c r="F72" s="461">
        <v>31</v>
      </c>
      <c r="G72" s="498">
        <v>75.64</v>
      </c>
      <c r="H72" s="462">
        <f t="shared" si="12"/>
        <v>2344.84</v>
      </c>
      <c r="I72" s="462">
        <f t="shared" si="13"/>
        <v>9076.7999999999993</v>
      </c>
      <c r="J72" s="463">
        <v>4</v>
      </c>
      <c r="K72" s="606">
        <v>35</v>
      </c>
      <c r="L72" s="462">
        <f t="shared" si="14"/>
        <v>1760</v>
      </c>
      <c r="M72" s="462">
        <v>1510</v>
      </c>
      <c r="N72" s="462">
        <v>250</v>
      </c>
      <c r="O72" s="462">
        <f t="shared" si="15"/>
        <v>4139.84</v>
      </c>
      <c r="P72" s="488">
        <f t="shared" si="16"/>
        <v>1271.3999999999999</v>
      </c>
      <c r="Q72" s="489">
        <f t="shared" si="17"/>
        <v>1253.9835616438356</v>
      </c>
      <c r="R72" s="489">
        <f t="shared" si="18"/>
        <v>65.753424657534239</v>
      </c>
      <c r="S72" s="490">
        <f t="shared" si="19"/>
        <v>16256.8</v>
      </c>
      <c r="T72" s="490">
        <f t="shared" si="20"/>
        <v>18847.936986301371</v>
      </c>
      <c r="U72" s="491">
        <f t="shared" si="21"/>
        <v>187.88</v>
      </c>
      <c r="V72" s="498">
        <f>(O72-N72)*11%</f>
        <v>427.88240000000002</v>
      </c>
      <c r="W72" s="498">
        <v>10</v>
      </c>
      <c r="X72" s="498"/>
      <c r="Y72" s="498"/>
      <c r="Z72" s="462">
        <f t="shared" si="22"/>
        <v>625.76240000000007</v>
      </c>
      <c r="AA72" s="462">
        <f t="shared" si="23"/>
        <v>3514.0776000000001</v>
      </c>
      <c r="AB72" s="489">
        <v>1000</v>
      </c>
    </row>
    <row r="73" spans="1:28" s="507" customFormat="1" ht="12">
      <c r="A73" s="456">
        <v>69</v>
      </c>
      <c r="B73" s="466" t="s">
        <v>2037</v>
      </c>
      <c r="C73" s="497">
        <v>9901443780</v>
      </c>
      <c r="D73" s="459" t="s">
        <v>2038</v>
      </c>
      <c r="E73" s="460" t="s">
        <v>38</v>
      </c>
      <c r="F73" s="461">
        <v>31</v>
      </c>
      <c r="G73" s="498">
        <v>71.400000000000006</v>
      </c>
      <c r="H73" s="462">
        <f t="shared" si="12"/>
        <v>2213.4</v>
      </c>
      <c r="I73" s="462">
        <f t="shared" si="13"/>
        <v>8568</v>
      </c>
      <c r="J73" s="463">
        <v>4</v>
      </c>
      <c r="K73" s="534">
        <v>50</v>
      </c>
      <c r="L73" s="462">
        <f t="shared" si="14"/>
        <v>1760</v>
      </c>
      <c r="M73" s="462">
        <v>1510</v>
      </c>
      <c r="N73" s="462">
        <v>250</v>
      </c>
      <c r="O73" s="462">
        <f t="shared" si="15"/>
        <v>4023.4</v>
      </c>
      <c r="P73" s="488">
        <f t="shared" si="16"/>
        <v>1234</v>
      </c>
      <c r="Q73" s="489">
        <f t="shared" si="17"/>
        <v>1217.0958904109589</v>
      </c>
      <c r="R73" s="489">
        <f t="shared" si="18"/>
        <v>65.753424657534239</v>
      </c>
      <c r="S73" s="490">
        <f t="shared" si="19"/>
        <v>15808</v>
      </c>
      <c r="T73" s="490">
        <f t="shared" si="20"/>
        <v>18324.849315068492</v>
      </c>
      <c r="U73" s="491">
        <f t="shared" si="21"/>
        <v>182.26</v>
      </c>
      <c r="V73" s="498"/>
      <c r="W73" s="569"/>
      <c r="X73" s="498"/>
      <c r="Y73" s="498"/>
      <c r="Z73" s="462">
        <f t="shared" si="22"/>
        <v>182.26</v>
      </c>
      <c r="AA73" s="462">
        <f t="shared" si="23"/>
        <v>3841.1400000000003</v>
      </c>
      <c r="AB73" s="489">
        <v>1000</v>
      </c>
    </row>
    <row r="74" spans="1:28" s="507" customFormat="1" ht="12">
      <c r="A74" s="456">
        <v>70</v>
      </c>
      <c r="B74" s="466" t="s">
        <v>2039</v>
      </c>
      <c r="C74" s="497">
        <v>9901443821</v>
      </c>
      <c r="D74" s="459" t="s">
        <v>2040</v>
      </c>
      <c r="E74" s="460" t="s">
        <v>38</v>
      </c>
      <c r="F74" s="461">
        <v>31</v>
      </c>
      <c r="G74" s="498">
        <v>71.400000000000006</v>
      </c>
      <c r="H74" s="462">
        <f t="shared" si="12"/>
        <v>2213.4</v>
      </c>
      <c r="I74" s="462">
        <f t="shared" si="13"/>
        <v>8568</v>
      </c>
      <c r="J74" s="463">
        <v>4</v>
      </c>
      <c r="K74" s="534">
        <v>50</v>
      </c>
      <c r="L74" s="462">
        <f t="shared" si="14"/>
        <v>1760</v>
      </c>
      <c r="M74" s="462">
        <v>1510</v>
      </c>
      <c r="N74" s="462">
        <v>250</v>
      </c>
      <c r="O74" s="462">
        <f t="shared" si="15"/>
        <v>4023.4</v>
      </c>
      <c r="P74" s="488">
        <f t="shared" si="16"/>
        <v>1234</v>
      </c>
      <c r="Q74" s="489">
        <f t="shared" si="17"/>
        <v>1217.0958904109589</v>
      </c>
      <c r="R74" s="489">
        <f t="shared" si="18"/>
        <v>65.753424657534239</v>
      </c>
      <c r="S74" s="490">
        <f t="shared" si="19"/>
        <v>15808</v>
      </c>
      <c r="T74" s="490">
        <f t="shared" si="20"/>
        <v>18324.849315068492</v>
      </c>
      <c r="U74" s="491">
        <f t="shared" si="21"/>
        <v>182.26</v>
      </c>
      <c r="V74" s="498"/>
      <c r="W74" s="498">
        <v>10</v>
      </c>
      <c r="X74" s="498"/>
      <c r="Y74" s="498">
        <v>1792.1</v>
      </c>
      <c r="Z74" s="462">
        <f t="shared" si="22"/>
        <v>1984.36</v>
      </c>
      <c r="AA74" s="462">
        <f t="shared" si="23"/>
        <v>2039.0400000000002</v>
      </c>
      <c r="AB74" s="489">
        <v>1000</v>
      </c>
    </row>
    <row r="75" spans="1:28" s="507" customFormat="1" ht="12">
      <c r="A75" s="456">
        <v>71</v>
      </c>
      <c r="B75" s="466" t="s">
        <v>2041</v>
      </c>
      <c r="C75" s="497">
        <v>9901443473</v>
      </c>
      <c r="D75" s="459" t="s">
        <v>2042</v>
      </c>
      <c r="E75" s="460" t="s">
        <v>72</v>
      </c>
      <c r="F75" s="461">
        <v>31</v>
      </c>
      <c r="G75" s="498">
        <v>71.400000000000006</v>
      </c>
      <c r="H75" s="462">
        <f t="shared" si="12"/>
        <v>2213.4</v>
      </c>
      <c r="I75" s="462">
        <f t="shared" si="13"/>
        <v>8568</v>
      </c>
      <c r="J75" s="463">
        <v>4</v>
      </c>
      <c r="K75" s="534">
        <v>75</v>
      </c>
      <c r="L75" s="462">
        <f t="shared" si="14"/>
        <v>1760</v>
      </c>
      <c r="M75" s="462">
        <v>1510</v>
      </c>
      <c r="N75" s="462">
        <v>250</v>
      </c>
      <c r="O75" s="462">
        <f t="shared" si="15"/>
        <v>4048.4</v>
      </c>
      <c r="P75" s="488">
        <f t="shared" si="16"/>
        <v>1242.3333333333333</v>
      </c>
      <c r="Q75" s="489">
        <f t="shared" si="17"/>
        <v>1225.3150684931506</v>
      </c>
      <c r="R75" s="489">
        <f t="shared" si="18"/>
        <v>65.753424657534239</v>
      </c>
      <c r="S75" s="490">
        <f t="shared" si="19"/>
        <v>15908</v>
      </c>
      <c r="T75" s="490">
        <f t="shared" si="20"/>
        <v>18441.401826484016</v>
      </c>
      <c r="U75" s="491">
        <f t="shared" si="21"/>
        <v>183.46</v>
      </c>
      <c r="V75" s="498"/>
      <c r="W75" s="498">
        <v>10</v>
      </c>
      <c r="X75" s="498"/>
      <c r="Y75" s="498"/>
      <c r="Z75" s="462">
        <f t="shared" si="22"/>
        <v>193.46</v>
      </c>
      <c r="AA75" s="462">
        <f t="shared" si="23"/>
        <v>3854.94</v>
      </c>
      <c r="AB75" s="489">
        <v>1000</v>
      </c>
    </row>
    <row r="76" spans="1:28" s="507" customFormat="1" ht="12">
      <c r="A76" s="456">
        <v>72</v>
      </c>
      <c r="B76" s="466" t="s">
        <v>2043</v>
      </c>
      <c r="C76" s="497">
        <v>9901443964</v>
      </c>
      <c r="D76" s="459" t="s">
        <v>2044</v>
      </c>
      <c r="E76" s="460" t="s">
        <v>72</v>
      </c>
      <c r="F76" s="461">
        <v>31</v>
      </c>
      <c r="G76" s="498">
        <v>71.400000000000006</v>
      </c>
      <c r="H76" s="462">
        <f t="shared" si="12"/>
        <v>2213.4</v>
      </c>
      <c r="I76" s="462">
        <f t="shared" si="13"/>
        <v>8568</v>
      </c>
      <c r="J76" s="463">
        <v>4</v>
      </c>
      <c r="K76" s="534">
        <v>75</v>
      </c>
      <c r="L76" s="462">
        <f t="shared" si="14"/>
        <v>1760</v>
      </c>
      <c r="M76" s="462">
        <v>1510</v>
      </c>
      <c r="N76" s="462">
        <v>250</v>
      </c>
      <c r="O76" s="462">
        <f t="shared" si="15"/>
        <v>4048.4</v>
      </c>
      <c r="P76" s="488">
        <f t="shared" si="16"/>
        <v>1242.3333333333333</v>
      </c>
      <c r="Q76" s="489">
        <f t="shared" si="17"/>
        <v>1225.3150684931506</v>
      </c>
      <c r="R76" s="489">
        <f t="shared" si="18"/>
        <v>65.753424657534239</v>
      </c>
      <c r="S76" s="490">
        <f t="shared" si="19"/>
        <v>15908</v>
      </c>
      <c r="T76" s="490">
        <f t="shared" si="20"/>
        <v>18441.401826484016</v>
      </c>
      <c r="U76" s="491">
        <f t="shared" si="21"/>
        <v>183.46</v>
      </c>
      <c r="V76" s="498"/>
      <c r="W76" s="498">
        <v>10</v>
      </c>
      <c r="X76" s="498"/>
      <c r="Y76" s="498"/>
      <c r="Z76" s="462">
        <f t="shared" si="22"/>
        <v>193.46</v>
      </c>
      <c r="AA76" s="462">
        <f t="shared" si="23"/>
        <v>3854.94</v>
      </c>
      <c r="AB76" s="489">
        <v>1000</v>
      </c>
    </row>
    <row r="77" spans="1:28" s="507" customFormat="1" ht="12">
      <c r="A77" s="456">
        <v>73</v>
      </c>
      <c r="B77" s="457" t="s">
        <v>2045</v>
      </c>
      <c r="C77" s="497">
        <v>9901443336</v>
      </c>
      <c r="D77" s="459" t="s">
        <v>2046</v>
      </c>
      <c r="E77" s="460" t="s">
        <v>52</v>
      </c>
      <c r="F77" s="461">
        <v>31</v>
      </c>
      <c r="G77" s="498">
        <v>72.540000000000006</v>
      </c>
      <c r="H77" s="462">
        <f t="shared" si="12"/>
        <v>2248.7400000000002</v>
      </c>
      <c r="I77" s="462">
        <f t="shared" si="13"/>
        <v>8704.8000000000011</v>
      </c>
      <c r="J77" s="463">
        <v>4</v>
      </c>
      <c r="K77" s="534">
        <v>75</v>
      </c>
      <c r="L77" s="462">
        <f t="shared" si="14"/>
        <v>1760</v>
      </c>
      <c r="M77" s="462">
        <v>1510</v>
      </c>
      <c r="N77" s="462">
        <v>250</v>
      </c>
      <c r="O77" s="462">
        <f t="shared" si="15"/>
        <v>4083.7400000000002</v>
      </c>
      <c r="P77" s="488">
        <f t="shared" si="16"/>
        <v>1253.7333333333333</v>
      </c>
      <c r="Q77" s="489">
        <f t="shared" si="17"/>
        <v>1236.5589041095891</v>
      </c>
      <c r="R77" s="489">
        <f t="shared" si="18"/>
        <v>65.753424657534239</v>
      </c>
      <c r="S77" s="490">
        <f t="shared" si="19"/>
        <v>16044.800000000001</v>
      </c>
      <c r="T77" s="490">
        <f t="shared" si="20"/>
        <v>18600.845662100459</v>
      </c>
      <c r="U77" s="491">
        <f t="shared" si="21"/>
        <v>185.17</v>
      </c>
      <c r="V77" s="498"/>
      <c r="W77" s="498">
        <v>10</v>
      </c>
      <c r="X77" s="498"/>
      <c r="Y77" s="498"/>
      <c r="Z77" s="462">
        <f t="shared" si="22"/>
        <v>195.17</v>
      </c>
      <c r="AA77" s="462">
        <f t="shared" si="23"/>
        <v>3888.57</v>
      </c>
      <c r="AB77" s="489">
        <v>1000</v>
      </c>
    </row>
    <row r="78" spans="1:28" s="507" customFormat="1" ht="12">
      <c r="A78" s="456">
        <v>74</v>
      </c>
      <c r="B78" s="466" t="s">
        <v>2047</v>
      </c>
      <c r="C78" s="497">
        <v>9901442297</v>
      </c>
      <c r="D78" s="459" t="s">
        <v>2048</v>
      </c>
      <c r="E78" s="460" t="s">
        <v>44</v>
      </c>
      <c r="F78" s="461">
        <v>31</v>
      </c>
      <c r="G78" s="498">
        <v>72.540000000000006</v>
      </c>
      <c r="H78" s="462">
        <f t="shared" si="12"/>
        <v>2248.7400000000002</v>
      </c>
      <c r="I78" s="462">
        <f t="shared" si="13"/>
        <v>8704.8000000000011</v>
      </c>
      <c r="J78" s="463">
        <v>4</v>
      </c>
      <c r="K78" s="534">
        <v>75</v>
      </c>
      <c r="L78" s="462">
        <f t="shared" si="14"/>
        <v>1760</v>
      </c>
      <c r="M78" s="462">
        <v>1510</v>
      </c>
      <c r="N78" s="462">
        <v>250</v>
      </c>
      <c r="O78" s="462">
        <f t="shared" si="15"/>
        <v>4083.7400000000002</v>
      </c>
      <c r="P78" s="488">
        <f t="shared" si="16"/>
        <v>1253.7333333333333</v>
      </c>
      <c r="Q78" s="489">
        <f t="shared" si="17"/>
        <v>1236.5589041095891</v>
      </c>
      <c r="R78" s="489">
        <f t="shared" si="18"/>
        <v>65.753424657534239</v>
      </c>
      <c r="S78" s="490">
        <f t="shared" si="19"/>
        <v>16044.800000000001</v>
      </c>
      <c r="T78" s="490">
        <f t="shared" si="20"/>
        <v>18600.845662100459</v>
      </c>
      <c r="U78" s="491">
        <f t="shared" si="21"/>
        <v>185.17</v>
      </c>
      <c r="V78" s="498"/>
      <c r="W78" s="498">
        <v>10</v>
      </c>
      <c r="X78" s="498"/>
      <c r="Y78" s="498"/>
      <c r="Z78" s="462">
        <f t="shared" si="22"/>
        <v>195.17</v>
      </c>
      <c r="AA78" s="462">
        <f t="shared" si="23"/>
        <v>3888.57</v>
      </c>
      <c r="AB78" s="489">
        <v>1000</v>
      </c>
    </row>
    <row r="79" spans="1:28" s="507" customFormat="1" ht="12">
      <c r="A79" s="456">
        <v>75</v>
      </c>
      <c r="B79" s="457" t="s">
        <v>2049</v>
      </c>
      <c r="C79" s="528">
        <v>9901443820</v>
      </c>
      <c r="D79" s="459" t="s">
        <v>2050</v>
      </c>
      <c r="E79" s="460" t="s">
        <v>42</v>
      </c>
      <c r="F79" s="461">
        <v>31</v>
      </c>
      <c r="G79" s="498">
        <v>75.64</v>
      </c>
      <c r="H79" s="462">
        <f t="shared" si="12"/>
        <v>2344.84</v>
      </c>
      <c r="I79" s="462">
        <f t="shared" si="13"/>
        <v>9076.7999999999993</v>
      </c>
      <c r="J79" s="463">
        <v>4</v>
      </c>
      <c r="K79" s="606">
        <v>35</v>
      </c>
      <c r="L79" s="462">
        <f t="shared" si="14"/>
        <v>1760</v>
      </c>
      <c r="M79" s="462">
        <v>1510</v>
      </c>
      <c r="N79" s="462">
        <v>250</v>
      </c>
      <c r="O79" s="462">
        <f t="shared" si="15"/>
        <v>4139.84</v>
      </c>
      <c r="P79" s="488">
        <f t="shared" si="16"/>
        <v>1271.3999999999999</v>
      </c>
      <c r="Q79" s="489">
        <f t="shared" si="17"/>
        <v>1253.9835616438356</v>
      </c>
      <c r="R79" s="489">
        <f t="shared" si="18"/>
        <v>65.753424657534239</v>
      </c>
      <c r="S79" s="490">
        <f t="shared" si="19"/>
        <v>16256.8</v>
      </c>
      <c r="T79" s="490">
        <f t="shared" si="20"/>
        <v>18847.936986301371</v>
      </c>
      <c r="U79" s="491">
        <f t="shared" si="21"/>
        <v>187.88</v>
      </c>
      <c r="V79" s="498"/>
      <c r="W79" s="462">
        <v>10</v>
      </c>
      <c r="X79" s="498"/>
      <c r="Y79" s="498"/>
      <c r="Z79" s="462">
        <f t="shared" si="22"/>
        <v>197.88</v>
      </c>
      <c r="AA79" s="462">
        <f t="shared" si="23"/>
        <v>3941.96</v>
      </c>
      <c r="AB79" s="489">
        <v>1000</v>
      </c>
    </row>
    <row r="80" spans="1:28" s="507" customFormat="1" ht="12">
      <c r="A80" s="456">
        <v>76</v>
      </c>
      <c r="B80" s="466" t="s">
        <v>2051</v>
      </c>
      <c r="C80" s="497">
        <v>9901443696</v>
      </c>
      <c r="D80" s="459" t="s">
        <v>2052</v>
      </c>
      <c r="E80" s="460" t="s">
        <v>44</v>
      </c>
      <c r="F80" s="461">
        <v>31</v>
      </c>
      <c r="G80" s="498">
        <v>72.540000000000006</v>
      </c>
      <c r="H80" s="462">
        <f t="shared" si="12"/>
        <v>2248.7400000000002</v>
      </c>
      <c r="I80" s="462">
        <f t="shared" si="13"/>
        <v>8704.8000000000011</v>
      </c>
      <c r="J80" s="463">
        <v>4</v>
      </c>
      <c r="K80" s="534">
        <v>50</v>
      </c>
      <c r="L80" s="462">
        <f t="shared" si="14"/>
        <v>1760</v>
      </c>
      <c r="M80" s="462">
        <v>1510</v>
      </c>
      <c r="N80" s="462">
        <v>250</v>
      </c>
      <c r="O80" s="462">
        <f t="shared" si="15"/>
        <v>4058.7400000000002</v>
      </c>
      <c r="P80" s="488">
        <f t="shared" si="16"/>
        <v>1245.4000000000001</v>
      </c>
      <c r="Q80" s="489">
        <f t="shared" si="17"/>
        <v>1228.3397260273973</v>
      </c>
      <c r="R80" s="489">
        <f t="shared" si="18"/>
        <v>65.753424657534239</v>
      </c>
      <c r="S80" s="490">
        <f t="shared" si="19"/>
        <v>15944.800000000001</v>
      </c>
      <c r="T80" s="490">
        <f t="shared" si="20"/>
        <v>18484.293150684935</v>
      </c>
      <c r="U80" s="491">
        <f t="shared" si="21"/>
        <v>183.96</v>
      </c>
      <c r="V80" s="498"/>
      <c r="W80" s="498">
        <v>10</v>
      </c>
      <c r="X80" s="498"/>
      <c r="Y80" s="498"/>
      <c r="Z80" s="462">
        <f t="shared" si="22"/>
        <v>193.96</v>
      </c>
      <c r="AA80" s="462">
        <f t="shared" si="23"/>
        <v>3864.78</v>
      </c>
      <c r="AB80" s="489">
        <v>1000</v>
      </c>
    </row>
    <row r="81" spans="1:29" s="507" customFormat="1" ht="12">
      <c r="A81" s="456">
        <v>77</v>
      </c>
      <c r="B81" s="466" t="s">
        <v>2053</v>
      </c>
      <c r="C81" s="497">
        <v>9901442296</v>
      </c>
      <c r="D81" s="459" t="s">
        <v>2054</v>
      </c>
      <c r="E81" s="460" t="s">
        <v>52</v>
      </c>
      <c r="F81" s="461">
        <v>31</v>
      </c>
      <c r="G81" s="498">
        <v>72.540000000000006</v>
      </c>
      <c r="H81" s="462">
        <f t="shared" si="12"/>
        <v>2248.7400000000002</v>
      </c>
      <c r="I81" s="462">
        <f t="shared" si="13"/>
        <v>8704.8000000000011</v>
      </c>
      <c r="J81" s="463">
        <v>4</v>
      </c>
      <c r="K81" s="534">
        <v>75</v>
      </c>
      <c r="L81" s="462">
        <f t="shared" si="14"/>
        <v>1760</v>
      </c>
      <c r="M81" s="462">
        <v>1510</v>
      </c>
      <c r="N81" s="462">
        <v>250</v>
      </c>
      <c r="O81" s="462">
        <f t="shared" si="15"/>
        <v>4083.7400000000002</v>
      </c>
      <c r="P81" s="488">
        <f t="shared" si="16"/>
        <v>1253.7333333333333</v>
      </c>
      <c r="Q81" s="489">
        <f t="shared" si="17"/>
        <v>1236.5589041095891</v>
      </c>
      <c r="R81" s="489">
        <f t="shared" si="18"/>
        <v>65.753424657534239</v>
      </c>
      <c r="S81" s="490">
        <f t="shared" si="19"/>
        <v>16044.800000000001</v>
      </c>
      <c r="T81" s="490">
        <f t="shared" si="20"/>
        <v>18600.845662100459</v>
      </c>
      <c r="U81" s="491">
        <f t="shared" si="21"/>
        <v>185.17</v>
      </c>
      <c r="V81" s="498"/>
      <c r="W81" s="498">
        <v>10</v>
      </c>
      <c r="X81" s="498"/>
      <c r="Y81" s="498">
        <v>597.59</v>
      </c>
      <c r="Z81" s="462">
        <f t="shared" si="22"/>
        <v>792.76</v>
      </c>
      <c r="AA81" s="462">
        <f t="shared" si="23"/>
        <v>3290.9800000000005</v>
      </c>
      <c r="AB81" s="489">
        <v>1000</v>
      </c>
    </row>
    <row r="82" spans="1:29" s="507" customFormat="1" ht="12">
      <c r="A82" s="456">
        <v>78</v>
      </c>
      <c r="B82" s="457" t="s">
        <v>2055</v>
      </c>
      <c r="C82" s="497">
        <v>9901443403</v>
      </c>
      <c r="D82" s="459" t="s">
        <v>2056</v>
      </c>
      <c r="E82" s="460" t="s">
        <v>138</v>
      </c>
      <c r="F82" s="461">
        <v>31</v>
      </c>
      <c r="G82" s="498">
        <v>72.540000000000006</v>
      </c>
      <c r="H82" s="462">
        <f t="shared" si="12"/>
        <v>2248.7400000000002</v>
      </c>
      <c r="I82" s="462">
        <f t="shared" si="13"/>
        <v>8704.8000000000011</v>
      </c>
      <c r="J82" s="463">
        <v>4</v>
      </c>
      <c r="K82" s="534">
        <v>75</v>
      </c>
      <c r="L82" s="462">
        <f t="shared" si="14"/>
        <v>1760</v>
      </c>
      <c r="M82" s="462">
        <v>1510</v>
      </c>
      <c r="N82" s="462">
        <v>250</v>
      </c>
      <c r="O82" s="462">
        <f t="shared" si="15"/>
        <v>4083.7400000000002</v>
      </c>
      <c r="P82" s="488">
        <f t="shared" si="16"/>
        <v>1253.7333333333333</v>
      </c>
      <c r="Q82" s="489">
        <f t="shared" si="17"/>
        <v>1236.5589041095891</v>
      </c>
      <c r="R82" s="489">
        <f t="shared" si="18"/>
        <v>65.753424657534239</v>
      </c>
      <c r="S82" s="490">
        <f t="shared" si="19"/>
        <v>16044.800000000001</v>
      </c>
      <c r="T82" s="490">
        <f t="shared" si="20"/>
        <v>18600.845662100459</v>
      </c>
      <c r="U82" s="491">
        <f t="shared" si="21"/>
        <v>185.17</v>
      </c>
      <c r="V82" s="498"/>
      <c r="W82" s="498">
        <v>10</v>
      </c>
      <c r="X82" s="498"/>
      <c r="Y82" s="498">
        <v>1986.57</v>
      </c>
      <c r="Z82" s="462">
        <f t="shared" si="22"/>
        <v>2181.7399999999998</v>
      </c>
      <c r="AA82" s="462">
        <f t="shared" si="23"/>
        <v>1902.0000000000005</v>
      </c>
      <c r="AB82" s="489">
        <v>1000</v>
      </c>
    </row>
    <row r="83" spans="1:29" s="507" customFormat="1" ht="12">
      <c r="A83" s="456">
        <v>79</v>
      </c>
      <c r="B83" s="457" t="s">
        <v>2057</v>
      </c>
      <c r="C83" s="497">
        <v>9901442289</v>
      </c>
      <c r="D83" s="459" t="s">
        <v>2058</v>
      </c>
      <c r="E83" s="460" t="s">
        <v>72</v>
      </c>
      <c r="F83" s="461">
        <v>31</v>
      </c>
      <c r="G83" s="498">
        <v>71.400000000000006</v>
      </c>
      <c r="H83" s="462">
        <f t="shared" si="12"/>
        <v>2213.4</v>
      </c>
      <c r="I83" s="462">
        <f t="shared" si="13"/>
        <v>8568</v>
      </c>
      <c r="J83" s="463">
        <v>4</v>
      </c>
      <c r="K83" s="534">
        <v>75</v>
      </c>
      <c r="L83" s="462">
        <f t="shared" si="14"/>
        <v>1760</v>
      </c>
      <c r="M83" s="462">
        <v>1510</v>
      </c>
      <c r="N83" s="462">
        <v>250</v>
      </c>
      <c r="O83" s="462">
        <f t="shared" si="15"/>
        <v>4048.4</v>
      </c>
      <c r="P83" s="488">
        <f t="shared" si="16"/>
        <v>1242.3333333333333</v>
      </c>
      <c r="Q83" s="489">
        <f t="shared" si="17"/>
        <v>1225.3150684931506</v>
      </c>
      <c r="R83" s="489">
        <f t="shared" si="18"/>
        <v>65.753424657534239</v>
      </c>
      <c r="S83" s="490">
        <f t="shared" si="19"/>
        <v>15908</v>
      </c>
      <c r="T83" s="490">
        <f t="shared" si="20"/>
        <v>18441.401826484016</v>
      </c>
      <c r="U83" s="491">
        <f t="shared" si="21"/>
        <v>183.46</v>
      </c>
      <c r="V83" s="498"/>
      <c r="W83" s="498">
        <v>10</v>
      </c>
      <c r="X83" s="498"/>
      <c r="Y83" s="498"/>
      <c r="Z83" s="462">
        <f t="shared" si="22"/>
        <v>193.46</v>
      </c>
      <c r="AA83" s="462">
        <f t="shared" si="23"/>
        <v>3854.94</v>
      </c>
      <c r="AB83" s="489">
        <v>1000</v>
      </c>
    </row>
    <row r="84" spans="1:29" s="507" customFormat="1" ht="12">
      <c r="A84" s="456">
        <v>80</v>
      </c>
      <c r="B84" s="466" t="s">
        <v>2059</v>
      </c>
      <c r="C84" s="497">
        <v>9901443803</v>
      </c>
      <c r="D84" s="459" t="s">
        <v>2060</v>
      </c>
      <c r="E84" s="460" t="s">
        <v>39</v>
      </c>
      <c r="F84" s="461">
        <v>31</v>
      </c>
      <c r="G84" s="498">
        <v>78.25</v>
      </c>
      <c r="H84" s="462">
        <f t="shared" si="12"/>
        <v>2425.75</v>
      </c>
      <c r="I84" s="462">
        <f t="shared" si="13"/>
        <v>9390</v>
      </c>
      <c r="J84" s="463">
        <v>4</v>
      </c>
      <c r="K84" s="534">
        <v>75</v>
      </c>
      <c r="L84" s="462">
        <f t="shared" si="14"/>
        <v>1760</v>
      </c>
      <c r="M84" s="462">
        <v>1510</v>
      </c>
      <c r="N84" s="462">
        <v>250</v>
      </c>
      <c r="O84" s="462">
        <f t="shared" si="15"/>
        <v>4260.75</v>
      </c>
      <c r="P84" s="488">
        <f t="shared" si="16"/>
        <v>1310.8333333333333</v>
      </c>
      <c r="Q84" s="489">
        <f t="shared" si="17"/>
        <v>1292.8767123287671</v>
      </c>
      <c r="R84" s="489">
        <f t="shared" si="18"/>
        <v>65.753424657534239</v>
      </c>
      <c r="S84" s="490">
        <f t="shared" si="19"/>
        <v>16730</v>
      </c>
      <c r="T84" s="490">
        <f t="shared" si="20"/>
        <v>19399.463470319632</v>
      </c>
      <c r="U84" s="491">
        <f t="shared" si="21"/>
        <v>193.72</v>
      </c>
      <c r="V84" s="498"/>
      <c r="W84" s="498">
        <v>10</v>
      </c>
      <c r="X84" s="498"/>
      <c r="Y84" s="498">
        <v>747.06</v>
      </c>
      <c r="Z84" s="462">
        <f t="shared" si="22"/>
        <v>950.78</v>
      </c>
      <c r="AA84" s="462">
        <f t="shared" si="23"/>
        <v>3309.9700000000003</v>
      </c>
      <c r="AB84" s="489">
        <v>1000</v>
      </c>
    </row>
    <row r="85" spans="1:29" s="507" customFormat="1" ht="12">
      <c r="A85" s="456">
        <v>81</v>
      </c>
      <c r="B85" s="466" t="s">
        <v>2061</v>
      </c>
      <c r="C85" s="497">
        <v>9901443686</v>
      </c>
      <c r="D85" s="459" t="s">
        <v>2062</v>
      </c>
      <c r="E85" s="460" t="s">
        <v>39</v>
      </c>
      <c r="F85" s="461">
        <v>31</v>
      </c>
      <c r="G85" s="498">
        <v>78.25</v>
      </c>
      <c r="H85" s="462">
        <f t="shared" si="12"/>
        <v>2425.75</v>
      </c>
      <c r="I85" s="462">
        <f t="shared" si="13"/>
        <v>9390</v>
      </c>
      <c r="J85" s="463">
        <v>4</v>
      </c>
      <c r="K85" s="534">
        <v>75</v>
      </c>
      <c r="L85" s="462">
        <f t="shared" si="14"/>
        <v>1760</v>
      </c>
      <c r="M85" s="462">
        <v>1510</v>
      </c>
      <c r="N85" s="462">
        <v>250</v>
      </c>
      <c r="O85" s="462">
        <f t="shared" si="15"/>
        <v>4260.75</v>
      </c>
      <c r="P85" s="488">
        <f t="shared" si="16"/>
        <v>1310.8333333333333</v>
      </c>
      <c r="Q85" s="489">
        <f t="shared" si="17"/>
        <v>1292.8767123287671</v>
      </c>
      <c r="R85" s="489">
        <f t="shared" si="18"/>
        <v>65.753424657534239</v>
      </c>
      <c r="S85" s="490">
        <f t="shared" si="19"/>
        <v>16730</v>
      </c>
      <c r="T85" s="490">
        <f t="shared" si="20"/>
        <v>19399.463470319632</v>
      </c>
      <c r="U85" s="491">
        <f t="shared" si="21"/>
        <v>193.72</v>
      </c>
      <c r="V85" s="498">
        <f>(O85-N85)*11%</f>
        <v>441.1825</v>
      </c>
      <c r="W85" s="498">
        <v>10</v>
      </c>
      <c r="X85" s="498"/>
      <c r="Y85" s="498"/>
      <c r="Z85" s="462">
        <f t="shared" si="22"/>
        <v>644.90250000000003</v>
      </c>
      <c r="AA85" s="462">
        <f t="shared" si="23"/>
        <v>3615.8474999999999</v>
      </c>
      <c r="AB85" s="489">
        <v>1000</v>
      </c>
    </row>
    <row r="86" spans="1:29" s="507" customFormat="1" ht="12">
      <c r="A86" s="456">
        <v>82</v>
      </c>
      <c r="B86" s="457" t="s">
        <v>2063</v>
      </c>
      <c r="C86" s="497">
        <v>9901443978</v>
      </c>
      <c r="D86" s="607" t="s">
        <v>2064</v>
      </c>
      <c r="E86" s="460" t="s">
        <v>72</v>
      </c>
      <c r="F86" s="461"/>
      <c r="G86" s="498">
        <v>71.400000000000006</v>
      </c>
      <c r="H86" s="462">
        <f t="shared" si="12"/>
        <v>0</v>
      </c>
      <c r="I86" s="462">
        <f t="shared" si="13"/>
        <v>8568</v>
      </c>
      <c r="J86" s="463">
        <v>4</v>
      </c>
      <c r="K86" s="534"/>
      <c r="L86" s="462">
        <f t="shared" si="14"/>
        <v>0</v>
      </c>
      <c r="M86" s="462"/>
      <c r="N86" s="462"/>
      <c r="O86" s="462">
        <f t="shared" si="15"/>
        <v>0</v>
      </c>
      <c r="P86" s="488">
        <f t="shared" si="16"/>
        <v>714</v>
      </c>
      <c r="Q86" s="489">
        <f t="shared" si="17"/>
        <v>704.21917808219177</v>
      </c>
      <c r="R86" s="489">
        <f t="shared" si="18"/>
        <v>65.753424657534239</v>
      </c>
      <c r="S86" s="490">
        <f t="shared" si="19"/>
        <v>8568</v>
      </c>
      <c r="T86" s="490">
        <f t="shared" si="20"/>
        <v>10051.972602739726</v>
      </c>
      <c r="U86" s="491">
        <f t="shared" si="21"/>
        <v>0</v>
      </c>
      <c r="V86" s="498"/>
      <c r="W86" s="498">
        <v>10</v>
      </c>
      <c r="X86" s="498"/>
      <c r="Y86" s="498"/>
      <c r="Z86" s="462">
        <f t="shared" si="22"/>
        <v>10</v>
      </c>
      <c r="AA86" s="462">
        <f t="shared" si="23"/>
        <v>-10</v>
      </c>
      <c r="AB86" s="489">
        <v>1000</v>
      </c>
    </row>
    <row r="87" spans="1:29" s="507" customFormat="1" ht="12">
      <c r="A87" s="456">
        <v>83</v>
      </c>
      <c r="B87" s="457" t="s">
        <v>2065</v>
      </c>
      <c r="C87" s="497">
        <v>9901442563</v>
      </c>
      <c r="D87" s="605" t="s">
        <v>2066</v>
      </c>
      <c r="E87" s="460" t="s">
        <v>72</v>
      </c>
      <c r="F87" s="461"/>
      <c r="G87" s="498"/>
      <c r="H87" s="462">
        <f t="shared" si="12"/>
        <v>0</v>
      </c>
      <c r="I87" s="462">
        <f t="shared" si="13"/>
        <v>0</v>
      </c>
      <c r="J87" s="463">
        <v>4</v>
      </c>
      <c r="K87" s="534"/>
      <c r="L87" s="462"/>
      <c r="M87" s="462"/>
      <c r="N87" s="462"/>
      <c r="O87" s="462">
        <f t="shared" si="15"/>
        <v>0</v>
      </c>
      <c r="P87" s="488">
        <f t="shared" si="16"/>
        <v>0</v>
      </c>
      <c r="Q87" s="489">
        <f t="shared" si="17"/>
        <v>0</v>
      </c>
      <c r="R87" s="489">
        <f t="shared" si="18"/>
        <v>65.753424657534239</v>
      </c>
      <c r="S87" s="490">
        <f t="shared" si="19"/>
        <v>0</v>
      </c>
      <c r="T87" s="490">
        <f t="shared" si="20"/>
        <v>65.753424657534239</v>
      </c>
      <c r="U87" s="491">
        <f t="shared" si="21"/>
        <v>0</v>
      </c>
      <c r="V87" s="498"/>
      <c r="W87" s="498">
        <v>10</v>
      </c>
      <c r="X87" s="498"/>
      <c r="Y87" s="498">
        <v>447.43</v>
      </c>
      <c r="Z87" s="462">
        <f t="shared" si="22"/>
        <v>457.43</v>
      </c>
      <c r="AA87" s="462">
        <f t="shared" si="23"/>
        <v>-457.43</v>
      </c>
      <c r="AB87" s="489">
        <v>1000</v>
      </c>
    </row>
    <row r="88" spans="1:29" s="507" customFormat="1" ht="12">
      <c r="A88" s="456">
        <v>84</v>
      </c>
      <c r="B88" s="466" t="s">
        <v>2067</v>
      </c>
      <c r="C88" s="497">
        <v>9901442561</v>
      </c>
      <c r="D88" s="459" t="s">
        <v>2068</v>
      </c>
      <c r="E88" s="460" t="s">
        <v>72</v>
      </c>
      <c r="F88" s="461">
        <v>31</v>
      </c>
      <c r="G88" s="498">
        <v>71.400000000000006</v>
      </c>
      <c r="H88" s="462">
        <f t="shared" si="12"/>
        <v>2213.4</v>
      </c>
      <c r="I88" s="462">
        <f t="shared" si="13"/>
        <v>8568</v>
      </c>
      <c r="J88" s="463">
        <v>4</v>
      </c>
      <c r="K88" s="534">
        <v>75</v>
      </c>
      <c r="L88" s="462">
        <f t="shared" si="14"/>
        <v>1760</v>
      </c>
      <c r="M88" s="462">
        <v>1510</v>
      </c>
      <c r="N88" s="462">
        <v>250</v>
      </c>
      <c r="O88" s="462">
        <f t="shared" si="15"/>
        <v>4048.4</v>
      </c>
      <c r="P88" s="488">
        <f t="shared" si="16"/>
        <v>1242.3333333333333</v>
      </c>
      <c r="Q88" s="489">
        <f t="shared" si="17"/>
        <v>1225.3150684931506</v>
      </c>
      <c r="R88" s="489">
        <f t="shared" si="18"/>
        <v>65.753424657534239</v>
      </c>
      <c r="S88" s="490">
        <f t="shared" si="19"/>
        <v>15908</v>
      </c>
      <c r="T88" s="490">
        <f t="shared" si="20"/>
        <v>18441.401826484016</v>
      </c>
      <c r="U88" s="491">
        <f t="shared" si="21"/>
        <v>183.46</v>
      </c>
      <c r="V88" s="498"/>
      <c r="W88" s="498">
        <v>10</v>
      </c>
      <c r="X88" s="498"/>
      <c r="Y88" s="498"/>
      <c r="Z88" s="462">
        <f t="shared" si="22"/>
        <v>193.46</v>
      </c>
      <c r="AA88" s="462">
        <f t="shared" si="23"/>
        <v>3854.94</v>
      </c>
      <c r="AB88" s="489">
        <v>1000</v>
      </c>
    </row>
    <row r="89" spans="1:29" s="507" customFormat="1" ht="12">
      <c r="A89" s="456">
        <v>85</v>
      </c>
      <c r="B89" s="457" t="s">
        <v>2069</v>
      </c>
      <c r="C89" s="497">
        <v>9901443935</v>
      </c>
      <c r="D89" s="459" t="s">
        <v>2070</v>
      </c>
      <c r="E89" s="460" t="s">
        <v>74</v>
      </c>
      <c r="F89" s="461">
        <v>31</v>
      </c>
      <c r="G89" s="498">
        <v>71.400000000000006</v>
      </c>
      <c r="H89" s="462">
        <f t="shared" si="12"/>
        <v>2213.4</v>
      </c>
      <c r="I89" s="462">
        <f t="shared" si="13"/>
        <v>8568</v>
      </c>
      <c r="J89" s="463">
        <v>4</v>
      </c>
      <c r="K89" s="606">
        <v>35</v>
      </c>
      <c r="L89" s="462">
        <f t="shared" si="14"/>
        <v>1760</v>
      </c>
      <c r="M89" s="462">
        <v>1510</v>
      </c>
      <c r="N89" s="462">
        <v>250</v>
      </c>
      <c r="O89" s="462">
        <f t="shared" si="15"/>
        <v>4008.4</v>
      </c>
      <c r="P89" s="488">
        <f t="shared" si="16"/>
        <v>1229</v>
      </c>
      <c r="Q89" s="489">
        <f t="shared" si="17"/>
        <v>1212.1643835616437</v>
      </c>
      <c r="R89" s="489">
        <f t="shared" si="18"/>
        <v>65.753424657534239</v>
      </c>
      <c r="S89" s="490">
        <f t="shared" si="19"/>
        <v>15748</v>
      </c>
      <c r="T89" s="490">
        <f t="shared" si="20"/>
        <v>18254.917808219179</v>
      </c>
      <c r="U89" s="491">
        <f t="shared" si="21"/>
        <v>181.53</v>
      </c>
      <c r="V89" s="498"/>
      <c r="W89" s="498"/>
      <c r="X89" s="498"/>
      <c r="Y89" s="498"/>
      <c r="Z89" s="462">
        <f t="shared" si="22"/>
        <v>181.53</v>
      </c>
      <c r="AA89" s="462">
        <f t="shared" si="23"/>
        <v>3826.87</v>
      </c>
      <c r="AB89" s="489">
        <v>1000</v>
      </c>
    </row>
    <row r="90" spans="1:29" s="507" customFormat="1" ht="12">
      <c r="A90" s="456">
        <v>86</v>
      </c>
      <c r="B90" s="466" t="s">
        <v>2071</v>
      </c>
      <c r="C90" s="497">
        <v>9901442466</v>
      </c>
      <c r="D90" s="459" t="s">
        <v>2072</v>
      </c>
      <c r="E90" s="460" t="s">
        <v>44</v>
      </c>
      <c r="F90" s="461">
        <v>31</v>
      </c>
      <c r="G90" s="498">
        <v>72.540000000000006</v>
      </c>
      <c r="H90" s="462">
        <f t="shared" si="12"/>
        <v>2248.7400000000002</v>
      </c>
      <c r="I90" s="462">
        <f t="shared" si="13"/>
        <v>8704.8000000000011</v>
      </c>
      <c r="J90" s="463">
        <v>4</v>
      </c>
      <c r="K90" s="534">
        <v>75</v>
      </c>
      <c r="L90" s="462">
        <f t="shared" si="14"/>
        <v>1760</v>
      </c>
      <c r="M90" s="462">
        <v>1510</v>
      </c>
      <c r="N90" s="462">
        <v>250</v>
      </c>
      <c r="O90" s="462">
        <f t="shared" si="15"/>
        <v>4083.7400000000002</v>
      </c>
      <c r="P90" s="488">
        <f t="shared" si="16"/>
        <v>1253.7333333333333</v>
      </c>
      <c r="Q90" s="489">
        <f t="shared" si="17"/>
        <v>1236.5589041095891</v>
      </c>
      <c r="R90" s="489">
        <f t="shared" si="18"/>
        <v>65.753424657534239</v>
      </c>
      <c r="S90" s="490">
        <f t="shared" si="19"/>
        <v>16044.800000000001</v>
      </c>
      <c r="T90" s="490">
        <f t="shared" si="20"/>
        <v>18600.845662100459</v>
      </c>
      <c r="U90" s="491">
        <f t="shared" si="21"/>
        <v>185.17</v>
      </c>
      <c r="V90" s="498">
        <f>(O90-N90)*11%</f>
        <v>421.71140000000003</v>
      </c>
      <c r="W90" s="498">
        <v>10</v>
      </c>
      <c r="X90" s="498"/>
      <c r="Y90" s="498"/>
      <c r="Z90" s="462">
        <f t="shared" si="22"/>
        <v>616.88139999999999</v>
      </c>
      <c r="AA90" s="462">
        <f t="shared" si="23"/>
        <v>3466.8586000000005</v>
      </c>
      <c r="AB90" s="489">
        <v>1000</v>
      </c>
    </row>
    <row r="91" spans="1:29" s="507" customFormat="1" ht="11.25">
      <c r="A91" s="456">
        <v>87</v>
      </c>
      <c r="B91" s="466" t="s">
        <v>2073</v>
      </c>
      <c r="C91" s="521">
        <v>9901443822</v>
      </c>
      <c r="D91" s="608" t="s">
        <v>2074</v>
      </c>
      <c r="E91" s="460" t="s">
        <v>61</v>
      </c>
      <c r="F91" s="523">
        <v>31</v>
      </c>
      <c r="G91" s="498">
        <v>77.59</v>
      </c>
      <c r="H91" s="519">
        <f t="shared" si="12"/>
        <v>2405.29</v>
      </c>
      <c r="I91" s="462">
        <f t="shared" si="13"/>
        <v>9310.8000000000011</v>
      </c>
      <c r="J91" s="463">
        <v>4</v>
      </c>
      <c r="K91" s="561"/>
      <c r="L91" s="462">
        <f t="shared" si="14"/>
        <v>1760</v>
      </c>
      <c r="M91" s="462">
        <v>1510</v>
      </c>
      <c r="N91" s="462">
        <v>250</v>
      </c>
      <c r="O91" s="462">
        <f t="shared" si="15"/>
        <v>4165.29</v>
      </c>
      <c r="P91" s="488">
        <f t="shared" si="16"/>
        <v>1279.2333333333333</v>
      </c>
      <c r="Q91" s="489">
        <f t="shared" si="17"/>
        <v>1261.709589041096</v>
      </c>
      <c r="R91" s="489">
        <f t="shared" si="18"/>
        <v>65.753424657534239</v>
      </c>
      <c r="S91" s="490">
        <f t="shared" si="19"/>
        <v>16350.800000000001</v>
      </c>
      <c r="T91" s="490">
        <f t="shared" si="20"/>
        <v>18957.496347031967</v>
      </c>
      <c r="U91" s="491">
        <f t="shared" si="21"/>
        <v>189.11</v>
      </c>
      <c r="V91" s="560"/>
      <c r="W91" s="560"/>
      <c r="X91" s="560"/>
      <c r="Y91" s="560">
        <v>3851.18</v>
      </c>
      <c r="Z91" s="462">
        <f t="shared" si="22"/>
        <v>4040.29</v>
      </c>
      <c r="AA91" s="462">
        <f t="shared" si="23"/>
        <v>125</v>
      </c>
      <c r="AB91" s="489">
        <v>1000</v>
      </c>
      <c r="AC91" s="567"/>
    </row>
    <row r="92" spans="1:29" s="507" customFormat="1" ht="11.25">
      <c r="A92" s="456">
        <v>88</v>
      </c>
      <c r="B92" s="551" t="s">
        <v>2075</v>
      </c>
      <c r="C92" s="521">
        <v>9901502417</v>
      </c>
      <c r="D92" s="459" t="s">
        <v>2076</v>
      </c>
      <c r="E92" s="460" t="s">
        <v>38</v>
      </c>
      <c r="F92" s="523">
        <v>31</v>
      </c>
      <c r="G92" s="498">
        <v>71.400000000000006</v>
      </c>
      <c r="H92" s="519">
        <f t="shared" si="12"/>
        <v>2213.4</v>
      </c>
      <c r="I92" s="462">
        <f t="shared" si="13"/>
        <v>8568</v>
      </c>
      <c r="J92" s="463">
        <v>4</v>
      </c>
      <c r="K92" s="561"/>
      <c r="L92" s="462">
        <f t="shared" si="14"/>
        <v>1760</v>
      </c>
      <c r="M92" s="462">
        <v>1510</v>
      </c>
      <c r="N92" s="462">
        <v>250</v>
      </c>
      <c r="O92" s="462">
        <f t="shared" si="15"/>
        <v>3973.4</v>
      </c>
      <c r="P92" s="488">
        <f t="shared" si="16"/>
        <v>1217.3333333333333</v>
      </c>
      <c r="Q92" s="489">
        <f t="shared" si="17"/>
        <v>1200.6575342465753</v>
      </c>
      <c r="R92" s="489">
        <f t="shared" si="18"/>
        <v>65.753424657534239</v>
      </c>
      <c r="S92" s="490">
        <f t="shared" si="19"/>
        <v>15608</v>
      </c>
      <c r="T92" s="490">
        <f t="shared" si="20"/>
        <v>18091.744292237443</v>
      </c>
      <c r="U92" s="491">
        <f t="shared" si="21"/>
        <v>179.84</v>
      </c>
      <c r="V92" s="498">
        <f>(O92-N92)*11%</f>
        <v>409.57400000000001</v>
      </c>
      <c r="W92" s="560">
        <v>10</v>
      </c>
      <c r="X92" s="560"/>
      <c r="Y92" s="560"/>
      <c r="Z92" s="462">
        <f t="shared" si="22"/>
        <v>599.41399999999999</v>
      </c>
      <c r="AA92" s="462">
        <f t="shared" si="23"/>
        <v>3373.9859999999999</v>
      </c>
      <c r="AB92" s="489">
        <v>1000</v>
      </c>
      <c r="AC92" s="567"/>
    </row>
    <row r="93" spans="1:29" s="507" customFormat="1" ht="11.25">
      <c r="A93" s="456">
        <v>89</v>
      </c>
      <c r="B93" s="609" t="s">
        <v>2077</v>
      </c>
      <c r="C93" s="601">
        <v>9901532794</v>
      </c>
      <c r="D93" s="522" t="s">
        <v>2078</v>
      </c>
      <c r="E93" s="610" t="s">
        <v>48</v>
      </c>
      <c r="F93" s="611">
        <v>31</v>
      </c>
      <c r="G93" s="612">
        <v>71.400000000000006</v>
      </c>
      <c r="H93" s="613">
        <f>+F93*G93</f>
        <v>2213.4</v>
      </c>
      <c r="I93" s="462">
        <f t="shared" si="13"/>
        <v>8568</v>
      </c>
      <c r="J93" s="463">
        <v>4</v>
      </c>
      <c r="K93" s="614"/>
      <c r="L93" s="615">
        <f>M93+N93</f>
        <v>1760</v>
      </c>
      <c r="M93" s="615">
        <v>1510</v>
      </c>
      <c r="N93" s="615">
        <v>250</v>
      </c>
      <c r="O93" s="615">
        <f>+H93+M93+N93+K93</f>
        <v>3973.4</v>
      </c>
      <c r="P93" s="488">
        <f t="shared" si="16"/>
        <v>1217.3333333333333</v>
      </c>
      <c r="Q93" s="489">
        <f t="shared" si="17"/>
        <v>1200.6575342465753</v>
      </c>
      <c r="R93" s="489">
        <f t="shared" si="18"/>
        <v>65.753424657534239</v>
      </c>
      <c r="S93" s="490">
        <f t="shared" si="19"/>
        <v>15608</v>
      </c>
      <c r="T93" s="490">
        <f t="shared" si="20"/>
        <v>18091.744292237443</v>
      </c>
      <c r="U93" s="616">
        <f>ROUND((((H93+K93+M93)*4.83)/100),2)</f>
        <v>179.84</v>
      </c>
      <c r="V93" s="498">
        <f>(O93-N93)*11%</f>
        <v>409.57400000000001</v>
      </c>
      <c r="W93" s="498">
        <v>10</v>
      </c>
      <c r="X93" s="612"/>
      <c r="Y93" s="612"/>
      <c r="Z93" s="462">
        <f t="shared" si="22"/>
        <v>599.41399999999999</v>
      </c>
      <c r="AA93" s="462">
        <f t="shared" si="23"/>
        <v>3373.9859999999999</v>
      </c>
      <c r="AB93" s="489">
        <v>1000</v>
      </c>
      <c r="AC93" s="567"/>
    </row>
    <row r="94" spans="1:29" s="507" customFormat="1" ht="11.25" customHeight="1">
      <c r="A94" s="456">
        <v>90</v>
      </c>
      <c r="B94" s="609" t="s">
        <v>2079</v>
      </c>
      <c r="C94" s="617">
        <v>9901546145</v>
      </c>
      <c r="D94" s="522" t="s">
        <v>2080</v>
      </c>
      <c r="E94" s="610" t="s">
        <v>32</v>
      </c>
      <c r="F94" s="461">
        <v>31</v>
      </c>
      <c r="G94" s="498">
        <v>71.400000000000006</v>
      </c>
      <c r="H94" s="462">
        <f t="shared" ref="H94:H103" si="24">+F94*G94</f>
        <v>2213.4</v>
      </c>
      <c r="I94" s="462">
        <f t="shared" si="13"/>
        <v>8568</v>
      </c>
      <c r="J94" s="463">
        <v>4</v>
      </c>
      <c r="K94" s="464">
        <v>0</v>
      </c>
      <c r="L94" s="462">
        <f t="shared" ref="L94:L103" si="25">M94+N94</f>
        <v>1760</v>
      </c>
      <c r="M94" s="462">
        <v>1510</v>
      </c>
      <c r="N94" s="462">
        <v>250</v>
      </c>
      <c r="O94" s="462">
        <f t="shared" ref="O94:O103" si="26">+H94+M94+N94+K94</f>
        <v>3973.4</v>
      </c>
      <c r="P94" s="488">
        <f t="shared" si="16"/>
        <v>1217.3333333333333</v>
      </c>
      <c r="Q94" s="489">
        <f t="shared" si="17"/>
        <v>1200.6575342465753</v>
      </c>
      <c r="R94" s="489">
        <f t="shared" si="18"/>
        <v>65.753424657534239</v>
      </c>
      <c r="S94" s="490">
        <f t="shared" si="19"/>
        <v>15608</v>
      </c>
      <c r="T94" s="490">
        <f t="shared" si="20"/>
        <v>18091.744292237443</v>
      </c>
      <c r="U94" s="491">
        <f t="shared" ref="U94:U103" si="27">ROUND((((H94+K94+M94)*4.83)/100),2)</f>
        <v>179.84</v>
      </c>
      <c r="V94" s="498"/>
      <c r="W94" s="498">
        <v>10</v>
      </c>
      <c r="X94" s="498"/>
      <c r="Y94" s="498"/>
      <c r="Z94" s="462">
        <f t="shared" si="22"/>
        <v>189.84</v>
      </c>
      <c r="AA94" s="462">
        <f t="shared" si="23"/>
        <v>3783.56</v>
      </c>
      <c r="AB94" s="489">
        <v>1000</v>
      </c>
      <c r="AC94" s="567"/>
    </row>
    <row r="95" spans="1:29" s="507" customFormat="1" ht="11.25" customHeight="1">
      <c r="A95" s="456">
        <v>91</v>
      </c>
      <c r="B95" s="609" t="s">
        <v>2081</v>
      </c>
      <c r="C95" s="10">
        <v>9901546149</v>
      </c>
      <c r="D95" s="522" t="s">
        <v>2082</v>
      </c>
      <c r="E95" s="610" t="s">
        <v>72</v>
      </c>
      <c r="F95" s="461">
        <v>31</v>
      </c>
      <c r="G95" s="498">
        <v>71.400000000000006</v>
      </c>
      <c r="H95" s="462">
        <f t="shared" si="24"/>
        <v>2213.4</v>
      </c>
      <c r="I95" s="462">
        <f t="shared" si="13"/>
        <v>8568</v>
      </c>
      <c r="J95" s="463">
        <v>4</v>
      </c>
      <c r="K95" s="464">
        <v>0</v>
      </c>
      <c r="L95" s="462">
        <f t="shared" si="25"/>
        <v>1760</v>
      </c>
      <c r="M95" s="462">
        <v>1510</v>
      </c>
      <c r="N95" s="462">
        <v>250</v>
      </c>
      <c r="O95" s="462">
        <f t="shared" si="26"/>
        <v>3973.4</v>
      </c>
      <c r="P95" s="488">
        <f t="shared" si="16"/>
        <v>1217.3333333333333</v>
      </c>
      <c r="Q95" s="489">
        <f t="shared" si="17"/>
        <v>1200.6575342465753</v>
      </c>
      <c r="R95" s="489">
        <f t="shared" si="18"/>
        <v>65.753424657534239</v>
      </c>
      <c r="S95" s="490">
        <f t="shared" si="19"/>
        <v>15608</v>
      </c>
      <c r="T95" s="490">
        <f t="shared" si="20"/>
        <v>18091.744292237443</v>
      </c>
      <c r="U95" s="491">
        <f t="shared" si="27"/>
        <v>179.84</v>
      </c>
      <c r="V95" s="498"/>
      <c r="W95" s="498"/>
      <c r="X95" s="498"/>
      <c r="Y95" s="498"/>
      <c r="Z95" s="462">
        <f t="shared" si="22"/>
        <v>179.84</v>
      </c>
      <c r="AA95" s="462">
        <f t="shared" si="23"/>
        <v>3793.56</v>
      </c>
      <c r="AB95" s="489">
        <v>1000</v>
      </c>
      <c r="AC95" s="567"/>
    </row>
    <row r="96" spans="1:29" s="507" customFormat="1" ht="11.25" customHeight="1">
      <c r="A96" s="456">
        <v>92</v>
      </c>
      <c r="B96" s="565" t="s">
        <v>2083</v>
      </c>
      <c r="C96" s="571">
        <v>9901552695</v>
      </c>
      <c r="D96" s="507" t="s">
        <v>2084</v>
      </c>
      <c r="E96" s="507" t="s">
        <v>72</v>
      </c>
      <c r="F96" s="461">
        <v>31</v>
      </c>
      <c r="G96" s="498">
        <v>71.400000000000006</v>
      </c>
      <c r="H96" s="462">
        <f t="shared" si="24"/>
        <v>2213.4</v>
      </c>
      <c r="I96" s="462">
        <f t="shared" si="13"/>
        <v>8568</v>
      </c>
      <c r="J96" s="463">
        <v>4</v>
      </c>
      <c r="K96" s="464">
        <v>0</v>
      </c>
      <c r="L96" s="462">
        <f t="shared" si="25"/>
        <v>1760</v>
      </c>
      <c r="M96" s="462">
        <v>1510</v>
      </c>
      <c r="N96" s="462">
        <v>250</v>
      </c>
      <c r="O96" s="462">
        <f t="shared" si="26"/>
        <v>3973.4</v>
      </c>
      <c r="P96" s="488">
        <f t="shared" si="16"/>
        <v>1217.3333333333333</v>
      </c>
      <c r="Q96" s="489">
        <f t="shared" si="17"/>
        <v>1200.6575342465753</v>
      </c>
      <c r="R96" s="489">
        <f t="shared" si="18"/>
        <v>65.753424657534239</v>
      </c>
      <c r="S96" s="490">
        <f t="shared" si="19"/>
        <v>15608</v>
      </c>
      <c r="T96" s="490">
        <f t="shared" si="20"/>
        <v>18091.744292237443</v>
      </c>
      <c r="U96" s="491">
        <f t="shared" si="27"/>
        <v>179.84</v>
      </c>
      <c r="V96" s="456"/>
      <c r="W96" s="456"/>
      <c r="X96" s="456"/>
      <c r="Y96" s="456"/>
      <c r="Z96" s="462">
        <f t="shared" si="22"/>
        <v>179.84</v>
      </c>
      <c r="AA96" s="462">
        <f t="shared" si="23"/>
        <v>3793.56</v>
      </c>
      <c r="AB96" s="489">
        <v>1000</v>
      </c>
      <c r="AC96" s="567"/>
    </row>
    <row r="97" spans="1:32" s="507" customFormat="1" ht="11.25" customHeight="1">
      <c r="A97" s="456">
        <v>93</v>
      </c>
      <c r="B97" s="565" t="s">
        <v>2085</v>
      </c>
      <c r="C97" s="571">
        <v>9901552697</v>
      </c>
      <c r="D97" s="507" t="s">
        <v>2086</v>
      </c>
      <c r="E97" s="507" t="s">
        <v>44</v>
      </c>
      <c r="F97" s="461">
        <v>31</v>
      </c>
      <c r="G97" s="498">
        <v>72.540000000000006</v>
      </c>
      <c r="H97" s="462">
        <f t="shared" si="24"/>
        <v>2248.7400000000002</v>
      </c>
      <c r="I97" s="462">
        <f t="shared" si="13"/>
        <v>8704.8000000000011</v>
      </c>
      <c r="J97" s="463">
        <v>4</v>
      </c>
      <c r="K97" s="464">
        <v>0</v>
      </c>
      <c r="L97" s="462">
        <f t="shared" si="25"/>
        <v>1760</v>
      </c>
      <c r="M97" s="462">
        <v>1510</v>
      </c>
      <c r="N97" s="462">
        <v>250</v>
      </c>
      <c r="O97" s="462">
        <f t="shared" si="26"/>
        <v>4008.7400000000002</v>
      </c>
      <c r="P97" s="488">
        <f t="shared" si="16"/>
        <v>1228.7333333333333</v>
      </c>
      <c r="Q97" s="489">
        <f t="shared" si="17"/>
        <v>1211.9013698630138</v>
      </c>
      <c r="R97" s="489">
        <f t="shared" si="18"/>
        <v>65.753424657534239</v>
      </c>
      <c r="S97" s="490">
        <f t="shared" si="19"/>
        <v>15744.800000000001</v>
      </c>
      <c r="T97" s="490">
        <f t="shared" si="20"/>
        <v>18251.188127853882</v>
      </c>
      <c r="U97" s="491">
        <f t="shared" si="27"/>
        <v>181.55</v>
      </c>
      <c r="V97" s="456"/>
      <c r="W97" s="456"/>
      <c r="X97" s="456"/>
      <c r="Y97" s="456"/>
      <c r="Z97" s="462">
        <f t="shared" si="22"/>
        <v>181.55</v>
      </c>
      <c r="AA97" s="462">
        <f t="shared" si="23"/>
        <v>3827.19</v>
      </c>
      <c r="AB97" s="489">
        <v>1000</v>
      </c>
      <c r="AC97" s="567"/>
    </row>
    <row r="98" spans="1:32" s="507" customFormat="1" ht="11.25" customHeight="1">
      <c r="A98" s="456">
        <v>94</v>
      </c>
      <c r="B98" s="565" t="s">
        <v>2087</v>
      </c>
      <c r="C98" s="571">
        <v>9901552699</v>
      </c>
      <c r="D98" s="507" t="s">
        <v>2088</v>
      </c>
      <c r="E98" s="507" t="s">
        <v>44</v>
      </c>
      <c r="F98" s="461">
        <v>31</v>
      </c>
      <c r="G98" s="498">
        <v>72.540000000000006</v>
      </c>
      <c r="H98" s="462">
        <f t="shared" si="24"/>
        <v>2248.7400000000002</v>
      </c>
      <c r="I98" s="462">
        <f t="shared" si="13"/>
        <v>8704.8000000000011</v>
      </c>
      <c r="J98" s="463">
        <v>4</v>
      </c>
      <c r="K98" s="464">
        <v>0</v>
      </c>
      <c r="L98" s="462">
        <f t="shared" si="25"/>
        <v>1760</v>
      </c>
      <c r="M98" s="462">
        <v>1510</v>
      </c>
      <c r="N98" s="462">
        <v>250</v>
      </c>
      <c r="O98" s="462">
        <f t="shared" si="26"/>
        <v>4008.7400000000002</v>
      </c>
      <c r="P98" s="488">
        <f t="shared" si="16"/>
        <v>1228.7333333333333</v>
      </c>
      <c r="Q98" s="489">
        <f t="shared" si="17"/>
        <v>1211.9013698630138</v>
      </c>
      <c r="R98" s="489">
        <f t="shared" si="18"/>
        <v>65.753424657534239</v>
      </c>
      <c r="S98" s="490">
        <f t="shared" si="19"/>
        <v>15744.800000000001</v>
      </c>
      <c r="T98" s="490">
        <f t="shared" si="20"/>
        <v>18251.188127853882</v>
      </c>
      <c r="U98" s="491">
        <f t="shared" si="27"/>
        <v>181.55</v>
      </c>
      <c r="V98" s="456"/>
      <c r="W98" s="456"/>
      <c r="X98" s="456"/>
      <c r="Y98" s="456"/>
      <c r="Z98" s="462">
        <f t="shared" si="22"/>
        <v>181.55</v>
      </c>
      <c r="AA98" s="462">
        <f t="shared" si="23"/>
        <v>3827.19</v>
      </c>
      <c r="AB98" s="489">
        <v>1000</v>
      </c>
      <c r="AC98" s="567"/>
    </row>
    <row r="99" spans="1:32" s="507" customFormat="1" ht="11.25" customHeight="1">
      <c r="A99" s="456">
        <v>95</v>
      </c>
      <c r="B99" s="565" t="s">
        <v>2089</v>
      </c>
      <c r="C99" s="571">
        <v>9901552701</v>
      </c>
      <c r="D99" s="507" t="s">
        <v>2090</v>
      </c>
      <c r="E99" s="507" t="s">
        <v>44</v>
      </c>
      <c r="F99" s="461">
        <v>31</v>
      </c>
      <c r="G99" s="498">
        <v>72.540000000000006</v>
      </c>
      <c r="H99" s="462">
        <f t="shared" si="24"/>
        <v>2248.7400000000002</v>
      </c>
      <c r="I99" s="462">
        <f t="shared" si="13"/>
        <v>8704.8000000000011</v>
      </c>
      <c r="J99" s="463">
        <v>4</v>
      </c>
      <c r="K99" s="464">
        <v>0</v>
      </c>
      <c r="L99" s="462">
        <f t="shared" si="25"/>
        <v>1760</v>
      </c>
      <c r="M99" s="462">
        <v>1510</v>
      </c>
      <c r="N99" s="462">
        <v>250</v>
      </c>
      <c r="O99" s="462">
        <f t="shared" si="26"/>
        <v>4008.7400000000002</v>
      </c>
      <c r="P99" s="488">
        <f t="shared" si="16"/>
        <v>1228.7333333333333</v>
      </c>
      <c r="Q99" s="489">
        <f t="shared" si="17"/>
        <v>1211.9013698630138</v>
      </c>
      <c r="R99" s="489">
        <f t="shared" si="18"/>
        <v>65.753424657534239</v>
      </c>
      <c r="S99" s="490">
        <f t="shared" si="19"/>
        <v>15744.800000000001</v>
      </c>
      <c r="T99" s="490">
        <f t="shared" si="20"/>
        <v>18251.188127853882</v>
      </c>
      <c r="U99" s="491">
        <f t="shared" si="27"/>
        <v>181.55</v>
      </c>
      <c r="V99" s="456"/>
      <c r="W99" s="456"/>
      <c r="X99" s="456"/>
      <c r="Y99" s="456"/>
      <c r="Z99" s="462">
        <f t="shared" si="22"/>
        <v>181.55</v>
      </c>
      <c r="AA99" s="462">
        <f t="shared" si="23"/>
        <v>3827.19</v>
      </c>
      <c r="AB99" s="489">
        <v>1000</v>
      </c>
      <c r="AC99" s="567"/>
    </row>
    <row r="100" spans="1:32" s="507" customFormat="1" ht="11.25" customHeight="1">
      <c r="A100" s="456">
        <v>96</v>
      </c>
      <c r="B100" s="565" t="s">
        <v>2091</v>
      </c>
      <c r="C100" s="571">
        <v>9901552767</v>
      </c>
      <c r="D100" s="507" t="s">
        <v>2092</v>
      </c>
      <c r="E100" s="507" t="s">
        <v>44</v>
      </c>
      <c r="F100" s="461">
        <v>31</v>
      </c>
      <c r="G100" s="498">
        <v>72.540000000000006</v>
      </c>
      <c r="H100" s="462">
        <f t="shared" si="24"/>
        <v>2248.7400000000002</v>
      </c>
      <c r="I100" s="462">
        <f t="shared" si="13"/>
        <v>8704.8000000000011</v>
      </c>
      <c r="J100" s="463">
        <v>4</v>
      </c>
      <c r="K100" s="464">
        <v>0</v>
      </c>
      <c r="L100" s="462">
        <f t="shared" si="25"/>
        <v>1760</v>
      </c>
      <c r="M100" s="462">
        <v>1510</v>
      </c>
      <c r="N100" s="462">
        <v>250</v>
      </c>
      <c r="O100" s="462">
        <f t="shared" si="26"/>
        <v>4008.7400000000002</v>
      </c>
      <c r="P100" s="488">
        <f t="shared" si="16"/>
        <v>1228.7333333333333</v>
      </c>
      <c r="Q100" s="489">
        <f t="shared" si="17"/>
        <v>1211.9013698630138</v>
      </c>
      <c r="R100" s="489">
        <f t="shared" si="18"/>
        <v>65.753424657534239</v>
      </c>
      <c r="S100" s="490">
        <f t="shared" si="19"/>
        <v>15744.800000000001</v>
      </c>
      <c r="T100" s="490">
        <f t="shared" si="20"/>
        <v>18251.188127853882</v>
      </c>
      <c r="U100" s="491">
        <f t="shared" si="27"/>
        <v>181.55</v>
      </c>
      <c r="V100" s="456"/>
      <c r="W100" s="456"/>
      <c r="X100" s="456"/>
      <c r="Y100" s="456"/>
      <c r="Z100" s="462">
        <f t="shared" si="22"/>
        <v>181.55</v>
      </c>
      <c r="AA100" s="462">
        <f t="shared" si="23"/>
        <v>3827.19</v>
      </c>
      <c r="AB100" s="489">
        <v>1000</v>
      </c>
      <c r="AC100" s="567"/>
    </row>
    <row r="101" spans="1:32" s="507" customFormat="1" ht="11.25" customHeight="1">
      <c r="A101" s="456">
        <v>97</v>
      </c>
      <c r="B101" s="565"/>
      <c r="C101" s="550">
        <v>9901576099</v>
      </c>
      <c r="D101" s="459" t="s">
        <v>2093</v>
      </c>
      <c r="E101" s="460" t="s">
        <v>44</v>
      </c>
      <c r="F101" s="461">
        <v>31</v>
      </c>
      <c r="G101" s="498">
        <v>72.540000000000006</v>
      </c>
      <c r="H101" s="462">
        <f>+F101*G101</f>
        <v>2248.7400000000002</v>
      </c>
      <c r="I101" s="462">
        <f t="shared" si="13"/>
        <v>8704.8000000000011</v>
      </c>
      <c r="J101" s="463">
        <v>4</v>
      </c>
      <c r="K101" s="534"/>
      <c r="L101" s="462">
        <f>M101+N101</f>
        <v>1760</v>
      </c>
      <c r="M101" s="462">
        <v>1510</v>
      </c>
      <c r="N101" s="462">
        <v>250</v>
      </c>
      <c r="O101" s="462">
        <f>+H101+M101+N101+K101</f>
        <v>4008.7400000000002</v>
      </c>
      <c r="P101" s="488">
        <f t="shared" si="16"/>
        <v>1228.7333333333333</v>
      </c>
      <c r="Q101" s="489">
        <f t="shared" si="17"/>
        <v>1211.9013698630138</v>
      </c>
      <c r="R101" s="489">
        <f t="shared" si="18"/>
        <v>65.753424657534239</v>
      </c>
      <c r="S101" s="490">
        <f t="shared" si="19"/>
        <v>15744.800000000001</v>
      </c>
      <c r="T101" s="490">
        <f t="shared" si="20"/>
        <v>18251.188127853882</v>
      </c>
      <c r="U101" s="491">
        <f t="shared" si="27"/>
        <v>181.55</v>
      </c>
      <c r="V101" s="498"/>
      <c r="W101" s="456"/>
      <c r="X101" s="456"/>
      <c r="Y101" s="456"/>
      <c r="Z101" s="462">
        <f t="shared" si="22"/>
        <v>181.55</v>
      </c>
      <c r="AA101" s="462">
        <f t="shared" si="23"/>
        <v>3827.19</v>
      </c>
      <c r="AB101" s="489">
        <v>1000</v>
      </c>
      <c r="AC101" s="567"/>
    </row>
    <row r="102" spans="1:32" s="507" customFormat="1" ht="12">
      <c r="A102" s="456">
        <v>98</v>
      </c>
      <c r="B102" s="466"/>
      <c r="C102" s="497">
        <v>9901576580</v>
      </c>
      <c r="D102" s="507" t="s">
        <v>2094</v>
      </c>
      <c r="E102" s="460" t="s">
        <v>44</v>
      </c>
      <c r="F102" s="461">
        <v>31</v>
      </c>
      <c r="G102" s="498">
        <v>72.540000000000006</v>
      </c>
      <c r="H102" s="462">
        <f t="shared" si="24"/>
        <v>2248.7400000000002</v>
      </c>
      <c r="I102" s="462">
        <f t="shared" si="13"/>
        <v>8704.8000000000011</v>
      </c>
      <c r="J102" s="463">
        <v>4</v>
      </c>
      <c r="K102" s="534"/>
      <c r="L102" s="462">
        <f t="shared" si="25"/>
        <v>1760</v>
      </c>
      <c r="M102" s="462">
        <v>1510</v>
      </c>
      <c r="N102" s="462">
        <v>250</v>
      </c>
      <c r="O102" s="462">
        <f t="shared" si="26"/>
        <v>4008.7400000000002</v>
      </c>
      <c r="P102" s="488">
        <f t="shared" si="16"/>
        <v>1228.7333333333333</v>
      </c>
      <c r="Q102" s="489">
        <f t="shared" si="17"/>
        <v>1211.9013698630138</v>
      </c>
      <c r="R102" s="489">
        <f t="shared" si="18"/>
        <v>65.753424657534239</v>
      </c>
      <c r="S102" s="490">
        <f t="shared" si="19"/>
        <v>15744.800000000001</v>
      </c>
      <c r="T102" s="490">
        <f t="shared" si="20"/>
        <v>18251.188127853882</v>
      </c>
      <c r="U102" s="491">
        <f t="shared" si="27"/>
        <v>181.55</v>
      </c>
      <c r="V102" s="498"/>
      <c r="W102" s="498"/>
      <c r="X102" s="498"/>
      <c r="Y102" s="498"/>
      <c r="Z102" s="462">
        <f t="shared" si="22"/>
        <v>181.55</v>
      </c>
      <c r="AA102" s="462">
        <f t="shared" si="23"/>
        <v>3827.19</v>
      </c>
      <c r="AB102" s="489">
        <v>1000</v>
      </c>
    </row>
    <row r="103" spans="1:32" s="507" customFormat="1" ht="12">
      <c r="A103" s="456">
        <v>99</v>
      </c>
      <c r="B103" s="536"/>
      <c r="C103" s="550">
        <v>9901576583</v>
      </c>
      <c r="D103" s="459" t="s">
        <v>2095</v>
      </c>
      <c r="E103" s="460" t="s">
        <v>44</v>
      </c>
      <c r="F103" s="461">
        <v>31</v>
      </c>
      <c r="G103" s="498">
        <v>72.540000000000006</v>
      </c>
      <c r="H103" s="462">
        <f t="shared" si="24"/>
        <v>2248.7400000000002</v>
      </c>
      <c r="I103" s="462">
        <f t="shared" si="13"/>
        <v>8704.8000000000011</v>
      </c>
      <c r="J103" s="463">
        <v>4</v>
      </c>
      <c r="K103" s="534"/>
      <c r="L103" s="462">
        <f t="shared" si="25"/>
        <v>1760</v>
      </c>
      <c r="M103" s="462">
        <v>1510</v>
      </c>
      <c r="N103" s="462">
        <v>250</v>
      </c>
      <c r="O103" s="462">
        <f t="shared" si="26"/>
        <v>4008.7400000000002</v>
      </c>
      <c r="P103" s="488">
        <f t="shared" si="16"/>
        <v>1228.7333333333333</v>
      </c>
      <c r="Q103" s="489">
        <f t="shared" si="17"/>
        <v>1211.9013698630138</v>
      </c>
      <c r="R103" s="489">
        <f t="shared" si="18"/>
        <v>65.753424657534239</v>
      </c>
      <c r="S103" s="490">
        <f t="shared" si="19"/>
        <v>15744.800000000001</v>
      </c>
      <c r="T103" s="490">
        <f t="shared" si="20"/>
        <v>18251.188127853882</v>
      </c>
      <c r="U103" s="491">
        <f t="shared" si="27"/>
        <v>181.55</v>
      </c>
      <c r="V103" s="498"/>
      <c r="W103" s="498"/>
      <c r="X103" s="498"/>
      <c r="Y103" s="498"/>
      <c r="Z103" s="462">
        <f t="shared" si="22"/>
        <v>181.55</v>
      </c>
      <c r="AA103" s="462">
        <f t="shared" si="23"/>
        <v>3827.19</v>
      </c>
      <c r="AB103" s="489">
        <v>1000</v>
      </c>
    </row>
    <row r="104" spans="1:32" s="507" customFormat="1" ht="12">
      <c r="A104" s="456">
        <v>1</v>
      </c>
      <c r="B104" s="457" t="s">
        <v>2096</v>
      </c>
      <c r="C104" s="576">
        <v>9901443940</v>
      </c>
      <c r="D104" s="459" t="s">
        <v>2097</v>
      </c>
      <c r="E104" s="460" t="s">
        <v>52</v>
      </c>
      <c r="F104" s="461">
        <v>31</v>
      </c>
      <c r="G104" s="498">
        <v>72.540000000000006</v>
      </c>
      <c r="H104" s="462">
        <f t="shared" ref="H104:H110" si="28">+F104*G104</f>
        <v>2248.7400000000002</v>
      </c>
      <c r="I104" s="462">
        <f t="shared" ref="I104:I110" si="29">G104*120</f>
        <v>8704.8000000000011</v>
      </c>
      <c r="J104" s="463">
        <v>4</v>
      </c>
      <c r="K104" s="569">
        <v>35</v>
      </c>
      <c r="L104" s="462">
        <f>M104+N104</f>
        <v>1760</v>
      </c>
      <c r="M104" s="498">
        <v>1510</v>
      </c>
      <c r="N104" s="498">
        <v>250</v>
      </c>
      <c r="O104" s="462">
        <f>+H104+M104+N104+K104</f>
        <v>4043.7400000000002</v>
      </c>
      <c r="P104" s="488">
        <f t="shared" ref="P104:P110" si="30">(((G104*120)+(K104+M104)*4)/12)</f>
        <v>1240.4000000000001</v>
      </c>
      <c r="Q104" s="489">
        <f t="shared" ref="Q104:Q110" si="31">(((G104*30)+M104+K104)/365*120)</f>
        <v>1223.4082191780822</v>
      </c>
      <c r="R104" s="489">
        <f t="shared" ref="R104:R110" si="32">+(200/365)*120</f>
        <v>65.753424657534239</v>
      </c>
      <c r="S104" s="490">
        <f t="shared" ref="S104:S110" si="33">(((G104*120)+((K104+M104+N104)*4)))</f>
        <v>15884.800000000001</v>
      </c>
      <c r="T104" s="490">
        <f t="shared" ref="T104:T110" si="34">+S104+R104+Q104+P104</f>
        <v>18414.361643835618</v>
      </c>
      <c r="U104" s="491">
        <f t="shared" ref="U104:U110" si="35">ROUND((((H104+K104+M104)*4.83)/100),2)</f>
        <v>183.24</v>
      </c>
      <c r="V104" s="498"/>
      <c r="W104" s="498">
        <v>10</v>
      </c>
      <c r="X104" s="498"/>
      <c r="Y104" s="498"/>
      <c r="Z104" s="462">
        <f t="shared" ref="Z104:Z110" si="36">V104+W104+X104+Y104+U104</f>
        <v>193.24</v>
      </c>
      <c r="AA104" s="462">
        <f t="shared" ref="AA104:AA110" si="37">+O104-Z104</f>
        <v>3850.5</v>
      </c>
      <c r="AB104" s="489">
        <v>1000</v>
      </c>
    </row>
    <row r="105" spans="1:32" s="507" customFormat="1" ht="11.25">
      <c r="A105" s="500">
        <v>2</v>
      </c>
      <c r="B105" s="457" t="s">
        <v>2098</v>
      </c>
      <c r="C105" s="619">
        <v>9901510063</v>
      </c>
      <c r="D105" s="459" t="s">
        <v>2099</v>
      </c>
      <c r="E105" s="460" t="s">
        <v>37</v>
      </c>
      <c r="F105" s="461">
        <v>31</v>
      </c>
      <c r="G105" s="560">
        <v>80.86</v>
      </c>
      <c r="H105" s="462">
        <f t="shared" si="28"/>
        <v>2506.66</v>
      </c>
      <c r="I105" s="462">
        <f t="shared" si="29"/>
        <v>9703.2000000000007</v>
      </c>
      <c r="J105" s="463">
        <v>4</v>
      </c>
      <c r="K105" s="560"/>
      <c r="L105" s="462">
        <f t="shared" ref="L105:L110" si="38">M105+N105</f>
        <v>1760</v>
      </c>
      <c r="M105" s="498">
        <v>1510</v>
      </c>
      <c r="N105" s="498">
        <v>250</v>
      </c>
      <c r="O105" s="462">
        <f t="shared" ref="O105:O110" si="39">+H105+M105+N105+K105</f>
        <v>4266.66</v>
      </c>
      <c r="P105" s="488">
        <f t="shared" si="30"/>
        <v>1311.9333333333334</v>
      </c>
      <c r="Q105" s="489">
        <f t="shared" si="31"/>
        <v>1293.9616438356165</v>
      </c>
      <c r="R105" s="489">
        <f t="shared" si="32"/>
        <v>65.753424657534239</v>
      </c>
      <c r="S105" s="490">
        <f t="shared" si="33"/>
        <v>16743.2</v>
      </c>
      <c r="T105" s="490">
        <f t="shared" si="34"/>
        <v>19414.848401826486</v>
      </c>
      <c r="U105" s="491">
        <f t="shared" si="35"/>
        <v>194</v>
      </c>
      <c r="V105" s="560"/>
      <c r="W105" s="560"/>
      <c r="X105" s="560"/>
      <c r="Y105" s="560"/>
      <c r="Z105" s="462">
        <f t="shared" si="36"/>
        <v>194</v>
      </c>
      <c r="AA105" s="462">
        <f t="shared" si="37"/>
        <v>4072.66</v>
      </c>
      <c r="AB105" s="489">
        <v>1000</v>
      </c>
    </row>
    <row r="106" spans="1:32" s="507" customFormat="1" ht="11.25">
      <c r="A106" s="500">
        <v>3</v>
      </c>
      <c r="B106" s="457" t="s">
        <v>2100</v>
      </c>
      <c r="C106" s="521">
        <v>9901509965</v>
      </c>
      <c r="D106" s="459" t="s">
        <v>2101</v>
      </c>
      <c r="E106" s="460" t="s">
        <v>37</v>
      </c>
      <c r="F106" s="461">
        <v>31</v>
      </c>
      <c r="G106" s="560">
        <v>80.86</v>
      </c>
      <c r="H106" s="462">
        <f t="shared" si="28"/>
        <v>2506.66</v>
      </c>
      <c r="I106" s="462">
        <f t="shared" si="29"/>
        <v>9703.2000000000007</v>
      </c>
      <c r="J106" s="463">
        <v>4</v>
      </c>
      <c r="K106" s="560"/>
      <c r="L106" s="462">
        <f t="shared" si="38"/>
        <v>1760</v>
      </c>
      <c r="M106" s="498">
        <v>1510</v>
      </c>
      <c r="N106" s="498">
        <v>250</v>
      </c>
      <c r="O106" s="462">
        <f t="shared" si="39"/>
        <v>4266.66</v>
      </c>
      <c r="P106" s="488">
        <f t="shared" si="30"/>
        <v>1311.9333333333334</v>
      </c>
      <c r="Q106" s="489">
        <f t="shared" si="31"/>
        <v>1293.9616438356165</v>
      </c>
      <c r="R106" s="489">
        <f t="shared" si="32"/>
        <v>65.753424657534239</v>
      </c>
      <c r="S106" s="490">
        <f t="shared" si="33"/>
        <v>16743.2</v>
      </c>
      <c r="T106" s="490">
        <f t="shared" si="34"/>
        <v>19414.848401826486</v>
      </c>
      <c r="U106" s="491">
        <f t="shared" si="35"/>
        <v>194</v>
      </c>
      <c r="V106" s="560"/>
      <c r="W106" s="560"/>
      <c r="X106" s="560"/>
      <c r="Y106" s="560"/>
      <c r="Z106" s="462">
        <f t="shared" si="36"/>
        <v>194</v>
      </c>
      <c r="AA106" s="462">
        <f t="shared" si="37"/>
        <v>4072.66</v>
      </c>
      <c r="AB106" s="489">
        <v>1000</v>
      </c>
    </row>
    <row r="107" spans="1:32" s="507" customFormat="1" ht="11.25">
      <c r="A107" s="500">
        <v>4</v>
      </c>
      <c r="B107" s="457" t="s">
        <v>2102</v>
      </c>
      <c r="C107" s="521">
        <v>9901509902</v>
      </c>
      <c r="D107" s="459" t="s">
        <v>2103</v>
      </c>
      <c r="E107" s="460" t="s">
        <v>37</v>
      </c>
      <c r="F107" s="461">
        <v>31</v>
      </c>
      <c r="G107" s="560">
        <v>80.86</v>
      </c>
      <c r="H107" s="462">
        <f t="shared" si="28"/>
        <v>2506.66</v>
      </c>
      <c r="I107" s="462">
        <f t="shared" si="29"/>
        <v>9703.2000000000007</v>
      </c>
      <c r="J107" s="463">
        <v>4</v>
      </c>
      <c r="K107" s="560"/>
      <c r="L107" s="462">
        <f t="shared" si="38"/>
        <v>1760</v>
      </c>
      <c r="M107" s="498">
        <v>1510</v>
      </c>
      <c r="N107" s="498">
        <v>250</v>
      </c>
      <c r="O107" s="462">
        <f t="shared" si="39"/>
        <v>4266.66</v>
      </c>
      <c r="P107" s="488">
        <f t="shared" si="30"/>
        <v>1311.9333333333334</v>
      </c>
      <c r="Q107" s="489">
        <f t="shared" si="31"/>
        <v>1293.9616438356165</v>
      </c>
      <c r="R107" s="489">
        <f t="shared" si="32"/>
        <v>65.753424657534239</v>
      </c>
      <c r="S107" s="490">
        <f t="shared" si="33"/>
        <v>16743.2</v>
      </c>
      <c r="T107" s="490">
        <f t="shared" si="34"/>
        <v>19414.848401826486</v>
      </c>
      <c r="U107" s="491">
        <f t="shared" si="35"/>
        <v>194</v>
      </c>
      <c r="V107" s="560"/>
      <c r="W107" s="560"/>
      <c r="X107" s="560"/>
      <c r="Y107" s="560"/>
      <c r="Z107" s="462">
        <f t="shared" si="36"/>
        <v>194</v>
      </c>
      <c r="AA107" s="462">
        <f t="shared" si="37"/>
        <v>4072.66</v>
      </c>
      <c r="AB107" s="489">
        <v>1000</v>
      </c>
    </row>
    <row r="108" spans="1:32" s="507" customFormat="1" ht="11.25">
      <c r="A108" s="500">
        <v>5</v>
      </c>
      <c r="B108" s="457" t="s">
        <v>2104</v>
      </c>
      <c r="C108" s="521">
        <v>9901510115</v>
      </c>
      <c r="D108" s="459" t="s">
        <v>2105</v>
      </c>
      <c r="E108" s="460" t="s">
        <v>37</v>
      </c>
      <c r="F108" s="461">
        <v>31</v>
      </c>
      <c r="G108" s="560">
        <v>80.86</v>
      </c>
      <c r="H108" s="462">
        <f t="shared" si="28"/>
        <v>2506.66</v>
      </c>
      <c r="I108" s="462">
        <f t="shared" si="29"/>
        <v>9703.2000000000007</v>
      </c>
      <c r="J108" s="463">
        <v>4</v>
      </c>
      <c r="K108" s="560"/>
      <c r="L108" s="462">
        <f t="shared" si="38"/>
        <v>1760</v>
      </c>
      <c r="M108" s="498">
        <v>1510</v>
      </c>
      <c r="N108" s="498">
        <v>250</v>
      </c>
      <c r="O108" s="462">
        <f t="shared" si="39"/>
        <v>4266.66</v>
      </c>
      <c r="P108" s="488">
        <f t="shared" si="30"/>
        <v>1311.9333333333334</v>
      </c>
      <c r="Q108" s="489">
        <f t="shared" si="31"/>
        <v>1293.9616438356165</v>
      </c>
      <c r="R108" s="489">
        <f t="shared" si="32"/>
        <v>65.753424657534239</v>
      </c>
      <c r="S108" s="490">
        <f t="shared" si="33"/>
        <v>16743.2</v>
      </c>
      <c r="T108" s="490">
        <f t="shared" si="34"/>
        <v>19414.848401826486</v>
      </c>
      <c r="U108" s="491">
        <f t="shared" si="35"/>
        <v>194</v>
      </c>
      <c r="V108" s="560"/>
      <c r="W108" s="560"/>
      <c r="X108" s="560"/>
      <c r="Y108" s="560"/>
      <c r="Z108" s="462">
        <f t="shared" si="36"/>
        <v>194</v>
      </c>
      <c r="AA108" s="462">
        <f t="shared" si="37"/>
        <v>4072.66</v>
      </c>
      <c r="AB108" s="489">
        <v>1000</v>
      </c>
    </row>
    <row r="109" spans="1:32" s="507" customFormat="1" ht="11.25">
      <c r="A109" s="456">
        <v>6</v>
      </c>
      <c r="B109" s="466" t="s">
        <v>2106</v>
      </c>
      <c r="C109" s="521">
        <v>9901522627</v>
      </c>
      <c r="D109" s="605" t="s">
        <v>2107</v>
      </c>
      <c r="E109" s="460" t="s">
        <v>37</v>
      </c>
      <c r="F109" s="461"/>
      <c r="G109" s="560">
        <v>80.86</v>
      </c>
      <c r="H109" s="462">
        <f t="shared" si="28"/>
        <v>0</v>
      </c>
      <c r="I109" s="462"/>
      <c r="J109" s="463">
        <v>4</v>
      </c>
      <c r="K109" s="560"/>
      <c r="L109" s="462"/>
      <c r="M109" s="498"/>
      <c r="N109" s="498"/>
      <c r="O109" s="462"/>
      <c r="P109" s="488">
        <f t="shared" si="30"/>
        <v>808.6</v>
      </c>
      <c r="Q109" s="489">
        <f t="shared" si="31"/>
        <v>797.52328767123299</v>
      </c>
      <c r="R109" s="489">
        <f t="shared" si="32"/>
        <v>65.753424657534239</v>
      </c>
      <c r="S109" s="490">
        <f t="shared" si="33"/>
        <v>9703.2000000000007</v>
      </c>
      <c r="T109" s="490">
        <f t="shared" si="34"/>
        <v>11375.076712328768</v>
      </c>
      <c r="U109" s="491">
        <f t="shared" si="35"/>
        <v>0</v>
      </c>
      <c r="V109" s="560"/>
      <c r="W109" s="560"/>
      <c r="X109" s="560"/>
      <c r="Y109" s="560"/>
      <c r="Z109" s="462">
        <f t="shared" si="36"/>
        <v>0</v>
      </c>
      <c r="AA109" s="462">
        <f t="shared" si="37"/>
        <v>0</v>
      </c>
      <c r="AB109" s="489">
        <v>1000</v>
      </c>
    </row>
    <row r="110" spans="1:32" s="507" customFormat="1" ht="11.25">
      <c r="A110" s="500">
        <v>7</v>
      </c>
      <c r="B110" s="466" t="s">
        <v>2108</v>
      </c>
      <c r="C110" s="521">
        <v>9901495342</v>
      </c>
      <c r="D110" s="459" t="s">
        <v>2109</v>
      </c>
      <c r="E110" s="460" t="s">
        <v>37</v>
      </c>
      <c r="F110" s="461">
        <v>31</v>
      </c>
      <c r="G110" s="560">
        <v>80.86</v>
      </c>
      <c r="H110" s="462">
        <f t="shared" si="28"/>
        <v>2506.66</v>
      </c>
      <c r="I110" s="462">
        <f t="shared" si="29"/>
        <v>9703.2000000000007</v>
      </c>
      <c r="J110" s="463">
        <v>4</v>
      </c>
      <c r="K110" s="560"/>
      <c r="L110" s="462">
        <f t="shared" si="38"/>
        <v>1760</v>
      </c>
      <c r="M110" s="498">
        <v>1510</v>
      </c>
      <c r="N110" s="498">
        <v>250</v>
      </c>
      <c r="O110" s="462">
        <f t="shared" si="39"/>
        <v>4266.66</v>
      </c>
      <c r="P110" s="488">
        <f t="shared" si="30"/>
        <v>1311.9333333333334</v>
      </c>
      <c r="Q110" s="489">
        <f t="shared" si="31"/>
        <v>1293.9616438356165</v>
      </c>
      <c r="R110" s="489">
        <f t="shared" si="32"/>
        <v>65.753424657534239</v>
      </c>
      <c r="S110" s="490">
        <f t="shared" si="33"/>
        <v>16743.2</v>
      </c>
      <c r="T110" s="490">
        <f t="shared" si="34"/>
        <v>19414.848401826486</v>
      </c>
      <c r="U110" s="491">
        <f t="shared" si="35"/>
        <v>194</v>
      </c>
      <c r="V110" s="560"/>
      <c r="W110" s="560"/>
      <c r="X110" s="560"/>
      <c r="Y110" s="560"/>
      <c r="Z110" s="462">
        <f t="shared" si="36"/>
        <v>194</v>
      </c>
      <c r="AA110" s="462">
        <f t="shared" si="37"/>
        <v>4072.66</v>
      </c>
      <c r="AB110" s="489">
        <v>1000</v>
      </c>
    </row>
    <row r="111" spans="1:32" s="507" customFormat="1" ht="15" customHeight="1">
      <c r="A111" s="499"/>
      <c r="B111" s="500"/>
      <c r="C111" s="501"/>
      <c r="D111" s="456"/>
      <c r="E111" s="456"/>
      <c r="F111" s="538"/>
      <c r="G111" s="539">
        <f>SUM(G104:G110)</f>
        <v>557.70000000000005</v>
      </c>
      <c r="H111" s="539">
        <f>SUM(H5:H110)</f>
        <v>231373.76999999976</v>
      </c>
      <c r="I111" s="539">
        <f t="shared" ref="I111:AB111" si="40">SUM(I104:I110)</f>
        <v>57220.800000000003</v>
      </c>
      <c r="J111" s="539">
        <f t="shared" si="40"/>
        <v>28</v>
      </c>
      <c r="K111" s="539">
        <f>SUM(K104:K110)</f>
        <v>35</v>
      </c>
      <c r="L111" s="539">
        <f t="shared" si="40"/>
        <v>10560</v>
      </c>
      <c r="M111" s="539">
        <f>SUM(M104:M110)</f>
        <v>9060</v>
      </c>
      <c r="N111" s="539">
        <f>SUM(N104:N110)</f>
        <v>1500</v>
      </c>
      <c r="O111" s="540">
        <f t="shared" si="40"/>
        <v>25377.040000000001</v>
      </c>
      <c r="P111" s="539">
        <f t="shared" si="40"/>
        <v>8608.6666666666679</v>
      </c>
      <c r="Q111" s="539">
        <f t="shared" si="40"/>
        <v>8490.7397260273974</v>
      </c>
      <c r="R111" s="539">
        <f t="shared" si="40"/>
        <v>460.27397260273972</v>
      </c>
      <c r="S111" s="539">
        <f t="shared" si="40"/>
        <v>109303.99999999999</v>
      </c>
      <c r="T111" s="539">
        <f t="shared" si="40"/>
        <v>126863.68036529681</v>
      </c>
      <c r="U111" s="539">
        <f t="shared" si="40"/>
        <v>1153.24</v>
      </c>
      <c r="V111" s="539">
        <f t="shared" si="40"/>
        <v>0</v>
      </c>
      <c r="W111" s="539">
        <f t="shared" si="40"/>
        <v>10</v>
      </c>
      <c r="X111" s="539">
        <f t="shared" si="40"/>
        <v>0</v>
      </c>
      <c r="Y111" s="539">
        <f t="shared" si="40"/>
        <v>0</v>
      </c>
      <c r="Z111" s="539">
        <f t="shared" si="40"/>
        <v>1163.24</v>
      </c>
      <c r="AA111" s="539">
        <f t="shared" si="40"/>
        <v>24213.8</v>
      </c>
      <c r="AB111" s="539">
        <f t="shared" si="40"/>
        <v>7000</v>
      </c>
      <c r="AC111" s="547"/>
      <c r="AF111" s="507">
        <v>1</v>
      </c>
    </row>
  </sheetData>
  <mergeCells count="2">
    <mergeCell ref="A1:N1"/>
    <mergeCell ref="A3:N3"/>
  </mergeCells>
  <conditionalFormatting sqref="D4">
    <cfRule type="duplicateValues" dxfId="15" priority="13"/>
  </conditionalFormatting>
  <conditionalFormatting sqref="D4">
    <cfRule type="duplicateValues" dxfId="14" priority="14" stopIfTrue="1"/>
  </conditionalFormatting>
  <conditionalFormatting sqref="D4">
    <cfRule type="duplicateValues" dxfId="13" priority="15"/>
  </conditionalFormatting>
  <conditionalFormatting sqref="A3">
    <cfRule type="duplicateValues" dxfId="12" priority="16"/>
  </conditionalFormatting>
  <conditionalFormatting sqref="D92">
    <cfRule type="duplicateValues" dxfId="11" priority="6"/>
  </conditionalFormatting>
  <conditionalFormatting sqref="D92">
    <cfRule type="duplicateValues" dxfId="10" priority="7" stopIfTrue="1"/>
  </conditionalFormatting>
  <conditionalFormatting sqref="D92">
    <cfRule type="duplicateValues" dxfId="9" priority="8"/>
  </conditionalFormatting>
  <conditionalFormatting sqref="D89">
    <cfRule type="duplicateValues" dxfId="8" priority="17" stopIfTrue="1"/>
  </conditionalFormatting>
  <conditionalFormatting sqref="D89">
    <cfRule type="duplicateValues" dxfId="7" priority="18"/>
  </conditionalFormatting>
  <conditionalFormatting sqref="B3">
    <cfRule type="duplicateValues" dxfId="6" priority="5"/>
  </conditionalFormatting>
  <conditionalFormatting sqref="D104:D110 D90 D5:D88">
    <cfRule type="duplicateValues" dxfId="5" priority="19" stopIfTrue="1"/>
  </conditionalFormatting>
  <conditionalFormatting sqref="D103 D101">
    <cfRule type="duplicateValues" dxfId="4" priority="1" stopIfTrue="1"/>
  </conditionalFormatting>
  <conditionalFormatting sqref="D103 D101">
    <cfRule type="duplicateValues" dxfId="3" priority="2"/>
  </conditionalFormatting>
  <conditionalFormatting sqref="D103 D101">
    <cfRule type="duplicateValues" dxfId="2" priority="3"/>
  </conditionalFormatting>
  <conditionalFormatting sqref="D104:D110 D90 D5:D88">
    <cfRule type="duplicateValues" dxfId="1" priority="20"/>
  </conditionalFormatting>
  <conditionalFormatting sqref="D104:D110 D90 D5:D88">
    <cfRule type="duplicateValues" dxfId="0" priority="21"/>
  </conditionalFormatting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48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49" customWidth="1"/>
    <col min="19" max="19" width="15.42578125" style="22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/>
    <row r="2" spans="1:25" ht="21" hidden="1" customHeight="1">
      <c r="G2" s="50"/>
      <c r="H2" s="50"/>
      <c r="I2" s="50"/>
      <c r="J2" s="50"/>
    </row>
    <row r="3" spans="1:25" ht="21.75" hidden="1" thickBot="1">
      <c r="B3" s="761" t="s">
        <v>94</v>
      </c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</row>
    <row r="4" spans="1:25" ht="21.75" hidden="1" thickBot="1">
      <c r="B4" s="761" t="s">
        <v>95</v>
      </c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</row>
    <row r="5" spans="1:25" ht="15.75" hidden="1" thickBot="1"/>
    <row r="6" spans="1:25" ht="16.5" hidden="1" thickBot="1">
      <c r="C6" s="51" t="s">
        <v>96</v>
      </c>
      <c r="D6" s="52"/>
      <c r="E6" s="51"/>
      <c r="F6" s="53"/>
    </row>
    <row r="7" spans="1:25" ht="16.5" hidden="1" thickBot="1">
      <c r="C7" s="51" t="s">
        <v>95</v>
      </c>
      <c r="D7" s="54"/>
      <c r="E7" s="51"/>
      <c r="F7" s="55"/>
    </row>
    <row r="8" spans="1:25" ht="16.5" hidden="1" thickBot="1">
      <c r="C8" s="51" t="s">
        <v>97</v>
      </c>
      <c r="D8" s="54"/>
      <c r="E8" s="51"/>
      <c r="F8" s="55"/>
      <c r="I8" s="56"/>
      <c r="L8" s="22"/>
    </row>
    <row r="9" spans="1:25" ht="16.5" hidden="1" thickBot="1">
      <c r="C9" s="51" t="s">
        <v>98</v>
      </c>
      <c r="D9" s="54"/>
      <c r="E9" s="51"/>
      <c r="F9" s="55"/>
      <c r="H9" s="22"/>
    </row>
    <row r="10" spans="1:25" ht="16.5" hidden="1" thickBot="1">
      <c r="C10" s="51"/>
      <c r="D10" s="54"/>
      <c r="E10" s="51"/>
      <c r="F10" s="55"/>
      <c r="G10" s="22"/>
      <c r="H10" s="22"/>
      <c r="L10" s="22"/>
      <c r="M10" s="22"/>
      <c r="Q10" s="22"/>
    </row>
    <row r="11" spans="1:25" ht="66" customHeight="1" thickBot="1">
      <c r="A11" s="57"/>
      <c r="B11" s="763" t="s">
        <v>99</v>
      </c>
      <c r="C11" s="764"/>
      <c r="D11" s="764"/>
      <c r="E11" s="764"/>
      <c r="F11" s="764"/>
      <c r="G11" s="764"/>
      <c r="H11" s="764"/>
      <c r="I11" s="764"/>
      <c r="J11" s="764"/>
      <c r="K11" s="764"/>
      <c r="L11" s="764"/>
      <c r="M11" s="764"/>
      <c r="N11" s="764"/>
      <c r="O11" s="764"/>
      <c r="P11" s="764"/>
      <c r="Q11" s="764"/>
      <c r="R11" s="765"/>
      <c r="S11" s="29"/>
      <c r="T11" s="22">
        <v>29810393</v>
      </c>
      <c r="Y11" s="58"/>
    </row>
    <row r="12" spans="1:25">
      <c r="A12" s="59"/>
      <c r="B12" s="60"/>
      <c r="C12" s="766" t="s">
        <v>100</v>
      </c>
      <c r="D12" s="768" t="s">
        <v>101</v>
      </c>
      <c r="E12" s="768" t="s">
        <v>102</v>
      </c>
      <c r="F12" s="770" t="s">
        <v>103</v>
      </c>
      <c r="G12" s="772" t="s">
        <v>104</v>
      </c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3"/>
    </row>
    <row r="13" spans="1:25" ht="23.25" customHeight="1">
      <c r="A13" s="59"/>
      <c r="B13" s="61"/>
      <c r="C13" s="767"/>
      <c r="D13" s="769"/>
      <c r="E13" s="769"/>
      <c r="F13" s="771"/>
      <c r="G13" s="62" t="s">
        <v>105</v>
      </c>
      <c r="H13" s="62" t="s">
        <v>106</v>
      </c>
      <c r="I13" s="62" t="s">
        <v>107</v>
      </c>
      <c r="J13" s="62" t="s">
        <v>108</v>
      </c>
      <c r="K13" s="62" t="s">
        <v>109</v>
      </c>
      <c r="L13" s="62" t="s">
        <v>110</v>
      </c>
      <c r="M13" s="62" t="s">
        <v>111</v>
      </c>
      <c r="N13" s="62" t="s">
        <v>112</v>
      </c>
      <c r="O13" s="62" t="s">
        <v>113</v>
      </c>
      <c r="P13" s="62" t="s">
        <v>114</v>
      </c>
      <c r="Q13" s="62" t="s">
        <v>115</v>
      </c>
      <c r="R13" s="63" t="s">
        <v>116</v>
      </c>
      <c r="S13" s="22" t="s">
        <v>117</v>
      </c>
    </row>
    <row r="14" spans="1:25" ht="15" customHeight="1">
      <c r="A14" s="59"/>
      <c r="B14" s="61"/>
      <c r="C14" s="64" t="s">
        <v>118</v>
      </c>
      <c r="D14" s="65"/>
      <c r="E14" s="66"/>
      <c r="F14" s="67"/>
      <c r="G14" s="67"/>
      <c r="H14" s="68"/>
      <c r="I14" s="68"/>
      <c r="J14" s="69"/>
      <c r="K14" s="70"/>
      <c r="L14" s="68"/>
      <c r="M14" s="68"/>
      <c r="N14" s="71"/>
      <c r="O14" s="71"/>
      <c r="P14" s="71"/>
      <c r="Q14" s="67"/>
      <c r="R14" s="72"/>
      <c r="T14" s="22" t="e">
        <f>SUM(G15:M15)</f>
        <v>#REF!</v>
      </c>
    </row>
    <row r="15" spans="1:25" ht="15.75" thickBot="1">
      <c r="A15" s="59"/>
      <c r="B15" s="73"/>
      <c r="C15" s="74" t="s">
        <v>119</v>
      </c>
      <c r="D15" s="75"/>
      <c r="E15" s="76" t="e">
        <f>+E20+E474+E495+E535</f>
        <v>#REF!</v>
      </c>
      <c r="F15" s="77" t="e">
        <f>F22+F55+F73+F223+F323+F509+F357+F428+F476+F497+F550+F537+F352</f>
        <v>#REF!</v>
      </c>
      <c r="G15" s="78" t="e">
        <f t="shared" ref="G15:R15" si="0">G20+G474+G495+G535</f>
        <v>#REF!</v>
      </c>
      <c r="H15" s="78" t="e">
        <f t="shared" si="0"/>
        <v>#REF!</v>
      </c>
      <c r="I15" s="78" t="e">
        <f t="shared" si="0"/>
        <v>#REF!</v>
      </c>
      <c r="J15" s="78" t="e">
        <f t="shared" si="0"/>
        <v>#REF!</v>
      </c>
      <c r="K15" s="78" t="e">
        <f t="shared" si="0"/>
        <v>#REF!</v>
      </c>
      <c r="L15" s="78" t="e">
        <f t="shared" si="0"/>
        <v>#REF!</v>
      </c>
      <c r="M15" s="78" t="e">
        <f t="shared" si="0"/>
        <v>#REF!</v>
      </c>
      <c r="N15" s="78" t="e">
        <f t="shared" si="0"/>
        <v>#REF!</v>
      </c>
      <c r="O15" s="78" t="e">
        <f t="shared" si="0"/>
        <v>#REF!</v>
      </c>
      <c r="P15" s="78" t="e">
        <f t="shared" si="0"/>
        <v>#REF!</v>
      </c>
      <c r="Q15" s="78" t="e">
        <f t="shared" si="0"/>
        <v>#REF!</v>
      </c>
      <c r="R15" s="79" t="e">
        <f t="shared" si="0"/>
        <v>#REF!</v>
      </c>
      <c r="S15" s="49" t="e">
        <f>SUM(G15:R15)</f>
        <v>#REF!</v>
      </c>
      <c r="T15" s="22">
        <v>14283024.039999999</v>
      </c>
    </row>
    <row r="16" spans="1:25">
      <c r="A16" s="59"/>
      <c r="B16" s="80"/>
      <c r="C16" s="81" t="s">
        <v>120</v>
      </c>
      <c r="D16" s="82"/>
      <c r="E16" s="83"/>
      <c r="F16" s="84" t="e">
        <f>+F23+F56+F74+F224+F324+F358+F429+F477+F510+F538+F551+F353+F498</f>
        <v>#REF!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22" t="e">
        <f>+T11-S15</f>
        <v>#REF!</v>
      </c>
      <c r="T16" s="22" t="e">
        <f>+T15-T14</f>
        <v>#REF!</v>
      </c>
    </row>
    <row r="17" spans="1:23">
      <c r="A17" s="59"/>
      <c r="B17" s="87"/>
      <c r="C17" s="81" t="s">
        <v>121</v>
      </c>
      <c r="D17" s="82"/>
      <c r="E17" s="83"/>
      <c r="F17" s="84" t="e">
        <f>F53+#REF!+F71+#REF!+#REF!+#REF!+#REF!+#REF!+#REF!+#REF!+#REF!+F221+#REF!+#REF!+#REF!+F321+F350+F534+F426+F473+F507+F574+F548+#REF!+#REF!+#REF!+F494+F355</f>
        <v>#REF!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8"/>
      <c r="T17" s="89"/>
    </row>
    <row r="18" spans="1:23">
      <c r="A18" s="59"/>
      <c r="B18" s="87"/>
      <c r="C18" s="90" t="s">
        <v>122</v>
      </c>
      <c r="D18" s="91"/>
      <c r="E18" s="92"/>
      <c r="F18" s="93">
        <v>0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  <c r="T18" s="89"/>
    </row>
    <row r="19" spans="1:23" ht="14.25" customHeight="1" thickBot="1">
      <c r="A19" s="59"/>
      <c r="B19" s="96"/>
      <c r="C19" s="97"/>
      <c r="D19" s="98"/>
      <c r="E19" s="99"/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  <c r="T19" s="89"/>
    </row>
    <row r="20" spans="1:23">
      <c r="A20" s="59"/>
      <c r="B20" s="103"/>
      <c r="C20" s="104" t="s">
        <v>87</v>
      </c>
      <c r="D20" s="105"/>
      <c r="E20" s="106" t="e">
        <f>E22+E55+E73+E223+E323+E357+E428+E352</f>
        <v>#REF!</v>
      </c>
      <c r="F20" s="107" t="e">
        <f>F22+F55+F73+F223+F323+F357+F428</f>
        <v>#REF!</v>
      </c>
      <c r="G20" s="108" t="e">
        <f t="shared" ref="G20:R20" si="1">G22+G55+G73+G223+G323+G357+G428+G352</f>
        <v>#REF!</v>
      </c>
      <c r="H20" s="108" t="e">
        <f t="shared" si="1"/>
        <v>#REF!</v>
      </c>
      <c r="I20" s="108" t="e">
        <f t="shared" si="1"/>
        <v>#REF!</v>
      </c>
      <c r="J20" s="108" t="e">
        <f t="shared" si="1"/>
        <v>#REF!</v>
      </c>
      <c r="K20" s="108" t="e">
        <f t="shared" si="1"/>
        <v>#REF!</v>
      </c>
      <c r="L20" s="108" t="e">
        <f t="shared" si="1"/>
        <v>#REF!</v>
      </c>
      <c r="M20" s="108" t="e">
        <f t="shared" si="1"/>
        <v>#REF!</v>
      </c>
      <c r="N20" s="108" t="e">
        <f t="shared" si="1"/>
        <v>#REF!</v>
      </c>
      <c r="O20" s="108" t="e">
        <f t="shared" si="1"/>
        <v>#REF!</v>
      </c>
      <c r="P20" s="108" t="e">
        <f t="shared" si="1"/>
        <v>#REF!</v>
      </c>
      <c r="Q20" s="108" t="e">
        <f t="shared" si="1"/>
        <v>#REF!</v>
      </c>
      <c r="R20" s="109" t="e">
        <f t="shared" si="1"/>
        <v>#REF!</v>
      </c>
    </row>
    <row r="21" spans="1:23" ht="29.25" customHeight="1">
      <c r="A21" s="59"/>
      <c r="B21" s="61"/>
      <c r="C21" s="110" t="s">
        <v>34</v>
      </c>
      <c r="D21" s="111"/>
      <c r="E21" s="111"/>
      <c r="F21" s="112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4"/>
      <c r="U21" s="22"/>
      <c r="V21" s="22"/>
      <c r="W21" s="22"/>
    </row>
    <row r="22" spans="1:23" ht="26.25" customHeight="1">
      <c r="A22" s="59"/>
      <c r="B22" s="115"/>
      <c r="C22" s="758" t="s">
        <v>123</v>
      </c>
      <c r="D22" s="758"/>
      <c r="E22" s="116">
        <f>SUM(E25:E52)</f>
        <v>68</v>
      </c>
      <c r="F22" s="117">
        <f>SUM(F25:F53)</f>
        <v>879464</v>
      </c>
      <c r="G22" s="118">
        <f t="shared" ref="G22:Q22" si="2">SUM(G25:G52)</f>
        <v>68881.38</v>
      </c>
      <c r="H22" s="118">
        <f t="shared" si="2"/>
        <v>62215.439999999988</v>
      </c>
      <c r="I22" s="118">
        <f t="shared" si="2"/>
        <v>73522.38</v>
      </c>
      <c r="J22" s="118">
        <f t="shared" si="2"/>
        <v>73156.799999999988</v>
      </c>
      <c r="K22" s="118">
        <f t="shared" si="2"/>
        <v>77733.119999999995</v>
      </c>
      <c r="L22" s="118">
        <f t="shared" si="2"/>
        <v>73119.599999999991</v>
      </c>
      <c r="M22" s="118">
        <f t="shared" si="2"/>
        <v>77698.92</v>
      </c>
      <c r="N22" s="118">
        <f t="shared" si="2"/>
        <v>75228.320000000007</v>
      </c>
      <c r="O22" s="118">
        <f t="shared" si="2"/>
        <v>68517.600000000006</v>
      </c>
      <c r="P22" s="118">
        <f t="shared" si="2"/>
        <v>66339.38</v>
      </c>
      <c r="Q22" s="118">
        <f t="shared" si="2"/>
        <v>64199.4</v>
      </c>
      <c r="R22" s="119">
        <f>SUM(R25:R53)</f>
        <v>98851.6599999998</v>
      </c>
      <c r="S22" s="22">
        <f>F22-SUM(G22:R22)</f>
        <v>0</v>
      </c>
    </row>
    <row r="23" spans="1:23">
      <c r="A23" s="59"/>
      <c r="B23" s="115"/>
      <c r="C23" s="120"/>
      <c r="D23" s="120"/>
      <c r="E23" s="116"/>
      <c r="F23" s="117">
        <f>SUM(F25:F52)</f>
        <v>846951.7200000002</v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9"/>
    </row>
    <row r="24" spans="1:23">
      <c r="A24" s="59"/>
      <c r="B24" s="121"/>
      <c r="C24" s="122"/>
      <c r="D24" s="122"/>
      <c r="E24" s="123" t="s">
        <v>124</v>
      </c>
      <c r="F24" s="124">
        <v>0</v>
      </c>
      <c r="G24" s="125"/>
      <c r="H24" s="125"/>
      <c r="I24" s="125"/>
      <c r="J24" s="125"/>
      <c r="K24" s="125"/>
      <c r="L24" s="125"/>
      <c r="M24" s="125"/>
      <c r="N24" s="126"/>
      <c r="O24" s="125"/>
      <c r="P24" s="125"/>
      <c r="Q24" s="125"/>
      <c r="R24" s="127"/>
    </row>
    <row r="25" spans="1:23" s="7" customFormat="1">
      <c r="A25" s="128"/>
      <c r="B25" s="129">
        <v>1</v>
      </c>
      <c r="C25" s="30" t="s">
        <v>35</v>
      </c>
      <c r="D25" s="31">
        <v>71.400000000000006</v>
      </c>
      <c r="E25" s="36">
        <v>9</v>
      </c>
      <c r="F25" s="130">
        <f t="shared" ref="F25:F52" si="3">+E25*S25*D25</f>
        <v>136231.20000000001</v>
      </c>
      <c r="G25" s="47">
        <f t="shared" ref="G25:G36" si="4">E25*D25*31</f>
        <v>19920.600000000002</v>
      </c>
      <c r="H25" s="131">
        <f>E25*D25*28</f>
        <v>17992.8</v>
      </c>
      <c r="I25" s="47">
        <f t="shared" ref="I25:I36" si="5">E25*D25*31</f>
        <v>19920.600000000002</v>
      </c>
      <c r="J25" s="47">
        <f t="shared" ref="J25:J36" si="6">E25*D25*30</f>
        <v>19278</v>
      </c>
      <c r="K25" s="47">
        <f t="shared" ref="K25:K36" si="7">E25*D25*31</f>
        <v>19920.600000000002</v>
      </c>
      <c r="L25" s="47">
        <f t="shared" ref="L25:L38" si="8">E25*D25*30</f>
        <v>19278</v>
      </c>
      <c r="M25" s="47">
        <f t="shared" ref="M25:M36" si="9">E25*D25*31</f>
        <v>19920.600000000002</v>
      </c>
      <c r="N25" s="47">
        <v>0</v>
      </c>
      <c r="O25" s="47">
        <v>0</v>
      </c>
      <c r="P25" s="47">
        <v>0</v>
      </c>
      <c r="Q25" s="47">
        <v>0</v>
      </c>
      <c r="R25" s="132">
        <v>0</v>
      </c>
      <c r="S25" s="133">
        <v>212</v>
      </c>
    </row>
    <row r="26" spans="1:23" s="7" customFormat="1">
      <c r="A26" s="128"/>
      <c r="B26" s="129">
        <v>14</v>
      </c>
      <c r="C26" s="30" t="s">
        <v>35</v>
      </c>
      <c r="D26" s="31">
        <v>71.400000000000006</v>
      </c>
      <c r="E26" s="33">
        <v>1</v>
      </c>
      <c r="F26" s="130">
        <f t="shared" si="3"/>
        <v>12923.400000000001</v>
      </c>
      <c r="G26" s="47">
        <f t="shared" si="4"/>
        <v>2213.4</v>
      </c>
      <c r="H26" s="131">
        <f>E26*D26*28</f>
        <v>1999.2000000000003</v>
      </c>
      <c r="I26" s="47">
        <f t="shared" si="5"/>
        <v>2213.4</v>
      </c>
      <c r="J26" s="47">
        <f t="shared" si="6"/>
        <v>2142</v>
      </c>
      <c r="K26" s="47">
        <f t="shared" si="7"/>
        <v>2213.4</v>
      </c>
      <c r="L26" s="47">
        <f t="shared" si="8"/>
        <v>2142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132">
        <v>0</v>
      </c>
      <c r="S26" s="133">
        <f>31+28+31+30+31+30</f>
        <v>181</v>
      </c>
    </row>
    <row r="27" spans="1:23">
      <c r="A27" s="59"/>
      <c r="B27" s="134">
        <v>1</v>
      </c>
      <c r="C27" s="135" t="s">
        <v>35</v>
      </c>
      <c r="D27" s="136">
        <v>71.400000000000006</v>
      </c>
      <c r="E27" s="32">
        <v>1</v>
      </c>
      <c r="F27" s="137">
        <f t="shared" si="3"/>
        <v>0</v>
      </c>
      <c r="G27" s="138">
        <v>0</v>
      </c>
      <c r="H27" s="139">
        <v>0</v>
      </c>
      <c r="I27" s="138">
        <v>0</v>
      </c>
      <c r="J27" s="138"/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40">
        <v>0</v>
      </c>
      <c r="S27" s="141">
        <v>0</v>
      </c>
    </row>
    <row r="28" spans="1:23" s="7" customFormat="1">
      <c r="A28" s="128"/>
      <c r="B28" s="129">
        <v>1</v>
      </c>
      <c r="C28" s="30" t="s">
        <v>35</v>
      </c>
      <c r="D28" s="31">
        <v>71.400000000000006</v>
      </c>
      <c r="E28" s="36">
        <v>1</v>
      </c>
      <c r="F28" s="130">
        <f t="shared" si="3"/>
        <v>13351.800000000001</v>
      </c>
      <c r="G28" s="47">
        <v>0</v>
      </c>
      <c r="H28" s="131">
        <v>0</v>
      </c>
      <c r="I28" s="47">
        <f>E28*D28*31+D28*E28*34</f>
        <v>4641</v>
      </c>
      <c r="J28" s="47">
        <f t="shared" ref="J28" si="10">E28*D28*30</f>
        <v>2142</v>
      </c>
      <c r="K28" s="47">
        <f t="shared" ref="K28" si="11">E28*D28*31</f>
        <v>2213.4</v>
      </c>
      <c r="L28" s="47">
        <f t="shared" ref="L28" si="12">E28*D28*30</f>
        <v>2142</v>
      </c>
      <c r="M28" s="47">
        <f t="shared" si="9"/>
        <v>2213.4</v>
      </c>
      <c r="N28" s="47">
        <v>0</v>
      </c>
      <c r="O28" s="47">
        <v>0</v>
      </c>
      <c r="P28" s="47">
        <v>0</v>
      </c>
      <c r="Q28" s="47">
        <v>0</v>
      </c>
      <c r="R28" s="132">
        <v>0</v>
      </c>
      <c r="S28" s="133">
        <f>212-31-28+34</f>
        <v>187</v>
      </c>
    </row>
    <row r="29" spans="1:23" s="7" customFormat="1">
      <c r="A29" s="128"/>
      <c r="B29" s="129">
        <v>2</v>
      </c>
      <c r="C29" s="30" t="s">
        <v>36</v>
      </c>
      <c r="D29" s="31">
        <v>72.540000000000006</v>
      </c>
      <c r="E29" s="33">
        <v>1</v>
      </c>
      <c r="F29" s="130">
        <f t="shared" si="3"/>
        <v>15378.480000000001</v>
      </c>
      <c r="G29" s="47">
        <f t="shared" si="4"/>
        <v>2248.7400000000002</v>
      </c>
      <c r="H29" s="131">
        <f t="shared" ref="H29:H36" si="13">E29*D29*28</f>
        <v>2031.1200000000001</v>
      </c>
      <c r="I29" s="47">
        <f t="shared" si="5"/>
        <v>2248.7400000000002</v>
      </c>
      <c r="J29" s="47">
        <f t="shared" si="6"/>
        <v>2176.2000000000003</v>
      </c>
      <c r="K29" s="47">
        <f t="shared" si="7"/>
        <v>2248.7400000000002</v>
      </c>
      <c r="L29" s="47">
        <f t="shared" si="8"/>
        <v>2176.2000000000003</v>
      </c>
      <c r="M29" s="47">
        <f t="shared" si="9"/>
        <v>2248.7400000000002</v>
      </c>
      <c r="N29" s="47">
        <v>0</v>
      </c>
      <c r="O29" s="47">
        <v>0</v>
      </c>
      <c r="P29" s="47">
        <v>0</v>
      </c>
      <c r="Q29" s="47">
        <v>0</v>
      </c>
      <c r="R29" s="132">
        <v>0</v>
      </c>
      <c r="S29" s="133">
        <v>212</v>
      </c>
    </row>
    <row r="30" spans="1:23" s="7" customFormat="1">
      <c r="A30" s="128"/>
      <c r="B30" s="129">
        <v>3</v>
      </c>
      <c r="C30" s="30" t="s">
        <v>37</v>
      </c>
      <c r="D30" s="31">
        <v>80.86</v>
      </c>
      <c r="E30" s="33">
        <v>4</v>
      </c>
      <c r="F30" s="130">
        <f t="shared" si="3"/>
        <v>68569.279999999999</v>
      </c>
      <c r="G30" s="47">
        <f t="shared" si="4"/>
        <v>10026.64</v>
      </c>
      <c r="H30" s="131">
        <f t="shared" si="13"/>
        <v>9056.32</v>
      </c>
      <c r="I30" s="47">
        <f t="shared" si="5"/>
        <v>10026.64</v>
      </c>
      <c r="J30" s="47">
        <f t="shared" si="6"/>
        <v>9703.2000000000007</v>
      </c>
      <c r="K30" s="47">
        <f t="shared" si="7"/>
        <v>10026.64</v>
      </c>
      <c r="L30" s="47">
        <f t="shared" si="8"/>
        <v>9703.2000000000007</v>
      </c>
      <c r="M30" s="47">
        <f t="shared" si="9"/>
        <v>10026.64</v>
      </c>
      <c r="N30" s="47">
        <v>0</v>
      </c>
      <c r="O30" s="47">
        <v>0</v>
      </c>
      <c r="P30" s="47">
        <v>0</v>
      </c>
      <c r="Q30" s="47">
        <v>0</v>
      </c>
      <c r="R30" s="132">
        <v>0</v>
      </c>
      <c r="S30" s="133">
        <v>212</v>
      </c>
    </row>
    <row r="31" spans="1:23" s="7" customFormat="1">
      <c r="A31" s="128"/>
      <c r="B31" s="129">
        <v>4</v>
      </c>
      <c r="C31" s="30" t="s">
        <v>38</v>
      </c>
      <c r="D31" s="31">
        <v>71.400000000000006</v>
      </c>
      <c r="E31" s="33">
        <v>4</v>
      </c>
      <c r="F31" s="130">
        <f t="shared" si="3"/>
        <v>60547.200000000004</v>
      </c>
      <c r="G31" s="47">
        <f t="shared" si="4"/>
        <v>8853.6</v>
      </c>
      <c r="H31" s="131">
        <f t="shared" si="13"/>
        <v>7996.8000000000011</v>
      </c>
      <c r="I31" s="47">
        <f t="shared" si="5"/>
        <v>8853.6</v>
      </c>
      <c r="J31" s="47">
        <f t="shared" si="6"/>
        <v>8568</v>
      </c>
      <c r="K31" s="47">
        <f t="shared" si="7"/>
        <v>8853.6</v>
      </c>
      <c r="L31" s="47">
        <f t="shared" si="8"/>
        <v>8568</v>
      </c>
      <c r="M31" s="47">
        <f t="shared" si="9"/>
        <v>8853.6</v>
      </c>
      <c r="N31" s="47">
        <v>0</v>
      </c>
      <c r="O31" s="47">
        <v>0</v>
      </c>
      <c r="P31" s="47">
        <v>0</v>
      </c>
      <c r="Q31" s="47">
        <v>0</v>
      </c>
      <c r="R31" s="132">
        <v>0</v>
      </c>
      <c r="S31" s="133">
        <v>212</v>
      </c>
    </row>
    <row r="32" spans="1:23" s="7" customFormat="1">
      <c r="A32" s="128"/>
      <c r="B32" s="129">
        <v>5</v>
      </c>
      <c r="C32" s="30" t="s">
        <v>39</v>
      </c>
      <c r="D32" s="31">
        <v>78.25</v>
      </c>
      <c r="E32" s="33">
        <v>1</v>
      </c>
      <c r="F32" s="130">
        <f t="shared" si="3"/>
        <v>16589</v>
      </c>
      <c r="G32" s="47">
        <f t="shared" si="4"/>
        <v>2425.75</v>
      </c>
      <c r="H32" s="131">
        <f t="shared" si="13"/>
        <v>2191</v>
      </c>
      <c r="I32" s="47">
        <f t="shared" si="5"/>
        <v>2425.75</v>
      </c>
      <c r="J32" s="47">
        <f t="shared" si="6"/>
        <v>2347.5</v>
      </c>
      <c r="K32" s="47">
        <f t="shared" si="7"/>
        <v>2425.75</v>
      </c>
      <c r="L32" s="47">
        <f t="shared" si="8"/>
        <v>2347.5</v>
      </c>
      <c r="M32" s="47">
        <f t="shared" si="9"/>
        <v>2425.75</v>
      </c>
      <c r="N32" s="47">
        <v>0</v>
      </c>
      <c r="O32" s="47">
        <v>0</v>
      </c>
      <c r="P32" s="47">
        <v>0</v>
      </c>
      <c r="Q32" s="47">
        <v>0</v>
      </c>
      <c r="R32" s="132">
        <v>0</v>
      </c>
      <c r="S32" s="133">
        <v>212</v>
      </c>
    </row>
    <row r="33" spans="1:19" s="7" customFormat="1">
      <c r="A33" s="128"/>
      <c r="B33" s="129">
        <v>6</v>
      </c>
      <c r="C33" s="30" t="s">
        <v>31</v>
      </c>
      <c r="D33" s="31">
        <v>72.540000000000006</v>
      </c>
      <c r="E33" s="33">
        <v>2</v>
      </c>
      <c r="F33" s="130">
        <f t="shared" si="3"/>
        <v>30756.960000000003</v>
      </c>
      <c r="G33" s="47">
        <f t="shared" si="4"/>
        <v>4497.4800000000005</v>
      </c>
      <c r="H33" s="131">
        <f t="shared" si="13"/>
        <v>4062.2400000000002</v>
      </c>
      <c r="I33" s="47">
        <f t="shared" si="5"/>
        <v>4497.4800000000005</v>
      </c>
      <c r="J33" s="47">
        <f t="shared" si="6"/>
        <v>4352.4000000000005</v>
      </c>
      <c r="K33" s="47">
        <f t="shared" si="7"/>
        <v>4497.4800000000005</v>
      </c>
      <c r="L33" s="47">
        <f t="shared" si="8"/>
        <v>4352.4000000000005</v>
      </c>
      <c r="M33" s="47">
        <f t="shared" si="9"/>
        <v>4497.4800000000005</v>
      </c>
      <c r="N33" s="47">
        <v>0</v>
      </c>
      <c r="O33" s="47">
        <v>0</v>
      </c>
      <c r="P33" s="47">
        <v>0</v>
      </c>
      <c r="Q33" s="47">
        <v>0</v>
      </c>
      <c r="R33" s="132">
        <v>0</v>
      </c>
      <c r="S33" s="133">
        <v>212</v>
      </c>
    </row>
    <row r="34" spans="1:19" s="7" customFormat="1">
      <c r="A34" s="128"/>
      <c r="B34" s="129">
        <v>7</v>
      </c>
      <c r="C34" s="30" t="s">
        <v>40</v>
      </c>
      <c r="D34" s="31">
        <v>73.59</v>
      </c>
      <c r="E34" s="33">
        <v>1</v>
      </c>
      <c r="F34" s="130">
        <f t="shared" si="3"/>
        <v>15601.08</v>
      </c>
      <c r="G34" s="47">
        <f t="shared" si="4"/>
        <v>2281.29</v>
      </c>
      <c r="H34" s="131">
        <f t="shared" si="13"/>
        <v>2060.52</v>
      </c>
      <c r="I34" s="47">
        <f t="shared" si="5"/>
        <v>2281.29</v>
      </c>
      <c r="J34" s="47">
        <f t="shared" si="6"/>
        <v>2207.7000000000003</v>
      </c>
      <c r="K34" s="47">
        <f t="shared" si="7"/>
        <v>2281.29</v>
      </c>
      <c r="L34" s="47">
        <f t="shared" si="8"/>
        <v>2207.7000000000003</v>
      </c>
      <c r="M34" s="47">
        <f t="shared" si="9"/>
        <v>2281.29</v>
      </c>
      <c r="N34" s="47">
        <v>0</v>
      </c>
      <c r="O34" s="47">
        <v>0</v>
      </c>
      <c r="P34" s="47">
        <v>0</v>
      </c>
      <c r="Q34" s="47">
        <v>0</v>
      </c>
      <c r="R34" s="132">
        <v>0</v>
      </c>
      <c r="S34" s="133">
        <v>212</v>
      </c>
    </row>
    <row r="35" spans="1:19" s="7" customFormat="1">
      <c r="A35" s="128"/>
      <c r="B35" s="129">
        <v>8</v>
      </c>
      <c r="C35" s="30" t="s">
        <v>41</v>
      </c>
      <c r="D35" s="31">
        <v>75.64</v>
      </c>
      <c r="E35" s="33">
        <v>5</v>
      </c>
      <c r="F35" s="130">
        <f t="shared" si="3"/>
        <v>80178.399999999994</v>
      </c>
      <c r="G35" s="47">
        <f t="shared" si="4"/>
        <v>11724.199999999999</v>
      </c>
      <c r="H35" s="131">
        <f t="shared" si="13"/>
        <v>10589.6</v>
      </c>
      <c r="I35" s="47">
        <f t="shared" si="5"/>
        <v>11724.199999999999</v>
      </c>
      <c r="J35" s="47">
        <f t="shared" si="6"/>
        <v>11346</v>
      </c>
      <c r="K35" s="47">
        <f t="shared" si="7"/>
        <v>11724.199999999999</v>
      </c>
      <c r="L35" s="47">
        <f t="shared" si="8"/>
        <v>11346</v>
      </c>
      <c r="M35" s="47">
        <f t="shared" si="9"/>
        <v>11724.199999999999</v>
      </c>
      <c r="N35" s="47">
        <v>0</v>
      </c>
      <c r="O35" s="47">
        <v>0</v>
      </c>
      <c r="P35" s="47">
        <v>0</v>
      </c>
      <c r="Q35" s="47">
        <v>0</v>
      </c>
      <c r="R35" s="132">
        <v>0</v>
      </c>
      <c r="S35" s="133">
        <v>212</v>
      </c>
    </row>
    <row r="36" spans="1:19" s="7" customFormat="1" ht="12.75" customHeight="1">
      <c r="A36" s="128"/>
      <c r="B36" s="129">
        <v>9</v>
      </c>
      <c r="C36" s="30" t="s">
        <v>42</v>
      </c>
      <c r="D36" s="31">
        <v>75.64</v>
      </c>
      <c r="E36" s="33">
        <v>2</v>
      </c>
      <c r="F36" s="130">
        <f t="shared" si="3"/>
        <v>32071.360000000001</v>
      </c>
      <c r="G36" s="47">
        <f t="shared" si="4"/>
        <v>4689.68</v>
      </c>
      <c r="H36" s="131">
        <f t="shared" si="13"/>
        <v>4235.84</v>
      </c>
      <c r="I36" s="47">
        <f t="shared" si="5"/>
        <v>4689.68</v>
      </c>
      <c r="J36" s="47">
        <f t="shared" si="6"/>
        <v>4538.3999999999996</v>
      </c>
      <c r="K36" s="47">
        <f t="shared" si="7"/>
        <v>4689.68</v>
      </c>
      <c r="L36" s="47">
        <f t="shared" si="8"/>
        <v>4538.3999999999996</v>
      </c>
      <c r="M36" s="47">
        <f t="shared" si="9"/>
        <v>4689.68</v>
      </c>
      <c r="N36" s="47">
        <v>0</v>
      </c>
      <c r="O36" s="47">
        <v>0</v>
      </c>
      <c r="P36" s="47">
        <v>0</v>
      </c>
      <c r="Q36" s="47">
        <v>0</v>
      </c>
      <c r="R36" s="132">
        <v>0</v>
      </c>
      <c r="S36" s="133">
        <v>212</v>
      </c>
    </row>
    <row r="37" spans="1:19" s="7" customFormat="1">
      <c r="A37" s="128"/>
      <c r="B37" s="129">
        <v>10</v>
      </c>
      <c r="C37" s="30" t="s">
        <v>31</v>
      </c>
      <c r="D37" s="31">
        <v>72.540000000000006</v>
      </c>
      <c r="E37" s="33">
        <v>1</v>
      </c>
      <c r="F37" s="130">
        <f t="shared" si="3"/>
        <v>6601.14</v>
      </c>
      <c r="G37" s="47">
        <v>0</v>
      </c>
      <c r="H37" s="131">
        <v>0</v>
      </c>
      <c r="I37" s="47">
        <v>0</v>
      </c>
      <c r="J37" s="47">
        <v>0</v>
      </c>
      <c r="K37" s="47">
        <f>E37*D37*30+D37*E37*31</f>
        <v>4424.9400000000005</v>
      </c>
      <c r="L37" s="47">
        <f t="shared" si="8"/>
        <v>2176.2000000000003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132">
        <v>0</v>
      </c>
      <c r="S37" s="133">
        <f>30+31+30</f>
        <v>91</v>
      </c>
    </row>
    <row r="38" spans="1:19" s="7" customFormat="1">
      <c r="A38" s="128"/>
      <c r="B38" s="129">
        <v>1</v>
      </c>
      <c r="C38" s="30" t="s">
        <v>35</v>
      </c>
      <c r="D38" s="31">
        <v>71.400000000000006</v>
      </c>
      <c r="E38" s="33">
        <v>1</v>
      </c>
      <c r="F38" s="130">
        <f t="shared" si="3"/>
        <v>10924.2</v>
      </c>
      <c r="G38" s="47">
        <v>0</v>
      </c>
      <c r="H38" s="131">
        <v>0</v>
      </c>
      <c r="I38" s="47">
        <v>0</v>
      </c>
      <c r="J38" s="47">
        <f>E38*D38*30+D38*E38*31</f>
        <v>4355.3999999999996</v>
      </c>
      <c r="K38" s="47">
        <f t="shared" ref="K38" si="14">E38*D38*31</f>
        <v>2213.4</v>
      </c>
      <c r="L38" s="47">
        <f t="shared" si="8"/>
        <v>2142</v>
      </c>
      <c r="M38" s="47">
        <f t="shared" ref="M38" si="15">E38*D38*31</f>
        <v>2213.4</v>
      </c>
      <c r="N38" s="47">
        <v>0</v>
      </c>
      <c r="O38" s="47">
        <v>0</v>
      </c>
      <c r="P38" s="47">
        <v>0</v>
      </c>
      <c r="Q38" s="47">
        <v>0</v>
      </c>
      <c r="R38" s="132">
        <v>0</v>
      </c>
      <c r="S38" s="133">
        <f>31+30+31+30+31</f>
        <v>153</v>
      </c>
    </row>
    <row r="39" spans="1:19" s="148" customFormat="1">
      <c r="A39" s="142"/>
      <c r="B39" s="143">
        <v>1</v>
      </c>
      <c r="C39" s="144" t="s">
        <v>35</v>
      </c>
      <c r="D39" s="37">
        <v>71.400000000000006</v>
      </c>
      <c r="E39" s="41">
        <v>11</v>
      </c>
      <c r="F39" s="145">
        <f t="shared" si="3"/>
        <v>120166.20000000001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f>+D39*E39*31</f>
        <v>24347.4</v>
      </c>
      <c r="O39" s="38">
        <f>+D39*E39*30</f>
        <v>23562.000000000004</v>
      </c>
      <c r="P39" s="38">
        <f>+D39*E39*31</f>
        <v>24347.4</v>
      </c>
      <c r="Q39" s="38">
        <f>+D39*E39*30</f>
        <v>23562.000000000004</v>
      </c>
      <c r="R39" s="146">
        <f>+D39*E39*31</f>
        <v>24347.4</v>
      </c>
      <c r="S39" s="147">
        <f>31+30+31+30+31</f>
        <v>153</v>
      </c>
    </row>
    <row r="40" spans="1:19" s="148" customFormat="1">
      <c r="A40" s="142"/>
      <c r="B40" s="143">
        <v>2</v>
      </c>
      <c r="C40" s="39" t="s">
        <v>36</v>
      </c>
      <c r="D40" s="37">
        <v>72.540000000000006</v>
      </c>
      <c r="E40" s="41">
        <v>1</v>
      </c>
      <c r="F40" s="145">
        <f t="shared" si="3"/>
        <v>11098.62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f t="shared" ref="N40:N49" si="16">+D40*E40*31</f>
        <v>2248.7400000000002</v>
      </c>
      <c r="O40" s="38">
        <f t="shared" ref="O40:O49" si="17">+D40*E40*30</f>
        <v>2176.2000000000003</v>
      </c>
      <c r="P40" s="38">
        <f t="shared" ref="P40:P49" si="18">+D40*E40*31</f>
        <v>2248.7400000000002</v>
      </c>
      <c r="Q40" s="38">
        <f t="shared" ref="Q40:Q49" si="19">+D40*E40*30</f>
        <v>2176.2000000000003</v>
      </c>
      <c r="R40" s="146">
        <f t="shared" ref="R40:R49" si="20">+D40*E40*31</f>
        <v>2248.7400000000002</v>
      </c>
      <c r="S40" s="147">
        <f t="shared" ref="S40:S49" si="21">31+30+31+30+31</f>
        <v>153</v>
      </c>
    </row>
    <row r="41" spans="1:19" s="148" customFormat="1">
      <c r="A41" s="142"/>
      <c r="B41" s="143">
        <v>3</v>
      </c>
      <c r="C41" s="39" t="s">
        <v>37</v>
      </c>
      <c r="D41" s="37">
        <v>80.86</v>
      </c>
      <c r="E41" s="41">
        <v>3</v>
      </c>
      <c r="F41" s="145">
        <f t="shared" si="3"/>
        <v>37114.74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f t="shared" si="16"/>
        <v>7519.98</v>
      </c>
      <c r="O41" s="38">
        <f t="shared" si="17"/>
        <v>7277.4</v>
      </c>
      <c r="P41" s="38">
        <f t="shared" si="18"/>
        <v>7519.98</v>
      </c>
      <c r="Q41" s="38">
        <f t="shared" si="19"/>
        <v>7277.4</v>
      </c>
      <c r="R41" s="146">
        <f t="shared" si="20"/>
        <v>7519.98</v>
      </c>
      <c r="S41" s="147">
        <f t="shared" si="21"/>
        <v>153</v>
      </c>
    </row>
    <row r="42" spans="1:19" s="7" customFormat="1">
      <c r="A42" s="128"/>
      <c r="B42" s="129">
        <v>3</v>
      </c>
      <c r="C42" s="30" t="s">
        <v>37</v>
      </c>
      <c r="D42" s="31">
        <v>80.86</v>
      </c>
      <c r="E42" s="33">
        <v>1</v>
      </c>
      <c r="F42" s="130">
        <f t="shared" si="3"/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132">
        <v>0</v>
      </c>
      <c r="S42" s="133">
        <v>0</v>
      </c>
    </row>
    <row r="43" spans="1:19" s="148" customFormat="1">
      <c r="A43" s="142"/>
      <c r="B43" s="143">
        <v>4</v>
      </c>
      <c r="C43" s="39" t="s">
        <v>38</v>
      </c>
      <c r="D43" s="37">
        <v>71.400000000000006</v>
      </c>
      <c r="E43" s="41">
        <v>4</v>
      </c>
      <c r="F43" s="145">
        <f t="shared" si="3"/>
        <v>43696.800000000003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f t="shared" si="16"/>
        <v>8853.6</v>
      </c>
      <c r="O43" s="38">
        <f t="shared" si="17"/>
        <v>8568</v>
      </c>
      <c r="P43" s="38">
        <f t="shared" si="18"/>
        <v>8853.6</v>
      </c>
      <c r="Q43" s="38">
        <f t="shared" si="19"/>
        <v>8568</v>
      </c>
      <c r="R43" s="146">
        <f t="shared" si="20"/>
        <v>8853.6</v>
      </c>
      <c r="S43" s="147">
        <f t="shared" si="21"/>
        <v>153</v>
      </c>
    </row>
    <row r="44" spans="1:19" s="148" customFormat="1">
      <c r="A44" s="142"/>
      <c r="B44" s="143">
        <v>5</v>
      </c>
      <c r="C44" s="39" t="s">
        <v>39</v>
      </c>
      <c r="D44" s="37">
        <v>78.25</v>
      </c>
      <c r="E44" s="41">
        <v>1</v>
      </c>
      <c r="F44" s="145">
        <f t="shared" si="3"/>
        <v>11972.25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f t="shared" si="16"/>
        <v>2425.75</v>
      </c>
      <c r="O44" s="38">
        <f t="shared" si="17"/>
        <v>2347.5</v>
      </c>
      <c r="P44" s="38">
        <f t="shared" si="18"/>
        <v>2425.75</v>
      </c>
      <c r="Q44" s="38">
        <f t="shared" si="19"/>
        <v>2347.5</v>
      </c>
      <c r="R44" s="146">
        <f t="shared" si="20"/>
        <v>2425.75</v>
      </c>
      <c r="S44" s="147">
        <f t="shared" si="21"/>
        <v>153</v>
      </c>
    </row>
    <row r="45" spans="1:19" s="148" customFormat="1">
      <c r="A45" s="142"/>
      <c r="B45" s="143">
        <v>6</v>
      </c>
      <c r="C45" s="39" t="s">
        <v>31</v>
      </c>
      <c r="D45" s="37">
        <v>72.540000000000006</v>
      </c>
      <c r="E45" s="41">
        <v>1</v>
      </c>
      <c r="F45" s="145">
        <f t="shared" si="3"/>
        <v>11098.62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f t="shared" si="16"/>
        <v>2248.7400000000002</v>
      </c>
      <c r="O45" s="38">
        <f t="shared" si="17"/>
        <v>2176.2000000000003</v>
      </c>
      <c r="P45" s="38">
        <f t="shared" si="18"/>
        <v>2248.7400000000002</v>
      </c>
      <c r="Q45" s="38">
        <f t="shared" si="19"/>
        <v>2176.2000000000003</v>
      </c>
      <c r="R45" s="146">
        <f t="shared" si="20"/>
        <v>2248.7400000000002</v>
      </c>
      <c r="S45" s="147">
        <f t="shared" si="21"/>
        <v>153</v>
      </c>
    </row>
    <row r="46" spans="1:19" s="7" customFormat="1">
      <c r="A46" s="128"/>
      <c r="B46" s="129">
        <v>6</v>
      </c>
      <c r="C46" s="30" t="s">
        <v>31</v>
      </c>
      <c r="D46" s="31">
        <v>72.540000000000006</v>
      </c>
      <c r="E46" s="33">
        <v>1</v>
      </c>
      <c r="F46" s="130">
        <f t="shared" si="3"/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132">
        <v>0</v>
      </c>
      <c r="S46" s="133">
        <v>0</v>
      </c>
    </row>
    <row r="47" spans="1:19" s="148" customFormat="1">
      <c r="A47" s="142"/>
      <c r="B47" s="143">
        <v>7</v>
      </c>
      <c r="C47" s="39" t="s">
        <v>40</v>
      </c>
      <c r="D47" s="37">
        <v>73.59</v>
      </c>
      <c r="E47" s="41">
        <v>1</v>
      </c>
      <c r="F47" s="145">
        <f t="shared" si="3"/>
        <v>11259.27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f t="shared" si="16"/>
        <v>2281.29</v>
      </c>
      <c r="O47" s="38">
        <f t="shared" si="17"/>
        <v>2207.7000000000003</v>
      </c>
      <c r="P47" s="38">
        <f t="shared" si="18"/>
        <v>2281.29</v>
      </c>
      <c r="Q47" s="38">
        <f t="shared" si="19"/>
        <v>2207.7000000000003</v>
      </c>
      <c r="R47" s="146">
        <f t="shared" si="20"/>
        <v>2281.29</v>
      </c>
      <c r="S47" s="147">
        <f t="shared" si="21"/>
        <v>153</v>
      </c>
    </row>
    <row r="48" spans="1:19" s="148" customFormat="1">
      <c r="A48" s="142"/>
      <c r="B48" s="143">
        <v>8</v>
      </c>
      <c r="C48" s="39" t="s">
        <v>41</v>
      </c>
      <c r="D48" s="37">
        <v>75.64</v>
      </c>
      <c r="E48" s="41">
        <v>5</v>
      </c>
      <c r="F48" s="145">
        <f t="shared" si="3"/>
        <v>57864.6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f t="shared" si="16"/>
        <v>11724.199999999999</v>
      </c>
      <c r="O48" s="38">
        <f t="shared" si="17"/>
        <v>11346</v>
      </c>
      <c r="P48" s="38">
        <f t="shared" si="18"/>
        <v>11724.199999999999</v>
      </c>
      <c r="Q48" s="38">
        <f t="shared" si="19"/>
        <v>11346</v>
      </c>
      <c r="R48" s="146">
        <f t="shared" si="20"/>
        <v>11724.199999999999</v>
      </c>
      <c r="S48" s="147">
        <f t="shared" si="21"/>
        <v>153</v>
      </c>
    </row>
    <row r="49" spans="1:19" s="148" customFormat="1" ht="12.75" customHeight="1">
      <c r="A49" s="142"/>
      <c r="B49" s="143">
        <v>9</v>
      </c>
      <c r="C49" s="39" t="s">
        <v>42</v>
      </c>
      <c r="D49" s="37">
        <v>75.64</v>
      </c>
      <c r="E49" s="41">
        <v>2</v>
      </c>
      <c r="F49" s="145">
        <f t="shared" si="3"/>
        <v>23145.84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f t="shared" si="16"/>
        <v>4689.68</v>
      </c>
      <c r="O49" s="38">
        <f t="shared" si="17"/>
        <v>4538.3999999999996</v>
      </c>
      <c r="P49" s="38">
        <f t="shared" si="18"/>
        <v>4689.68</v>
      </c>
      <c r="Q49" s="38">
        <f t="shared" si="19"/>
        <v>4538.3999999999996</v>
      </c>
      <c r="R49" s="146">
        <f t="shared" si="20"/>
        <v>4689.68</v>
      </c>
      <c r="S49" s="147">
        <f t="shared" si="21"/>
        <v>153</v>
      </c>
    </row>
    <row r="50" spans="1:19" s="148" customFormat="1">
      <c r="A50" s="142"/>
      <c r="B50" s="149">
        <v>12</v>
      </c>
      <c r="C50" s="40" t="s">
        <v>31</v>
      </c>
      <c r="D50" s="43">
        <v>72.540000000000006</v>
      </c>
      <c r="E50" s="42">
        <v>1</v>
      </c>
      <c r="F50" s="150">
        <f>+E50*S50*D50</f>
        <v>6673.68</v>
      </c>
      <c r="G50" s="44">
        <v>0</v>
      </c>
      <c r="H50" s="151">
        <v>0</v>
      </c>
      <c r="I50" s="44">
        <v>0</v>
      </c>
      <c r="J50" s="44">
        <v>0</v>
      </c>
      <c r="K50" s="44">
        <v>0</v>
      </c>
      <c r="L50" s="44">
        <v>0</v>
      </c>
      <c r="M50" s="44">
        <f>E50*D50*31</f>
        <v>2248.7400000000002</v>
      </c>
      <c r="N50" s="44">
        <f>+D50*E50*31</f>
        <v>2248.7400000000002</v>
      </c>
      <c r="O50" s="44">
        <f>+D50*E50*30</f>
        <v>2176.2000000000003</v>
      </c>
      <c r="P50" s="44">
        <v>0</v>
      </c>
      <c r="Q50" s="44">
        <v>0</v>
      </c>
      <c r="R50" s="152">
        <v>0</v>
      </c>
      <c r="S50" s="147">
        <f>31+31+30</f>
        <v>92</v>
      </c>
    </row>
    <row r="51" spans="1:19" s="148" customFormat="1">
      <c r="A51" s="142"/>
      <c r="B51" s="143">
        <v>1</v>
      </c>
      <c r="C51" s="39" t="s">
        <v>35</v>
      </c>
      <c r="D51" s="37">
        <v>71.400000000000006</v>
      </c>
      <c r="E51" s="41">
        <v>1</v>
      </c>
      <c r="F51" s="145">
        <f t="shared" ref="F51" si="22">+E51*S51*D51</f>
        <v>6568.8</v>
      </c>
      <c r="G51" s="38">
        <v>0</v>
      </c>
      <c r="H51" s="153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f>+D51*E51*62</f>
        <v>4426.8</v>
      </c>
      <c r="O51" s="38">
        <f>+D51*E51*30</f>
        <v>2142</v>
      </c>
      <c r="P51" s="38">
        <v>0</v>
      </c>
      <c r="Q51" s="38">
        <v>0</v>
      </c>
      <c r="R51" s="146">
        <v>0</v>
      </c>
      <c r="S51" s="147">
        <f>31+31+30</f>
        <v>92</v>
      </c>
    </row>
    <row r="52" spans="1:19" s="148" customFormat="1">
      <c r="A52" s="142"/>
      <c r="B52" s="143">
        <v>11</v>
      </c>
      <c r="C52" s="39" t="s">
        <v>38</v>
      </c>
      <c r="D52" s="37">
        <v>71.400000000000006</v>
      </c>
      <c r="E52" s="41">
        <v>1</v>
      </c>
      <c r="F52" s="145">
        <f t="shared" si="3"/>
        <v>6568.8</v>
      </c>
      <c r="G52" s="38">
        <v>0</v>
      </c>
      <c r="H52" s="153">
        <v>0</v>
      </c>
      <c r="I52" s="38">
        <v>0</v>
      </c>
      <c r="J52" s="38">
        <v>0</v>
      </c>
      <c r="K52" s="38">
        <v>0</v>
      </c>
      <c r="L52" s="38">
        <v>0</v>
      </c>
      <c r="M52" s="38">
        <f>+D52*E52*61</f>
        <v>4355.4000000000005</v>
      </c>
      <c r="N52" s="38">
        <f>+D52*E52*31</f>
        <v>2213.4</v>
      </c>
      <c r="O52" s="38">
        <v>0</v>
      </c>
      <c r="P52" s="38">
        <v>0</v>
      </c>
      <c r="Q52" s="38">
        <v>0</v>
      </c>
      <c r="R52" s="146">
        <v>0</v>
      </c>
      <c r="S52" s="147">
        <f>30+31+31</f>
        <v>92</v>
      </c>
    </row>
    <row r="53" spans="1:19">
      <c r="A53" s="59"/>
      <c r="B53" s="134"/>
      <c r="C53" s="135" t="s">
        <v>125</v>
      </c>
      <c r="D53" s="136"/>
      <c r="E53" s="32"/>
      <c r="F53" s="137">
        <f xml:space="preserve"> 890344-SUM(F25:F52)-10880</f>
        <v>32512.279999999795</v>
      </c>
      <c r="G53" s="154"/>
      <c r="H53" s="155"/>
      <c r="I53" s="138"/>
      <c r="J53" s="138"/>
      <c r="K53" s="156"/>
      <c r="L53" s="138"/>
      <c r="M53" s="138"/>
      <c r="N53" s="138"/>
      <c r="O53" s="138"/>
      <c r="P53" s="138"/>
      <c r="Q53" s="138"/>
      <c r="R53" s="140">
        <f>F53</f>
        <v>32512.279999999795</v>
      </c>
    </row>
    <row r="54" spans="1:19">
      <c r="A54" s="59"/>
      <c r="B54" s="157"/>
      <c r="C54" s="759" t="s">
        <v>43</v>
      </c>
      <c r="D54" s="759"/>
      <c r="E54" s="158"/>
      <c r="F54" s="159"/>
      <c r="G54" s="160"/>
      <c r="H54" s="161"/>
      <c r="I54" s="160"/>
      <c r="J54" s="160"/>
      <c r="K54" s="160"/>
      <c r="L54" s="160"/>
      <c r="M54" s="160"/>
      <c r="N54" s="160"/>
      <c r="O54" s="160"/>
      <c r="P54" s="160"/>
      <c r="Q54" s="160"/>
      <c r="R54" s="162"/>
    </row>
    <row r="55" spans="1:19" ht="28.5" customHeight="1">
      <c r="A55" s="59"/>
      <c r="B55" s="163"/>
      <c r="C55" s="748" t="s">
        <v>126</v>
      </c>
      <c r="D55" s="748"/>
      <c r="E55" s="164" t="e">
        <f>E57+#REF!</f>
        <v>#REF!</v>
      </c>
      <c r="F55" s="165" t="e">
        <f>F57+#REF!</f>
        <v>#REF!</v>
      </c>
      <c r="G55" s="166" t="e">
        <f>G57+#REF!</f>
        <v>#REF!</v>
      </c>
      <c r="H55" s="166" t="e">
        <f>H57+#REF!</f>
        <v>#REF!</v>
      </c>
      <c r="I55" s="166" t="e">
        <f>I57+#REF!</f>
        <v>#REF!</v>
      </c>
      <c r="J55" s="166" t="e">
        <f>J57+#REF!</f>
        <v>#REF!</v>
      </c>
      <c r="K55" s="166" t="e">
        <f>K57+#REF!</f>
        <v>#REF!</v>
      </c>
      <c r="L55" s="166" t="e">
        <f>L57+#REF!</f>
        <v>#REF!</v>
      </c>
      <c r="M55" s="166" t="e">
        <f>M57+#REF!</f>
        <v>#REF!</v>
      </c>
      <c r="N55" s="166" t="e">
        <f>N57+#REF!</f>
        <v>#REF!</v>
      </c>
      <c r="O55" s="166" t="e">
        <f>O57+#REF!</f>
        <v>#REF!</v>
      </c>
      <c r="P55" s="166" t="e">
        <f>P57+#REF!</f>
        <v>#REF!</v>
      </c>
      <c r="Q55" s="166" t="e">
        <f>Q57+#REF!</f>
        <v>#REF!</v>
      </c>
      <c r="R55" s="167" t="e">
        <f>R57+#REF!</f>
        <v>#REF!</v>
      </c>
      <c r="S55" s="22" t="e">
        <f>F55-SUM(G55:R55)</f>
        <v>#REF!</v>
      </c>
    </row>
    <row r="56" spans="1:19">
      <c r="A56" s="59"/>
      <c r="B56" s="163"/>
      <c r="C56" s="168"/>
      <c r="D56" s="168"/>
      <c r="E56" s="169"/>
      <c r="F56" s="170" t="e">
        <f>+F58+#REF!</f>
        <v>#REF!</v>
      </c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2"/>
    </row>
    <row r="57" spans="1:19" ht="31.15" customHeight="1">
      <c r="A57" s="59"/>
      <c r="B57" s="134"/>
      <c r="C57" s="760" t="s">
        <v>127</v>
      </c>
      <c r="D57" s="760"/>
      <c r="E57" s="173">
        <f>SUM(E60:E66)</f>
        <v>7</v>
      </c>
      <c r="F57" s="174">
        <f>SUM(F60:F66)</f>
        <v>70887.900000000009</v>
      </c>
      <c r="G57" s="175">
        <f t="shared" ref="G57:Q57" si="23">SUM(G60:G66)</f>
        <v>4462.1400000000003</v>
      </c>
      <c r="H57" s="175">
        <f t="shared" si="23"/>
        <v>7100.52</v>
      </c>
      <c r="I57" s="175">
        <f t="shared" si="23"/>
        <v>6675.5400000000009</v>
      </c>
      <c r="J57" s="175">
        <f t="shared" si="23"/>
        <v>6460.2000000000007</v>
      </c>
      <c r="K57" s="175">
        <f t="shared" si="23"/>
        <v>6675.5400000000009</v>
      </c>
      <c r="L57" s="175">
        <f t="shared" si="23"/>
        <v>6460.2000000000007</v>
      </c>
      <c r="M57" s="175">
        <f t="shared" si="23"/>
        <v>6675.5400000000009</v>
      </c>
      <c r="N57" s="175">
        <f t="shared" si="23"/>
        <v>6675.5400000000009</v>
      </c>
      <c r="O57" s="175">
        <f t="shared" si="23"/>
        <v>6460.2000000000007</v>
      </c>
      <c r="P57" s="175">
        <f t="shared" si="23"/>
        <v>4462.1400000000003</v>
      </c>
      <c r="Q57" s="175">
        <f t="shared" si="23"/>
        <v>4318.2000000000007</v>
      </c>
      <c r="R57" s="176">
        <f>SUM(R60:R66)</f>
        <v>4462.1400000000003</v>
      </c>
      <c r="S57" s="22">
        <f>F57-SUM(G57:R57)</f>
        <v>0</v>
      </c>
    </row>
    <row r="58" spans="1:19">
      <c r="A58" s="59"/>
      <c r="B58" s="177"/>
      <c r="C58" s="178"/>
      <c r="D58" s="178"/>
      <c r="E58" s="173"/>
      <c r="F58" s="174">
        <f>SUM(F60:F66)</f>
        <v>70887.900000000009</v>
      </c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80"/>
    </row>
    <row r="59" spans="1:19" ht="17.25" customHeight="1">
      <c r="A59" s="59"/>
      <c r="B59" s="177"/>
      <c r="C59" s="181"/>
      <c r="D59" s="181"/>
      <c r="E59" s="123" t="s">
        <v>124</v>
      </c>
      <c r="F59" s="124">
        <v>0</v>
      </c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80"/>
    </row>
    <row r="60" spans="1:19">
      <c r="A60" s="59"/>
      <c r="B60" s="182">
        <v>1</v>
      </c>
      <c r="C60" s="183" t="s">
        <v>44</v>
      </c>
      <c r="D60" s="184">
        <v>72.540000000000006</v>
      </c>
      <c r="E60" s="185">
        <v>1</v>
      </c>
      <c r="F60" s="186">
        <f t="shared" ref="F60:F66" si="24">+E60*S60*D60</f>
        <v>15378.480000000001</v>
      </c>
      <c r="G60" s="187">
        <f>E60*D60*31</f>
        <v>2248.7400000000002</v>
      </c>
      <c r="H60" s="188">
        <f>E60*D60*28</f>
        <v>2031.1200000000001</v>
      </c>
      <c r="I60" s="187">
        <f>E60*D60*31</f>
        <v>2248.7400000000002</v>
      </c>
      <c r="J60" s="187">
        <f>E60*D60*30</f>
        <v>2176.2000000000003</v>
      </c>
      <c r="K60" s="187">
        <f>E60*D60*31</f>
        <v>2248.7400000000002</v>
      </c>
      <c r="L60" s="187">
        <f>E60*D60*30</f>
        <v>2176.2000000000003</v>
      </c>
      <c r="M60" s="187">
        <f>E60*D60*31</f>
        <v>2248.7400000000002</v>
      </c>
      <c r="N60" s="138">
        <v>0</v>
      </c>
      <c r="O60" s="138">
        <v>0</v>
      </c>
      <c r="P60" s="138">
        <v>0</v>
      </c>
      <c r="Q60" s="138">
        <v>0</v>
      </c>
      <c r="R60" s="140">
        <v>0</v>
      </c>
      <c r="S60" s="141">
        <v>212</v>
      </c>
    </row>
    <row r="61" spans="1:19">
      <c r="A61" s="59"/>
      <c r="B61" s="134">
        <v>2</v>
      </c>
      <c r="C61" s="135" t="s">
        <v>35</v>
      </c>
      <c r="D61" s="136">
        <v>71.400000000000006</v>
      </c>
      <c r="E61" s="189">
        <v>1</v>
      </c>
      <c r="F61" s="137">
        <f t="shared" si="24"/>
        <v>15136.800000000001</v>
      </c>
      <c r="G61" s="138">
        <f>E61*D61*31</f>
        <v>2213.4</v>
      </c>
      <c r="H61" s="139">
        <f>E61*D61*28</f>
        <v>1999.2000000000003</v>
      </c>
      <c r="I61" s="138">
        <f>E61*D61*31</f>
        <v>2213.4</v>
      </c>
      <c r="J61" s="138">
        <f>E61*D61*30</f>
        <v>2142</v>
      </c>
      <c r="K61" s="138">
        <f>E61*D61*31</f>
        <v>2213.4</v>
      </c>
      <c r="L61" s="138">
        <f>E61*D61*30</f>
        <v>2142</v>
      </c>
      <c r="M61" s="138">
        <f>E61*D61*31</f>
        <v>2213.4</v>
      </c>
      <c r="N61" s="138">
        <v>0</v>
      </c>
      <c r="O61" s="138">
        <v>0</v>
      </c>
      <c r="P61" s="138">
        <v>0</v>
      </c>
      <c r="Q61" s="138">
        <v>0</v>
      </c>
      <c r="R61" s="140">
        <v>0</v>
      </c>
      <c r="S61" s="141">
        <v>212</v>
      </c>
    </row>
    <row r="62" spans="1:19" s="13" customFormat="1">
      <c r="A62" s="190"/>
      <c r="B62" s="191">
        <v>2</v>
      </c>
      <c r="C62" s="192" t="s">
        <v>38</v>
      </c>
      <c r="D62" s="193">
        <v>71.400000000000006</v>
      </c>
      <c r="E62" s="32">
        <v>1</v>
      </c>
      <c r="F62" s="194">
        <f t="shared" si="24"/>
        <v>5283.6</v>
      </c>
      <c r="G62" s="195">
        <v>0</v>
      </c>
      <c r="H62" s="196">
        <f>E62*D62*28+D62*E62*15</f>
        <v>3070.2000000000003</v>
      </c>
      <c r="I62" s="195">
        <f>E62*D62*31</f>
        <v>2213.4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0</v>
      </c>
      <c r="P62" s="195">
        <v>0</v>
      </c>
      <c r="Q62" s="195">
        <v>0</v>
      </c>
      <c r="R62" s="197">
        <v>0</v>
      </c>
      <c r="S62" s="198">
        <f>15+28+31</f>
        <v>74</v>
      </c>
    </row>
    <row r="63" spans="1:19" s="13" customFormat="1">
      <c r="A63" s="190"/>
      <c r="B63" s="191">
        <v>3</v>
      </c>
      <c r="C63" s="192" t="s">
        <v>38</v>
      </c>
      <c r="D63" s="193">
        <v>71.400000000000006</v>
      </c>
      <c r="E63" s="32">
        <v>1</v>
      </c>
      <c r="F63" s="194">
        <f t="shared" si="24"/>
        <v>6497.4000000000005</v>
      </c>
      <c r="G63" s="195">
        <v>0</v>
      </c>
      <c r="H63" s="196">
        <v>0</v>
      </c>
      <c r="I63" s="195">
        <v>0</v>
      </c>
      <c r="J63" s="195">
        <f>E63*D63*30</f>
        <v>2142</v>
      </c>
      <c r="K63" s="195">
        <f t="shared" ref="K63" si="25">E63*D63*31</f>
        <v>2213.4</v>
      </c>
      <c r="L63" s="195">
        <f t="shared" ref="L63" si="26">E63*D63*30</f>
        <v>2142</v>
      </c>
      <c r="M63" s="195">
        <v>0</v>
      </c>
      <c r="N63" s="195">
        <v>0</v>
      </c>
      <c r="O63" s="195">
        <v>0</v>
      </c>
      <c r="P63" s="195">
        <v>0</v>
      </c>
      <c r="Q63" s="195">
        <v>0</v>
      </c>
      <c r="R63" s="197">
        <v>0</v>
      </c>
      <c r="S63" s="198">
        <f>30+31+30</f>
        <v>91</v>
      </c>
    </row>
    <row r="64" spans="1:19" s="148" customFormat="1">
      <c r="A64" s="142"/>
      <c r="B64" s="149">
        <v>1</v>
      </c>
      <c r="C64" s="40" t="s">
        <v>44</v>
      </c>
      <c r="D64" s="43">
        <v>72.540000000000006</v>
      </c>
      <c r="E64" s="42">
        <v>1</v>
      </c>
      <c r="F64" s="150">
        <f t="shared" si="24"/>
        <v>11098.62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38">
        <f t="shared" ref="N64:N65" si="27">+D64*E64*31</f>
        <v>2248.7400000000002</v>
      </c>
      <c r="O64" s="38">
        <f t="shared" ref="O64:O65" si="28">+D64*E64*30</f>
        <v>2176.2000000000003</v>
      </c>
      <c r="P64" s="38">
        <f t="shared" ref="P64:P65" si="29">+D64*E64*31</f>
        <v>2248.7400000000002</v>
      </c>
      <c r="Q64" s="38">
        <f t="shared" ref="Q64:Q65" si="30">+D64*E64*30</f>
        <v>2176.2000000000003</v>
      </c>
      <c r="R64" s="146">
        <f t="shared" ref="R64:R65" si="31">+D64*E64*31</f>
        <v>2248.7400000000002</v>
      </c>
      <c r="S64" s="147">
        <f t="shared" ref="S64:S65" si="32">31+30+31+30+31</f>
        <v>153</v>
      </c>
    </row>
    <row r="65" spans="1:25" s="148" customFormat="1">
      <c r="A65" s="142"/>
      <c r="B65" s="143">
        <v>2</v>
      </c>
      <c r="C65" s="39" t="s">
        <v>35</v>
      </c>
      <c r="D65" s="37">
        <v>71.400000000000006</v>
      </c>
      <c r="E65" s="41">
        <v>1</v>
      </c>
      <c r="F65" s="145">
        <f t="shared" si="24"/>
        <v>10924.2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38">
        <f t="shared" si="27"/>
        <v>2213.4</v>
      </c>
      <c r="O65" s="38">
        <f t="shared" si="28"/>
        <v>2142</v>
      </c>
      <c r="P65" s="38">
        <f t="shared" si="29"/>
        <v>2213.4</v>
      </c>
      <c r="Q65" s="38">
        <f t="shared" si="30"/>
        <v>2142</v>
      </c>
      <c r="R65" s="146">
        <f t="shared" si="31"/>
        <v>2213.4</v>
      </c>
      <c r="S65" s="147">
        <f t="shared" si="32"/>
        <v>153</v>
      </c>
    </row>
    <row r="66" spans="1:25" s="148" customFormat="1">
      <c r="A66" s="142"/>
      <c r="B66" s="143">
        <v>4</v>
      </c>
      <c r="C66" s="39" t="s">
        <v>38</v>
      </c>
      <c r="D66" s="37">
        <v>71.400000000000006</v>
      </c>
      <c r="E66" s="41">
        <v>1</v>
      </c>
      <c r="F66" s="145">
        <f t="shared" si="24"/>
        <v>6568.8</v>
      </c>
      <c r="G66" s="38">
        <v>0</v>
      </c>
      <c r="H66" s="153">
        <v>0</v>
      </c>
      <c r="I66" s="38">
        <v>0</v>
      </c>
      <c r="J66" s="38">
        <v>0</v>
      </c>
      <c r="K66" s="38">
        <v>0</v>
      </c>
      <c r="L66" s="38">
        <v>0</v>
      </c>
      <c r="M66" s="38">
        <f>+D66*E66*31</f>
        <v>2213.4</v>
      </c>
      <c r="N66" s="38">
        <f>+D66*E66*31</f>
        <v>2213.4</v>
      </c>
      <c r="O66" s="38">
        <f>+D66*E66*30</f>
        <v>2142</v>
      </c>
      <c r="P66" s="38">
        <v>0</v>
      </c>
      <c r="Q66" s="38">
        <v>0</v>
      </c>
      <c r="R66" s="146">
        <v>0</v>
      </c>
      <c r="S66" s="147">
        <f>31+31+30</f>
        <v>92</v>
      </c>
    </row>
    <row r="67" spans="1:25">
      <c r="A67" s="59"/>
      <c r="B67" s="134">
        <v>1</v>
      </c>
      <c r="C67" s="135" t="s">
        <v>44</v>
      </c>
      <c r="D67" s="136">
        <v>72.540000000000006</v>
      </c>
      <c r="E67" s="32">
        <v>6</v>
      </c>
      <c r="F67" s="194">
        <f>+E67*S67*D67</f>
        <v>92270.88</v>
      </c>
      <c r="G67" s="138">
        <f>E67*D67*31</f>
        <v>13492.44</v>
      </c>
      <c r="H67" s="139">
        <f>E67*D67*28</f>
        <v>12186.720000000001</v>
      </c>
      <c r="I67" s="138">
        <f>E67*D67*31</f>
        <v>13492.44</v>
      </c>
      <c r="J67" s="138">
        <f>E67*D67*30</f>
        <v>13057.2</v>
      </c>
      <c r="K67" s="138">
        <f>E67*D67*31</f>
        <v>13492.44</v>
      </c>
      <c r="L67" s="138">
        <f>E67*D67*30</f>
        <v>13057.2</v>
      </c>
      <c r="M67" s="138">
        <f>E67*D67*31</f>
        <v>13492.44</v>
      </c>
      <c r="N67" s="138">
        <v>0</v>
      </c>
      <c r="O67" s="138">
        <v>0</v>
      </c>
      <c r="P67" s="138">
        <v>0</v>
      </c>
      <c r="Q67" s="138">
        <v>0</v>
      </c>
      <c r="R67" s="140">
        <v>0</v>
      </c>
      <c r="S67" s="141">
        <v>212</v>
      </c>
    </row>
    <row r="68" spans="1:25">
      <c r="A68" s="59"/>
      <c r="B68" s="134">
        <v>2</v>
      </c>
      <c r="C68" s="135" t="s">
        <v>35</v>
      </c>
      <c r="D68" s="136">
        <v>71.400000000000006</v>
      </c>
      <c r="E68" s="189">
        <v>4</v>
      </c>
      <c r="F68" s="137">
        <f>+E68*S68*D68</f>
        <v>60547.200000000004</v>
      </c>
      <c r="G68" s="138">
        <f>E68*D68*31</f>
        <v>8853.6</v>
      </c>
      <c r="H68" s="139">
        <f>E68*D68*28</f>
        <v>7996.8000000000011</v>
      </c>
      <c r="I68" s="138">
        <f>E68*D68*31</f>
        <v>8853.6</v>
      </c>
      <c r="J68" s="138">
        <f>E68*D68*30</f>
        <v>8568</v>
      </c>
      <c r="K68" s="138">
        <f>E68*D68*31</f>
        <v>8853.6</v>
      </c>
      <c r="L68" s="138">
        <f>E68*D68*30</f>
        <v>8568</v>
      </c>
      <c r="M68" s="138">
        <f>E68*D68*31</f>
        <v>8853.6</v>
      </c>
      <c r="N68" s="138">
        <v>0</v>
      </c>
      <c r="O68" s="138">
        <v>0</v>
      </c>
      <c r="P68" s="138">
        <v>0</v>
      </c>
      <c r="Q68" s="138">
        <v>0</v>
      </c>
      <c r="R68" s="140">
        <v>0</v>
      </c>
      <c r="S68" s="141">
        <v>212</v>
      </c>
    </row>
    <row r="69" spans="1:25" s="148" customFormat="1">
      <c r="A69" s="142"/>
      <c r="B69" s="143">
        <v>3</v>
      </c>
      <c r="C69" s="39" t="s">
        <v>44</v>
      </c>
      <c r="D69" s="37">
        <v>72.540000000000006</v>
      </c>
      <c r="E69" s="41">
        <v>6</v>
      </c>
      <c r="F69" s="145">
        <f>+E69*S69*D69</f>
        <v>66591.72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f t="shared" ref="N69:N70" si="33">+D69*E69*31</f>
        <v>13492.44</v>
      </c>
      <c r="O69" s="38">
        <f t="shared" ref="O69:O70" si="34">+D69*E69*30</f>
        <v>13057.2</v>
      </c>
      <c r="P69" s="38">
        <f t="shared" ref="P69:P70" si="35">+D69*E69*31</f>
        <v>13492.44</v>
      </c>
      <c r="Q69" s="38">
        <f t="shared" ref="Q69:Q70" si="36">+D69*E69*30</f>
        <v>13057.2</v>
      </c>
      <c r="R69" s="146">
        <f t="shared" ref="R69:R70" si="37">+D69*E69*31</f>
        <v>13492.44</v>
      </c>
      <c r="S69" s="147">
        <f t="shared" ref="S69:S70" si="38">31+30+31+30+31</f>
        <v>153</v>
      </c>
    </row>
    <row r="70" spans="1:25" s="148" customFormat="1">
      <c r="A70" s="142"/>
      <c r="B70" s="143">
        <v>4</v>
      </c>
      <c r="C70" s="39" t="s">
        <v>35</v>
      </c>
      <c r="D70" s="37">
        <v>71.400000000000006</v>
      </c>
      <c r="E70" s="41">
        <v>4</v>
      </c>
      <c r="F70" s="145">
        <f>+E70*S70*D70</f>
        <v>43696.800000000003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f t="shared" si="33"/>
        <v>8853.6</v>
      </c>
      <c r="O70" s="38">
        <f t="shared" si="34"/>
        <v>8568</v>
      </c>
      <c r="P70" s="38">
        <f t="shared" si="35"/>
        <v>8853.6</v>
      </c>
      <c r="Q70" s="38">
        <f t="shared" si="36"/>
        <v>8568</v>
      </c>
      <c r="R70" s="146">
        <f t="shared" si="37"/>
        <v>8853.6</v>
      </c>
      <c r="S70" s="147">
        <f t="shared" si="38"/>
        <v>153</v>
      </c>
    </row>
    <row r="71" spans="1:25" ht="15.75" thickBot="1">
      <c r="A71" s="59"/>
      <c r="B71" s="199"/>
      <c r="C71" s="183" t="s">
        <v>125</v>
      </c>
      <c r="D71" s="184"/>
      <c r="E71" s="209"/>
      <c r="F71" s="202">
        <f xml:space="preserve"> 263112-SUM(F67:F70)</f>
        <v>5.3999999999650754</v>
      </c>
      <c r="G71" s="203"/>
      <c r="H71" s="210"/>
      <c r="I71" s="205"/>
      <c r="J71" s="205"/>
      <c r="K71" s="205"/>
      <c r="L71" s="205"/>
      <c r="M71" s="205"/>
      <c r="N71" s="205"/>
      <c r="O71" s="205"/>
      <c r="P71" s="205"/>
      <c r="Q71" s="205"/>
      <c r="R71" s="211">
        <f>F71</f>
        <v>5.3999999999650754</v>
      </c>
    </row>
    <row r="72" spans="1:25">
      <c r="A72" s="59"/>
      <c r="B72" s="157"/>
      <c r="C72" s="754" t="s">
        <v>45</v>
      </c>
      <c r="D72" s="754"/>
      <c r="E72" s="212"/>
      <c r="F72" s="159"/>
      <c r="G72" s="160"/>
      <c r="H72" s="160"/>
      <c r="I72" s="160"/>
      <c r="J72" s="160"/>
      <c r="K72" s="160"/>
      <c r="L72" s="160"/>
      <c r="M72" s="160"/>
      <c r="N72" s="213"/>
      <c r="O72" s="213"/>
      <c r="P72" s="213"/>
      <c r="Q72" s="160"/>
      <c r="R72" s="214"/>
    </row>
    <row r="73" spans="1:25" ht="24" customHeight="1">
      <c r="A73" s="59"/>
      <c r="B73" s="215"/>
      <c r="C73" s="752" t="s">
        <v>128</v>
      </c>
      <c r="D73" s="752"/>
      <c r="E73" s="164" t="e">
        <f>E75+#REF!+#REF!+#REF!+#REF!+#REF!+#REF!+#REF!+#REF!</f>
        <v>#REF!</v>
      </c>
      <c r="F73" s="165" t="e">
        <f>F75+#REF!+#REF!+#REF!+#REF!+#REF!+#REF!+#REF!+#REF!</f>
        <v>#REF!</v>
      </c>
      <c r="G73" s="216" t="e">
        <f>G75+#REF!+#REF!+#REF!+#REF!+#REF!+#REF!+#REF!+#REF!</f>
        <v>#REF!</v>
      </c>
      <c r="H73" s="216" t="e">
        <f>H75+#REF!+#REF!+#REF!+#REF!+#REF!+#REF!+#REF!+#REF!</f>
        <v>#REF!</v>
      </c>
      <c r="I73" s="216" t="e">
        <f>I75+#REF!+#REF!+#REF!+#REF!+#REF!+#REF!+#REF!+#REF!</f>
        <v>#REF!</v>
      </c>
      <c r="J73" s="216" t="e">
        <f>J75+#REF!+#REF!+#REF!+#REF!+#REF!+#REF!+#REF!+#REF!</f>
        <v>#REF!</v>
      </c>
      <c r="K73" s="216" t="e">
        <f>K75+#REF!+#REF!+#REF!+#REF!+#REF!+#REF!+#REF!+#REF!</f>
        <v>#REF!</v>
      </c>
      <c r="L73" s="216" t="e">
        <f>L75+#REF!+#REF!+#REF!+#REF!+#REF!+#REF!+#REF!+#REF!</f>
        <v>#REF!</v>
      </c>
      <c r="M73" s="216" t="e">
        <f>M75+#REF!+#REF!+#REF!+#REF!+#REF!+#REF!+#REF!+#REF!</f>
        <v>#REF!</v>
      </c>
      <c r="N73" s="216" t="e">
        <f>N75+#REF!+#REF!+#REF!+#REF!+#REF!+#REF!+#REF!+#REF!</f>
        <v>#REF!</v>
      </c>
      <c r="O73" s="216" t="e">
        <f>O75+#REF!+#REF!+#REF!+#REF!+#REF!+#REF!+#REF!+#REF!</f>
        <v>#REF!</v>
      </c>
      <c r="P73" s="216" t="e">
        <f>P75+#REF!+#REF!+#REF!+#REF!+#REF!+#REF!+#REF!+#REF!</f>
        <v>#REF!</v>
      </c>
      <c r="Q73" s="216" t="e">
        <f>Q75+#REF!+#REF!+#REF!+#REF!+#REF!+#REF!+#REF!+#REF!</f>
        <v>#REF!</v>
      </c>
      <c r="R73" s="167" t="e">
        <f>R75+#REF!+#REF!+#REF!+#REF!+#REF!+#REF!+#REF!+#REF!</f>
        <v>#REF!</v>
      </c>
      <c r="S73" s="22" t="e">
        <f>F73-SUM(G73:R73)</f>
        <v>#REF!</v>
      </c>
      <c r="T73" s="89"/>
    </row>
    <row r="74" spans="1:25">
      <c r="A74" s="59"/>
      <c r="B74" s="217"/>
      <c r="C74" s="218"/>
      <c r="D74" s="219"/>
      <c r="E74" s="220"/>
      <c r="F74" s="221" t="e">
        <f>+F76+#REF!+#REF!+#REF!+#REF!+#REF!+#REF!+#REF!+#REF!</f>
        <v>#REF!</v>
      </c>
      <c r="G74" s="222"/>
      <c r="H74" s="113"/>
      <c r="I74" s="113"/>
      <c r="J74" s="113"/>
      <c r="K74" s="113"/>
      <c r="L74" s="222"/>
      <c r="M74" s="222"/>
      <c r="N74" s="223"/>
      <c r="O74" s="223"/>
      <c r="P74" s="223"/>
      <c r="Q74" s="222"/>
      <c r="R74" s="224"/>
    </row>
    <row r="75" spans="1:25" ht="43.15" customHeight="1">
      <c r="A75" s="59"/>
      <c r="B75" s="129"/>
      <c r="C75" s="753" t="s">
        <v>129</v>
      </c>
      <c r="D75" s="753"/>
      <c r="E75" s="225">
        <f t="shared" ref="E75:R75" si="39">SUM(E78:E115)</f>
        <v>170</v>
      </c>
      <c r="F75" s="226">
        <f t="shared" si="39"/>
        <v>2137995.0499999993</v>
      </c>
      <c r="G75" s="227">
        <f t="shared" si="39"/>
        <v>183838.99</v>
      </c>
      <c r="H75" s="228">
        <f t="shared" si="39"/>
        <v>164048.92000000007</v>
      </c>
      <c r="I75" s="229">
        <f t="shared" si="39"/>
        <v>178555.39</v>
      </c>
      <c r="J75" s="229">
        <f t="shared" si="39"/>
        <v>171839.69999999998</v>
      </c>
      <c r="K75" s="229">
        <f t="shared" si="39"/>
        <v>190621.99</v>
      </c>
      <c r="L75" s="227">
        <f t="shared" si="39"/>
        <v>177908.69999999998</v>
      </c>
      <c r="M75" s="227">
        <f t="shared" si="39"/>
        <v>186052.38999999998</v>
      </c>
      <c r="N75" s="227">
        <f t="shared" si="39"/>
        <v>180625.99</v>
      </c>
      <c r="O75" s="230">
        <f t="shared" si="39"/>
        <v>178622.69999999998</v>
      </c>
      <c r="P75" s="230">
        <f t="shared" si="39"/>
        <v>177198.79</v>
      </c>
      <c r="Q75" s="230">
        <f t="shared" si="39"/>
        <v>171482.7</v>
      </c>
      <c r="R75" s="231">
        <f t="shared" si="39"/>
        <v>177198.79</v>
      </c>
      <c r="S75" s="232">
        <f>F75-SUM(G75:R75)</f>
        <v>0</v>
      </c>
      <c r="T75" s="22"/>
    </row>
    <row r="76" spans="1:25">
      <c r="A76" s="59"/>
      <c r="B76" s="233"/>
      <c r="C76" s="234"/>
      <c r="D76" s="234"/>
      <c r="E76" s="235"/>
      <c r="F76" s="226">
        <f>SUM(F78:F115)</f>
        <v>2137995.0499999993</v>
      </c>
      <c r="G76" s="228"/>
      <c r="H76" s="228"/>
      <c r="I76" s="229"/>
      <c r="J76" s="229"/>
      <c r="K76" s="236"/>
      <c r="L76" s="229"/>
      <c r="M76" s="228"/>
      <c r="N76" s="229"/>
      <c r="O76" s="229"/>
      <c r="P76" s="229"/>
      <c r="Q76" s="236"/>
      <c r="R76" s="237"/>
      <c r="S76" s="232"/>
      <c r="T76" s="22"/>
    </row>
    <row r="77" spans="1:25" ht="16.899999999999999" customHeight="1">
      <c r="A77" s="59"/>
      <c r="B77" s="134"/>
      <c r="C77" s="208"/>
      <c r="D77" s="208"/>
      <c r="E77" s="238" t="s">
        <v>124</v>
      </c>
      <c r="F77" s="239">
        <v>0</v>
      </c>
      <c r="G77" s="240"/>
      <c r="H77" s="240"/>
      <c r="I77" s="240"/>
      <c r="J77" s="241"/>
      <c r="K77" s="240"/>
      <c r="L77" s="240"/>
      <c r="M77" s="240"/>
      <c r="N77" s="240"/>
      <c r="O77" s="240"/>
      <c r="P77" s="240"/>
      <c r="Q77" s="240"/>
      <c r="R77" s="242"/>
    </row>
    <row r="78" spans="1:25">
      <c r="A78" s="59"/>
      <c r="B78" s="207">
        <v>1</v>
      </c>
      <c r="C78" s="243" t="s">
        <v>44</v>
      </c>
      <c r="D78" s="244">
        <v>72.540000000000006</v>
      </c>
      <c r="E78" s="245">
        <v>6</v>
      </c>
      <c r="F78" s="246">
        <f t="shared" ref="F78:F141" si="40">+E78*S78*D78</f>
        <v>92270.88</v>
      </c>
      <c r="G78" s="247">
        <f t="shared" ref="G78:G86" si="41">E78*D78*31</f>
        <v>13492.44</v>
      </c>
      <c r="H78" s="248">
        <f t="shared" ref="H78:H86" si="42">E78*D78*28</f>
        <v>12186.720000000001</v>
      </c>
      <c r="I78" s="247">
        <f t="shared" ref="I78:I86" si="43">E78*D78*31</f>
        <v>13492.44</v>
      </c>
      <c r="J78" s="195">
        <f t="shared" ref="J78:J84" si="44">E78*D78*30</f>
        <v>13057.2</v>
      </c>
      <c r="K78" s="195">
        <f t="shared" ref="K78:K84" si="45">E78*D78*31</f>
        <v>13492.44</v>
      </c>
      <c r="L78" s="195">
        <f t="shared" ref="L78:L84" si="46">E78*D78*30</f>
        <v>13057.2</v>
      </c>
      <c r="M78" s="195">
        <f t="shared" ref="M78:M86" si="47">E78*D78*31</f>
        <v>13492.44</v>
      </c>
      <c r="N78" s="195">
        <v>0</v>
      </c>
      <c r="O78" s="195">
        <v>0</v>
      </c>
      <c r="P78" s="195">
        <v>0</v>
      </c>
      <c r="Q78" s="195">
        <v>0</v>
      </c>
      <c r="R78" s="197">
        <v>0</v>
      </c>
      <c r="S78" s="141">
        <v>212</v>
      </c>
    </row>
    <row r="79" spans="1:25" s="13" customFormat="1">
      <c r="A79" s="190"/>
      <c r="B79" s="191">
        <v>2</v>
      </c>
      <c r="C79" s="192" t="s">
        <v>48</v>
      </c>
      <c r="D79" s="193">
        <v>71.400000000000006</v>
      </c>
      <c r="E79" s="32">
        <v>1</v>
      </c>
      <c r="F79" s="194">
        <f t="shared" si="40"/>
        <v>15136.800000000001</v>
      </c>
      <c r="G79" s="247">
        <f t="shared" si="41"/>
        <v>2213.4</v>
      </c>
      <c r="H79" s="248">
        <f t="shared" si="42"/>
        <v>1999.2000000000003</v>
      </c>
      <c r="I79" s="247">
        <f t="shared" si="43"/>
        <v>2213.4</v>
      </c>
      <c r="J79" s="195">
        <f t="shared" si="44"/>
        <v>2142</v>
      </c>
      <c r="K79" s="195">
        <f t="shared" si="45"/>
        <v>2213.4</v>
      </c>
      <c r="L79" s="195">
        <f t="shared" si="46"/>
        <v>2142</v>
      </c>
      <c r="M79" s="195">
        <f t="shared" si="47"/>
        <v>2213.4</v>
      </c>
      <c r="N79" s="195">
        <v>0</v>
      </c>
      <c r="O79" s="195">
        <v>0</v>
      </c>
      <c r="P79" s="195">
        <v>0</v>
      </c>
      <c r="Q79" s="195">
        <v>0</v>
      </c>
      <c r="R79" s="197">
        <v>0</v>
      </c>
      <c r="S79" s="198">
        <v>212</v>
      </c>
      <c r="T79"/>
      <c r="X79"/>
      <c r="Y79"/>
    </row>
    <row r="80" spans="1:25" s="13" customFormat="1">
      <c r="A80" s="190"/>
      <c r="B80" s="191">
        <v>3</v>
      </c>
      <c r="C80" s="192" t="s">
        <v>49</v>
      </c>
      <c r="D80" s="193">
        <v>74.63</v>
      </c>
      <c r="E80" s="32">
        <v>1</v>
      </c>
      <c r="F80" s="194">
        <f t="shared" si="40"/>
        <v>15821.56</v>
      </c>
      <c r="G80" s="247">
        <f t="shared" si="41"/>
        <v>2313.5299999999997</v>
      </c>
      <c r="H80" s="248">
        <f t="shared" si="42"/>
        <v>2089.64</v>
      </c>
      <c r="I80" s="247">
        <f t="shared" si="43"/>
        <v>2313.5299999999997</v>
      </c>
      <c r="J80" s="195">
        <f t="shared" si="44"/>
        <v>2238.8999999999996</v>
      </c>
      <c r="K80" s="195">
        <f t="shared" si="45"/>
        <v>2313.5299999999997</v>
      </c>
      <c r="L80" s="195">
        <f t="shared" si="46"/>
        <v>2238.8999999999996</v>
      </c>
      <c r="M80" s="195">
        <f t="shared" si="47"/>
        <v>2313.5299999999997</v>
      </c>
      <c r="N80" s="195">
        <v>0</v>
      </c>
      <c r="O80" s="195">
        <v>0</v>
      </c>
      <c r="P80" s="195">
        <v>0</v>
      </c>
      <c r="Q80" s="195">
        <v>0</v>
      </c>
      <c r="R80" s="197">
        <v>0</v>
      </c>
      <c r="S80" s="198">
        <v>212</v>
      </c>
      <c r="T80"/>
      <c r="X80"/>
      <c r="Y80"/>
    </row>
    <row r="81" spans="1:25" s="13" customFormat="1">
      <c r="A81" s="190"/>
      <c r="B81" s="191">
        <v>4</v>
      </c>
      <c r="C81" s="192" t="s">
        <v>35</v>
      </c>
      <c r="D81" s="193">
        <v>71.400000000000006</v>
      </c>
      <c r="E81" s="32">
        <v>5</v>
      </c>
      <c r="F81" s="194">
        <f t="shared" si="40"/>
        <v>75684</v>
      </c>
      <c r="G81" s="247">
        <f t="shared" si="41"/>
        <v>11067</v>
      </c>
      <c r="H81" s="248">
        <f t="shared" si="42"/>
        <v>9996</v>
      </c>
      <c r="I81" s="247">
        <f t="shared" si="43"/>
        <v>11067</v>
      </c>
      <c r="J81" s="195">
        <f t="shared" si="44"/>
        <v>10710</v>
      </c>
      <c r="K81" s="195">
        <f t="shared" si="45"/>
        <v>11067</v>
      </c>
      <c r="L81" s="195">
        <f t="shared" si="46"/>
        <v>10710</v>
      </c>
      <c r="M81" s="195">
        <f t="shared" si="47"/>
        <v>11067</v>
      </c>
      <c r="N81" s="195">
        <v>0</v>
      </c>
      <c r="O81" s="195">
        <v>0</v>
      </c>
      <c r="P81" s="195">
        <v>0</v>
      </c>
      <c r="Q81" s="195">
        <v>0</v>
      </c>
      <c r="R81" s="197">
        <v>0</v>
      </c>
      <c r="S81" s="198">
        <v>212</v>
      </c>
      <c r="T81"/>
      <c r="X81"/>
      <c r="Y81"/>
    </row>
    <row r="82" spans="1:25" s="13" customFormat="1">
      <c r="A82" s="190"/>
      <c r="B82" s="207">
        <v>5</v>
      </c>
      <c r="C82" s="192" t="s">
        <v>50</v>
      </c>
      <c r="D82" s="193">
        <v>74.63</v>
      </c>
      <c r="E82" s="32">
        <v>1</v>
      </c>
      <c r="F82" s="194">
        <f t="shared" si="40"/>
        <v>15821.56</v>
      </c>
      <c r="G82" s="247">
        <f t="shared" si="41"/>
        <v>2313.5299999999997</v>
      </c>
      <c r="H82" s="248">
        <f t="shared" si="42"/>
        <v>2089.64</v>
      </c>
      <c r="I82" s="247">
        <f t="shared" si="43"/>
        <v>2313.5299999999997</v>
      </c>
      <c r="J82" s="195">
        <f t="shared" si="44"/>
        <v>2238.8999999999996</v>
      </c>
      <c r="K82" s="195">
        <f t="shared" si="45"/>
        <v>2313.5299999999997</v>
      </c>
      <c r="L82" s="195">
        <f t="shared" si="46"/>
        <v>2238.8999999999996</v>
      </c>
      <c r="M82" s="195">
        <f t="shared" si="47"/>
        <v>2313.5299999999997</v>
      </c>
      <c r="N82" s="195">
        <v>0</v>
      </c>
      <c r="O82" s="195">
        <v>0</v>
      </c>
      <c r="P82" s="195">
        <v>0</v>
      </c>
      <c r="Q82" s="195">
        <v>0</v>
      </c>
      <c r="R82" s="197">
        <v>0</v>
      </c>
      <c r="S82" s="198">
        <v>212</v>
      </c>
    </row>
    <row r="83" spans="1:25" s="13" customFormat="1">
      <c r="A83" s="190"/>
      <c r="B83" s="191">
        <v>6</v>
      </c>
      <c r="C83" s="192" t="s">
        <v>51</v>
      </c>
      <c r="D83" s="193">
        <v>74.63</v>
      </c>
      <c r="E83" s="32">
        <v>1</v>
      </c>
      <c r="F83" s="194">
        <f t="shared" si="40"/>
        <v>15821.56</v>
      </c>
      <c r="G83" s="247">
        <f t="shared" si="41"/>
        <v>2313.5299999999997</v>
      </c>
      <c r="H83" s="248">
        <f t="shared" si="42"/>
        <v>2089.64</v>
      </c>
      <c r="I83" s="247">
        <f t="shared" si="43"/>
        <v>2313.5299999999997</v>
      </c>
      <c r="J83" s="195">
        <f t="shared" si="44"/>
        <v>2238.8999999999996</v>
      </c>
      <c r="K83" s="195">
        <f t="shared" si="45"/>
        <v>2313.5299999999997</v>
      </c>
      <c r="L83" s="195">
        <f t="shared" si="46"/>
        <v>2238.8999999999996</v>
      </c>
      <c r="M83" s="195">
        <f t="shared" si="47"/>
        <v>2313.5299999999997</v>
      </c>
      <c r="N83" s="195">
        <v>0</v>
      </c>
      <c r="O83" s="195">
        <v>0</v>
      </c>
      <c r="P83" s="195">
        <v>0</v>
      </c>
      <c r="Q83" s="195">
        <v>0</v>
      </c>
      <c r="R83" s="197">
        <v>0</v>
      </c>
      <c r="S83" s="198">
        <v>212</v>
      </c>
      <c r="T83"/>
      <c r="X83"/>
      <c r="Y83"/>
    </row>
    <row r="84" spans="1:25" s="13" customFormat="1" ht="15.75" customHeight="1">
      <c r="A84" s="190"/>
      <c r="B84" s="191">
        <v>7</v>
      </c>
      <c r="C84" s="192" t="s">
        <v>53</v>
      </c>
      <c r="D84" s="193">
        <v>72.540000000000006</v>
      </c>
      <c r="E84" s="32">
        <v>1</v>
      </c>
      <c r="F84" s="194">
        <f t="shared" si="40"/>
        <v>15378.480000000001</v>
      </c>
      <c r="G84" s="247">
        <f t="shared" si="41"/>
        <v>2248.7400000000002</v>
      </c>
      <c r="H84" s="248">
        <f t="shared" si="42"/>
        <v>2031.1200000000001</v>
      </c>
      <c r="I84" s="247">
        <f t="shared" si="43"/>
        <v>2248.7400000000002</v>
      </c>
      <c r="J84" s="195">
        <f t="shared" si="44"/>
        <v>2176.2000000000003</v>
      </c>
      <c r="K84" s="195">
        <f t="shared" si="45"/>
        <v>2248.7400000000002</v>
      </c>
      <c r="L84" s="195">
        <f t="shared" si="46"/>
        <v>2176.2000000000003</v>
      </c>
      <c r="M84" s="195">
        <f t="shared" si="47"/>
        <v>2248.7400000000002</v>
      </c>
      <c r="N84" s="195">
        <v>0</v>
      </c>
      <c r="O84" s="195">
        <v>0</v>
      </c>
      <c r="P84" s="195">
        <v>0</v>
      </c>
      <c r="Q84" s="195">
        <v>0</v>
      </c>
      <c r="R84" s="197">
        <v>0</v>
      </c>
      <c r="S84" s="198">
        <v>212</v>
      </c>
      <c r="T84"/>
      <c r="X84"/>
      <c r="Y84"/>
    </row>
    <row r="85" spans="1:25" s="7" customFormat="1">
      <c r="A85" s="128"/>
      <c r="B85" s="129">
        <v>8</v>
      </c>
      <c r="C85" s="30" t="s">
        <v>38</v>
      </c>
      <c r="D85" s="31">
        <v>71.400000000000006</v>
      </c>
      <c r="E85" s="36">
        <v>1</v>
      </c>
      <c r="F85" s="249">
        <f t="shared" si="40"/>
        <v>7925.4000000000005</v>
      </c>
      <c r="G85" s="250">
        <f t="shared" si="41"/>
        <v>2213.4</v>
      </c>
      <c r="H85" s="251">
        <f t="shared" si="42"/>
        <v>1999.2000000000003</v>
      </c>
      <c r="I85" s="250">
        <f t="shared" si="43"/>
        <v>2213.4</v>
      </c>
      <c r="J85" s="47">
        <v>0</v>
      </c>
      <c r="K85" s="47">
        <v>-714</v>
      </c>
      <c r="L85" s="47">
        <v>0</v>
      </c>
      <c r="M85" s="47">
        <f t="shared" si="47"/>
        <v>2213.4</v>
      </c>
      <c r="N85" s="47">
        <v>0</v>
      </c>
      <c r="O85" s="47">
        <v>0</v>
      </c>
      <c r="P85" s="47">
        <v>0</v>
      </c>
      <c r="Q85" s="47">
        <v>0</v>
      </c>
      <c r="R85" s="132">
        <v>0</v>
      </c>
      <c r="S85" s="133">
        <f>212-30-31-10-30</f>
        <v>111</v>
      </c>
    </row>
    <row r="86" spans="1:25" s="13" customFormat="1">
      <c r="A86" s="190"/>
      <c r="B86" s="207">
        <v>9</v>
      </c>
      <c r="C86" s="192" t="s">
        <v>39</v>
      </c>
      <c r="D86" s="193">
        <v>78.25</v>
      </c>
      <c r="E86" s="252">
        <v>6</v>
      </c>
      <c r="F86" s="253">
        <f t="shared" si="40"/>
        <v>99534</v>
      </c>
      <c r="G86" s="247">
        <f t="shared" si="41"/>
        <v>14554.5</v>
      </c>
      <c r="H86" s="248">
        <f t="shared" si="42"/>
        <v>13146</v>
      </c>
      <c r="I86" s="247">
        <f t="shared" si="43"/>
        <v>14554.5</v>
      </c>
      <c r="J86" s="195">
        <f>E86*D86*30</f>
        <v>14085</v>
      </c>
      <c r="K86" s="195">
        <f>E86*D86*31</f>
        <v>14554.5</v>
      </c>
      <c r="L86" s="195">
        <f>E86*D86*30</f>
        <v>14085</v>
      </c>
      <c r="M86" s="195">
        <f t="shared" si="47"/>
        <v>14554.5</v>
      </c>
      <c r="N86" s="195">
        <v>0</v>
      </c>
      <c r="O86" s="195">
        <v>0</v>
      </c>
      <c r="P86" s="195">
        <v>0</v>
      </c>
      <c r="Q86" s="195">
        <v>0</v>
      </c>
      <c r="R86" s="197">
        <v>0</v>
      </c>
      <c r="S86" s="198">
        <v>212</v>
      </c>
    </row>
    <row r="87" spans="1:25" s="13" customFormat="1">
      <c r="A87" s="190"/>
      <c r="B87" s="207">
        <v>9</v>
      </c>
      <c r="C87" s="192" t="s">
        <v>39</v>
      </c>
      <c r="D87" s="193">
        <v>78.25</v>
      </c>
      <c r="E87" s="252">
        <v>1</v>
      </c>
      <c r="F87" s="253">
        <f t="shared" si="40"/>
        <v>0</v>
      </c>
      <c r="G87" s="247">
        <v>0</v>
      </c>
      <c r="H87" s="248">
        <v>0</v>
      </c>
      <c r="I87" s="247">
        <v>0</v>
      </c>
      <c r="J87" s="195">
        <v>0</v>
      </c>
      <c r="K87" s="195">
        <v>0</v>
      </c>
      <c r="L87" s="195">
        <v>0</v>
      </c>
      <c r="M87" s="195">
        <v>0</v>
      </c>
      <c r="N87" s="195">
        <v>0</v>
      </c>
      <c r="O87" s="195">
        <v>0</v>
      </c>
      <c r="P87" s="195">
        <v>0</v>
      </c>
      <c r="Q87" s="195">
        <v>0</v>
      </c>
      <c r="R87" s="197">
        <v>0</v>
      </c>
      <c r="S87" s="198">
        <v>0</v>
      </c>
    </row>
    <row r="88" spans="1:25" s="7" customFormat="1">
      <c r="A88" s="128"/>
      <c r="B88" s="129">
        <v>10</v>
      </c>
      <c r="C88" s="30" t="s">
        <v>32</v>
      </c>
      <c r="D88" s="31">
        <v>71.400000000000006</v>
      </c>
      <c r="E88" s="36">
        <v>44</v>
      </c>
      <c r="F88" s="249">
        <f t="shared" si="40"/>
        <v>666019.20000000007</v>
      </c>
      <c r="G88" s="250">
        <f>E88*D88*31</f>
        <v>97389.6</v>
      </c>
      <c r="H88" s="251">
        <f>E88*D88*28</f>
        <v>87964.800000000017</v>
      </c>
      <c r="I88" s="250">
        <f>E88*D88*31</f>
        <v>97389.6</v>
      </c>
      <c r="J88" s="47">
        <f>E88*D88*30</f>
        <v>94248.000000000015</v>
      </c>
      <c r="K88" s="47">
        <f>E88*D88*31</f>
        <v>97389.6</v>
      </c>
      <c r="L88" s="47">
        <f>E88*D88*30</f>
        <v>94248.000000000015</v>
      </c>
      <c r="M88" s="47">
        <f>E88*D88*31</f>
        <v>97389.6</v>
      </c>
      <c r="N88" s="47">
        <v>0</v>
      </c>
      <c r="O88" s="47">
        <v>0</v>
      </c>
      <c r="P88" s="47">
        <v>0</v>
      </c>
      <c r="Q88" s="47">
        <v>0</v>
      </c>
      <c r="R88" s="132">
        <v>0</v>
      </c>
      <c r="S88" s="133">
        <v>212</v>
      </c>
    </row>
    <row r="89" spans="1:25" s="7" customFormat="1">
      <c r="A89" s="128"/>
      <c r="B89" s="129">
        <v>14</v>
      </c>
      <c r="C89" s="30" t="s">
        <v>32</v>
      </c>
      <c r="D89" s="31">
        <v>71.400000000000006</v>
      </c>
      <c r="E89" s="36">
        <v>1</v>
      </c>
      <c r="F89" s="249">
        <f t="shared" si="40"/>
        <v>6497.4000000000005</v>
      </c>
      <c r="G89" s="250">
        <v>0</v>
      </c>
      <c r="H89" s="251">
        <v>0</v>
      </c>
      <c r="I89" s="250">
        <v>0</v>
      </c>
      <c r="J89" s="47">
        <v>0</v>
      </c>
      <c r="K89" s="47">
        <f>+D89*E89*30+D89*E89*31</f>
        <v>4355.3999999999996</v>
      </c>
      <c r="L89" s="47">
        <f>E89*D89*30</f>
        <v>2142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132">
        <v>0</v>
      </c>
      <c r="S89" s="133">
        <f>30+31+30</f>
        <v>91</v>
      </c>
    </row>
    <row r="90" spans="1:25" s="7" customFormat="1">
      <c r="A90" s="128"/>
      <c r="B90" s="129">
        <v>10</v>
      </c>
      <c r="C90" s="30" t="s">
        <v>32</v>
      </c>
      <c r="D90" s="31">
        <v>71.400000000000006</v>
      </c>
      <c r="E90" s="36">
        <v>1</v>
      </c>
      <c r="F90" s="249">
        <f t="shared" si="40"/>
        <v>8710.8000000000011</v>
      </c>
      <c r="G90" s="250">
        <f>E90*D90*31</f>
        <v>2213.4</v>
      </c>
      <c r="H90" s="254">
        <v>0</v>
      </c>
      <c r="I90" s="255">
        <v>0</v>
      </c>
      <c r="J90" s="47">
        <f>+D90*-4</f>
        <v>-285.60000000000002</v>
      </c>
      <c r="K90" s="47">
        <f>E90*D90*31+D90*E90*3</f>
        <v>2427.6</v>
      </c>
      <c r="L90" s="47">
        <f>E90*D90*30</f>
        <v>2142</v>
      </c>
      <c r="M90" s="47">
        <f>E90*D90*31</f>
        <v>2213.4</v>
      </c>
      <c r="N90" s="47">
        <v>0</v>
      </c>
      <c r="O90" s="47">
        <v>0</v>
      </c>
      <c r="P90" s="47">
        <v>0</v>
      </c>
      <c r="Q90" s="47">
        <v>0</v>
      </c>
      <c r="R90" s="132">
        <v>0</v>
      </c>
      <c r="S90" s="133">
        <f>212-28-31-30-4+3</f>
        <v>122</v>
      </c>
    </row>
    <row r="91" spans="1:25" s="7" customFormat="1">
      <c r="A91" s="128"/>
      <c r="B91" s="129">
        <v>10</v>
      </c>
      <c r="C91" s="30" t="s">
        <v>32</v>
      </c>
      <c r="D91" s="31">
        <v>71.400000000000006</v>
      </c>
      <c r="E91" s="36">
        <v>1</v>
      </c>
      <c r="F91" s="249">
        <f t="shared" si="40"/>
        <v>8425.2000000000007</v>
      </c>
      <c r="G91" s="250">
        <f>E91*D91*31</f>
        <v>2213.4</v>
      </c>
      <c r="H91" s="255">
        <f>E91*D91*28</f>
        <v>1999.2000000000003</v>
      </c>
      <c r="I91" s="250">
        <f>E91*D91*8</f>
        <v>571.20000000000005</v>
      </c>
      <c r="J91" s="47">
        <f>E91*D91*30+E91*D91*9</f>
        <v>2784.6</v>
      </c>
      <c r="K91" s="47">
        <f>E91*D91*12</f>
        <v>856.80000000000007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132">
        <v>0</v>
      </c>
      <c r="S91" s="133">
        <f>31+28+8+30+9+12</f>
        <v>118</v>
      </c>
    </row>
    <row r="92" spans="1:25" s="7" customFormat="1">
      <c r="A92" s="128"/>
      <c r="B92" s="129">
        <v>10</v>
      </c>
      <c r="C92" s="30" t="s">
        <v>32</v>
      </c>
      <c r="D92" s="31">
        <v>71.400000000000006</v>
      </c>
      <c r="E92" s="36">
        <v>1</v>
      </c>
      <c r="F92" s="249">
        <f t="shared" si="40"/>
        <v>4998</v>
      </c>
      <c r="G92" s="250">
        <f>E92*D92*31</f>
        <v>2213.4</v>
      </c>
      <c r="H92" s="255">
        <f>E92*D92*28</f>
        <v>1999.2000000000003</v>
      </c>
      <c r="I92" s="250">
        <f>E92*D92*11</f>
        <v>785.40000000000009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132">
        <v>0</v>
      </c>
      <c r="S92" s="133">
        <f>212-20-30-31-30-31</f>
        <v>70</v>
      </c>
    </row>
    <row r="93" spans="1:25" s="7" customFormat="1">
      <c r="A93" s="128"/>
      <c r="B93" s="129">
        <v>11</v>
      </c>
      <c r="C93" s="30" t="s">
        <v>55</v>
      </c>
      <c r="D93" s="31">
        <v>72.540000000000006</v>
      </c>
      <c r="E93" s="36">
        <v>9</v>
      </c>
      <c r="F93" s="249">
        <f t="shared" si="40"/>
        <v>138406.32</v>
      </c>
      <c r="G93" s="250">
        <f>E93*D93*31</f>
        <v>20238.66</v>
      </c>
      <c r="H93" s="251">
        <f>E93*D93*28</f>
        <v>18280.080000000002</v>
      </c>
      <c r="I93" s="250">
        <f>E93*D93*31</f>
        <v>20238.66</v>
      </c>
      <c r="J93" s="47">
        <f>E93*D93*30</f>
        <v>19585.8</v>
      </c>
      <c r="K93" s="47">
        <f>E93*D93*31</f>
        <v>20238.66</v>
      </c>
      <c r="L93" s="47">
        <f>E93*D93*30</f>
        <v>19585.8</v>
      </c>
      <c r="M93" s="47">
        <f>E93*D93*31</f>
        <v>20238.66</v>
      </c>
      <c r="N93" s="47">
        <v>0</v>
      </c>
      <c r="O93" s="47">
        <v>0</v>
      </c>
      <c r="P93" s="47">
        <v>0</v>
      </c>
      <c r="Q93" s="47">
        <v>0</v>
      </c>
      <c r="R93" s="132">
        <v>0</v>
      </c>
      <c r="S93" s="133">
        <v>212</v>
      </c>
    </row>
    <row r="94" spans="1:25" s="7" customFormat="1">
      <c r="A94" s="128"/>
      <c r="B94" s="129">
        <v>12</v>
      </c>
      <c r="C94" s="30" t="s">
        <v>56</v>
      </c>
      <c r="D94" s="31">
        <v>71.400000000000006</v>
      </c>
      <c r="E94" s="36">
        <v>1</v>
      </c>
      <c r="F94" s="249">
        <f t="shared" si="40"/>
        <v>15136.800000000001</v>
      </c>
      <c r="G94" s="250">
        <f>E94*D94*31</f>
        <v>2213.4</v>
      </c>
      <c r="H94" s="251">
        <f>E94*D94*28</f>
        <v>1999.2000000000003</v>
      </c>
      <c r="I94" s="250">
        <f>E94*D94*31</f>
        <v>2213.4</v>
      </c>
      <c r="J94" s="47">
        <f>E94*D94*30</f>
        <v>2142</v>
      </c>
      <c r="K94" s="47">
        <f>E94*D94*31</f>
        <v>2213.4</v>
      </c>
      <c r="L94" s="47">
        <f>E94*D94*30</f>
        <v>2142</v>
      </c>
      <c r="M94" s="47">
        <f>E94*D94*31</f>
        <v>2213.4</v>
      </c>
      <c r="N94" s="47">
        <v>0</v>
      </c>
      <c r="O94" s="47">
        <v>0</v>
      </c>
      <c r="P94" s="47">
        <v>0</v>
      </c>
      <c r="Q94" s="47">
        <v>0</v>
      </c>
      <c r="R94" s="132">
        <v>0</v>
      </c>
      <c r="S94" s="133">
        <v>212</v>
      </c>
    </row>
    <row r="95" spans="1:25" s="7" customFormat="1">
      <c r="A95" s="128"/>
      <c r="B95" s="129">
        <v>15</v>
      </c>
      <c r="C95" s="30" t="s">
        <v>130</v>
      </c>
      <c r="D95" s="31">
        <v>71.400000000000006</v>
      </c>
      <c r="E95" s="36">
        <v>1</v>
      </c>
      <c r="F95" s="249">
        <f t="shared" si="40"/>
        <v>6497.4000000000005</v>
      </c>
      <c r="G95" s="250">
        <v>0</v>
      </c>
      <c r="H95" s="251">
        <v>0</v>
      </c>
      <c r="I95" s="250">
        <v>0</v>
      </c>
      <c r="J95" s="47">
        <v>0</v>
      </c>
      <c r="K95" s="47">
        <f>+D95*E95*30+D95*E95*31</f>
        <v>4355.3999999999996</v>
      </c>
      <c r="L95" s="47">
        <f>E95*D95*30</f>
        <v>2142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132">
        <v>0</v>
      </c>
      <c r="S95" s="133">
        <f>30+31+30</f>
        <v>91</v>
      </c>
    </row>
    <row r="96" spans="1:25" s="7" customFormat="1">
      <c r="A96" s="128"/>
      <c r="B96" s="233">
        <v>16</v>
      </c>
      <c r="C96" s="30" t="s">
        <v>54</v>
      </c>
      <c r="D96" s="31">
        <v>71.400000000000006</v>
      </c>
      <c r="E96" s="36">
        <v>1</v>
      </c>
      <c r="F96" s="249">
        <f t="shared" si="40"/>
        <v>6497.4000000000005</v>
      </c>
      <c r="G96" s="250">
        <v>0</v>
      </c>
      <c r="H96" s="251">
        <v>0</v>
      </c>
      <c r="I96" s="250">
        <v>0</v>
      </c>
      <c r="J96" s="47">
        <v>0</v>
      </c>
      <c r="K96" s="47">
        <f>+D96*E96*30+D96*E96*31</f>
        <v>4355.3999999999996</v>
      </c>
      <c r="L96" s="47">
        <f>E96*D96*30</f>
        <v>2142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132">
        <v>0</v>
      </c>
      <c r="S96" s="133">
        <f>30+31+30</f>
        <v>91</v>
      </c>
    </row>
    <row r="97" spans="1:19" s="13" customFormat="1">
      <c r="A97" s="190"/>
      <c r="B97" s="207">
        <v>13</v>
      </c>
      <c r="C97" s="192" t="s">
        <v>57</v>
      </c>
      <c r="D97" s="193">
        <v>74.63</v>
      </c>
      <c r="E97" s="252">
        <v>2</v>
      </c>
      <c r="F97" s="253">
        <f t="shared" si="40"/>
        <v>31643.119999999999</v>
      </c>
      <c r="G97" s="247">
        <f>E97*D97*31</f>
        <v>4627.0599999999995</v>
      </c>
      <c r="H97" s="248">
        <f>E97*D97*28</f>
        <v>4179.28</v>
      </c>
      <c r="I97" s="247">
        <f>E97*D97*31</f>
        <v>4627.0599999999995</v>
      </c>
      <c r="J97" s="195">
        <f>E97*D97*30</f>
        <v>4477.7999999999993</v>
      </c>
      <c r="K97" s="195">
        <f>E97*D97*31</f>
        <v>4627.0599999999995</v>
      </c>
      <c r="L97" s="195">
        <f>E97*D97*30</f>
        <v>4477.7999999999993</v>
      </c>
      <c r="M97" s="195">
        <f>E97*D97*31</f>
        <v>4627.0599999999995</v>
      </c>
      <c r="N97" s="195">
        <v>0</v>
      </c>
      <c r="O97" s="195">
        <v>0</v>
      </c>
      <c r="P97" s="195">
        <v>0</v>
      </c>
      <c r="Q97" s="195">
        <v>0</v>
      </c>
      <c r="R97" s="197">
        <v>0</v>
      </c>
      <c r="S97" s="198">
        <v>212</v>
      </c>
    </row>
    <row r="98" spans="1:19" s="263" customFormat="1">
      <c r="A98" s="142"/>
      <c r="B98" s="256">
        <v>1</v>
      </c>
      <c r="C98" s="257" t="s">
        <v>44</v>
      </c>
      <c r="D98" s="258">
        <v>72.540000000000006</v>
      </c>
      <c r="E98" s="259">
        <v>6</v>
      </c>
      <c r="F98" s="260">
        <f t="shared" si="40"/>
        <v>66591.72</v>
      </c>
      <c r="G98" s="261">
        <v>0</v>
      </c>
      <c r="H98" s="261">
        <v>0</v>
      </c>
      <c r="I98" s="261">
        <v>0</v>
      </c>
      <c r="J98" s="261">
        <v>0</v>
      </c>
      <c r="K98" s="261">
        <v>0</v>
      </c>
      <c r="L98" s="261">
        <v>0</v>
      </c>
      <c r="M98" s="261">
        <v>0</v>
      </c>
      <c r="N98" s="38">
        <f t="shared" ref="N98:N112" si="48">+D98*E98*31</f>
        <v>13492.44</v>
      </c>
      <c r="O98" s="38">
        <f t="shared" ref="O98:O112" si="49">+D98*E98*30</f>
        <v>13057.2</v>
      </c>
      <c r="P98" s="38">
        <f t="shared" ref="P98:P112" si="50">+D98*E98*31</f>
        <v>13492.44</v>
      </c>
      <c r="Q98" s="38">
        <f t="shared" ref="Q98:Q112" si="51">+D98*E98*30</f>
        <v>13057.2</v>
      </c>
      <c r="R98" s="146">
        <f t="shared" ref="R98:R112" si="52">+D98*E98*31</f>
        <v>13492.44</v>
      </c>
      <c r="S98" s="262">
        <f t="shared" ref="S98:S112" si="53">31+30+31+30+31</f>
        <v>153</v>
      </c>
    </row>
    <row r="99" spans="1:19" s="27" customFormat="1">
      <c r="A99" s="128"/>
      <c r="B99" s="129">
        <v>2</v>
      </c>
      <c r="C99" s="30" t="s">
        <v>48</v>
      </c>
      <c r="D99" s="31">
        <v>71.400000000000006</v>
      </c>
      <c r="E99" s="33">
        <v>1</v>
      </c>
      <c r="F99" s="130">
        <f t="shared" si="40"/>
        <v>0</v>
      </c>
      <c r="G99" s="250">
        <v>0</v>
      </c>
      <c r="H99" s="250">
        <v>0</v>
      </c>
      <c r="I99" s="250">
        <v>0</v>
      </c>
      <c r="J99" s="250">
        <v>0</v>
      </c>
      <c r="K99" s="250">
        <v>0</v>
      </c>
      <c r="L99" s="250">
        <v>0</v>
      </c>
      <c r="M99" s="250">
        <v>0</v>
      </c>
      <c r="N99" s="47">
        <v>0</v>
      </c>
      <c r="O99" s="47">
        <v>0</v>
      </c>
      <c r="P99" s="47">
        <v>0</v>
      </c>
      <c r="Q99" s="47">
        <v>0</v>
      </c>
      <c r="R99" s="132">
        <v>0</v>
      </c>
      <c r="S99" s="264">
        <v>0</v>
      </c>
    </row>
    <row r="100" spans="1:19" s="263" customFormat="1">
      <c r="A100" s="142"/>
      <c r="B100" s="143">
        <v>3</v>
      </c>
      <c r="C100" s="39" t="s">
        <v>49</v>
      </c>
      <c r="D100" s="37">
        <v>74.63</v>
      </c>
      <c r="E100" s="41">
        <v>1</v>
      </c>
      <c r="F100" s="145">
        <f t="shared" si="40"/>
        <v>11418.39</v>
      </c>
      <c r="G100" s="261">
        <v>0</v>
      </c>
      <c r="H100" s="261">
        <v>0</v>
      </c>
      <c r="I100" s="261">
        <v>0</v>
      </c>
      <c r="J100" s="261">
        <v>0</v>
      </c>
      <c r="K100" s="261">
        <v>0</v>
      </c>
      <c r="L100" s="261">
        <v>0</v>
      </c>
      <c r="M100" s="261">
        <v>0</v>
      </c>
      <c r="N100" s="38">
        <f t="shared" si="48"/>
        <v>2313.5299999999997</v>
      </c>
      <c r="O100" s="38">
        <f t="shared" si="49"/>
        <v>2238.8999999999996</v>
      </c>
      <c r="P100" s="38">
        <f t="shared" si="50"/>
        <v>2313.5299999999997</v>
      </c>
      <c r="Q100" s="38">
        <f t="shared" si="51"/>
        <v>2238.8999999999996</v>
      </c>
      <c r="R100" s="146">
        <f t="shared" si="52"/>
        <v>2313.5299999999997</v>
      </c>
      <c r="S100" s="262">
        <f t="shared" si="53"/>
        <v>153</v>
      </c>
    </row>
    <row r="101" spans="1:19" s="263" customFormat="1">
      <c r="A101" s="142"/>
      <c r="B101" s="143">
        <v>4</v>
      </c>
      <c r="C101" s="39" t="s">
        <v>35</v>
      </c>
      <c r="D101" s="37">
        <v>71.400000000000006</v>
      </c>
      <c r="E101" s="41">
        <v>4</v>
      </c>
      <c r="F101" s="145">
        <f t="shared" si="40"/>
        <v>43696.800000000003</v>
      </c>
      <c r="G101" s="261">
        <v>0</v>
      </c>
      <c r="H101" s="261">
        <v>0</v>
      </c>
      <c r="I101" s="261">
        <v>0</v>
      </c>
      <c r="J101" s="261">
        <v>0</v>
      </c>
      <c r="K101" s="261">
        <v>0</v>
      </c>
      <c r="L101" s="261">
        <v>0</v>
      </c>
      <c r="M101" s="261">
        <v>0</v>
      </c>
      <c r="N101" s="38">
        <f t="shared" si="48"/>
        <v>8853.6</v>
      </c>
      <c r="O101" s="38">
        <f t="shared" si="49"/>
        <v>8568</v>
      </c>
      <c r="P101" s="38">
        <f t="shared" si="50"/>
        <v>8853.6</v>
      </c>
      <c r="Q101" s="38">
        <f t="shared" si="51"/>
        <v>8568</v>
      </c>
      <c r="R101" s="146">
        <f t="shared" si="52"/>
        <v>8853.6</v>
      </c>
      <c r="S101" s="262">
        <f t="shared" si="53"/>
        <v>153</v>
      </c>
    </row>
    <row r="102" spans="1:19" s="7" customFormat="1">
      <c r="A102" s="128"/>
      <c r="B102" s="233">
        <v>17</v>
      </c>
      <c r="C102" s="30" t="s">
        <v>35</v>
      </c>
      <c r="D102" s="31">
        <v>71.400000000000006</v>
      </c>
      <c r="E102" s="36">
        <v>1</v>
      </c>
      <c r="F102" s="249">
        <f t="shared" si="40"/>
        <v>9424.8000000000011</v>
      </c>
      <c r="G102" s="250">
        <v>0</v>
      </c>
      <c r="H102" s="251">
        <v>0</v>
      </c>
      <c r="I102" s="250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>+D102*E102*40</f>
        <v>2856</v>
      </c>
      <c r="P102" s="47">
        <f t="shared" si="50"/>
        <v>2213.4</v>
      </c>
      <c r="Q102" s="47">
        <f t="shared" si="51"/>
        <v>2142</v>
      </c>
      <c r="R102" s="132">
        <f t="shared" si="52"/>
        <v>2213.4</v>
      </c>
      <c r="S102" s="133">
        <f>40+31+30+31</f>
        <v>132</v>
      </c>
    </row>
    <row r="103" spans="1:19" s="263" customFormat="1">
      <c r="A103" s="142"/>
      <c r="B103" s="256">
        <v>5</v>
      </c>
      <c r="C103" s="39" t="s">
        <v>50</v>
      </c>
      <c r="D103" s="37">
        <v>74.63</v>
      </c>
      <c r="E103" s="41">
        <v>1</v>
      </c>
      <c r="F103" s="145">
        <f t="shared" si="40"/>
        <v>11418.39</v>
      </c>
      <c r="G103" s="261">
        <v>0</v>
      </c>
      <c r="H103" s="261">
        <v>0</v>
      </c>
      <c r="I103" s="261">
        <v>0</v>
      </c>
      <c r="J103" s="261">
        <v>0</v>
      </c>
      <c r="K103" s="261">
        <v>0</v>
      </c>
      <c r="L103" s="261">
        <v>0</v>
      </c>
      <c r="M103" s="261">
        <v>0</v>
      </c>
      <c r="N103" s="38">
        <f t="shared" si="48"/>
        <v>2313.5299999999997</v>
      </c>
      <c r="O103" s="38">
        <f t="shared" si="49"/>
        <v>2238.8999999999996</v>
      </c>
      <c r="P103" s="38">
        <f t="shared" si="50"/>
        <v>2313.5299999999997</v>
      </c>
      <c r="Q103" s="38">
        <f t="shared" si="51"/>
        <v>2238.8999999999996</v>
      </c>
      <c r="R103" s="146">
        <f t="shared" si="52"/>
        <v>2313.5299999999997</v>
      </c>
      <c r="S103" s="262">
        <f t="shared" si="53"/>
        <v>153</v>
      </c>
    </row>
    <row r="104" spans="1:19" s="263" customFormat="1">
      <c r="A104" s="142"/>
      <c r="B104" s="143">
        <v>6</v>
      </c>
      <c r="C104" s="39" t="s">
        <v>51</v>
      </c>
      <c r="D104" s="37">
        <v>74.63</v>
      </c>
      <c r="E104" s="41">
        <v>1</v>
      </c>
      <c r="F104" s="145">
        <f t="shared" si="40"/>
        <v>11418.39</v>
      </c>
      <c r="G104" s="261">
        <v>0</v>
      </c>
      <c r="H104" s="261">
        <v>0</v>
      </c>
      <c r="I104" s="261">
        <v>0</v>
      </c>
      <c r="J104" s="261">
        <v>0</v>
      </c>
      <c r="K104" s="261">
        <v>0</v>
      </c>
      <c r="L104" s="261">
        <v>0</v>
      </c>
      <c r="M104" s="261">
        <v>0</v>
      </c>
      <c r="N104" s="38">
        <f t="shared" si="48"/>
        <v>2313.5299999999997</v>
      </c>
      <c r="O104" s="38">
        <f t="shared" si="49"/>
        <v>2238.8999999999996</v>
      </c>
      <c r="P104" s="38">
        <f t="shared" si="50"/>
        <v>2313.5299999999997</v>
      </c>
      <c r="Q104" s="38">
        <f t="shared" si="51"/>
        <v>2238.8999999999996</v>
      </c>
      <c r="R104" s="146">
        <f t="shared" si="52"/>
        <v>2313.5299999999997</v>
      </c>
      <c r="S104" s="262">
        <f t="shared" si="53"/>
        <v>153</v>
      </c>
    </row>
    <row r="105" spans="1:19" s="263" customFormat="1" ht="15.75" customHeight="1">
      <c r="A105" s="142"/>
      <c r="B105" s="143">
        <v>7</v>
      </c>
      <c r="C105" s="39" t="s">
        <v>53</v>
      </c>
      <c r="D105" s="37">
        <v>72.540000000000006</v>
      </c>
      <c r="E105" s="41">
        <v>1</v>
      </c>
      <c r="F105" s="145">
        <f t="shared" si="40"/>
        <v>11098.62</v>
      </c>
      <c r="G105" s="261">
        <v>0</v>
      </c>
      <c r="H105" s="261">
        <v>0</v>
      </c>
      <c r="I105" s="261">
        <v>0</v>
      </c>
      <c r="J105" s="261">
        <v>0</v>
      </c>
      <c r="K105" s="261">
        <v>0</v>
      </c>
      <c r="L105" s="261">
        <v>0</v>
      </c>
      <c r="M105" s="261">
        <v>0</v>
      </c>
      <c r="N105" s="38">
        <f t="shared" si="48"/>
        <v>2248.7400000000002</v>
      </c>
      <c r="O105" s="38">
        <f t="shared" si="49"/>
        <v>2176.2000000000003</v>
      </c>
      <c r="P105" s="38">
        <f t="shared" si="50"/>
        <v>2248.7400000000002</v>
      </c>
      <c r="Q105" s="38">
        <f t="shared" si="51"/>
        <v>2176.2000000000003</v>
      </c>
      <c r="R105" s="146">
        <f t="shared" si="52"/>
        <v>2248.7400000000002</v>
      </c>
      <c r="S105" s="262">
        <f t="shared" si="53"/>
        <v>153</v>
      </c>
    </row>
    <row r="106" spans="1:19" s="263" customFormat="1">
      <c r="A106" s="142"/>
      <c r="B106" s="143">
        <v>8</v>
      </c>
      <c r="C106" s="39" t="s">
        <v>38</v>
      </c>
      <c r="D106" s="37">
        <v>71.400000000000006</v>
      </c>
      <c r="E106" s="265">
        <v>1</v>
      </c>
      <c r="F106" s="266">
        <f t="shared" si="40"/>
        <v>9924.6</v>
      </c>
      <c r="G106" s="261">
        <v>0</v>
      </c>
      <c r="H106" s="261">
        <v>0</v>
      </c>
      <c r="I106" s="261">
        <v>0</v>
      </c>
      <c r="J106" s="261">
        <v>0</v>
      </c>
      <c r="K106" s="261">
        <v>0</v>
      </c>
      <c r="L106" s="261">
        <v>0</v>
      </c>
      <c r="M106" s="261">
        <v>0</v>
      </c>
      <c r="N106" s="38">
        <f>+D106*E106*17</f>
        <v>1213.8000000000002</v>
      </c>
      <c r="O106" s="38">
        <f t="shared" si="49"/>
        <v>2142</v>
      </c>
      <c r="P106" s="38">
        <f t="shared" si="50"/>
        <v>2213.4</v>
      </c>
      <c r="Q106" s="38">
        <f t="shared" si="51"/>
        <v>2142</v>
      </c>
      <c r="R106" s="146">
        <f t="shared" si="52"/>
        <v>2213.4</v>
      </c>
      <c r="S106" s="262">
        <f>17+30+31+30+31</f>
        <v>139</v>
      </c>
    </row>
    <row r="107" spans="1:19" s="263" customFormat="1">
      <c r="A107" s="142"/>
      <c r="B107" s="256">
        <v>9</v>
      </c>
      <c r="C107" s="39" t="s">
        <v>39</v>
      </c>
      <c r="D107" s="37">
        <v>78.25</v>
      </c>
      <c r="E107" s="265">
        <v>6</v>
      </c>
      <c r="F107" s="266">
        <f t="shared" si="40"/>
        <v>71833.5</v>
      </c>
      <c r="G107" s="261">
        <v>0</v>
      </c>
      <c r="H107" s="261">
        <v>0</v>
      </c>
      <c r="I107" s="261">
        <v>0</v>
      </c>
      <c r="J107" s="261">
        <v>0</v>
      </c>
      <c r="K107" s="261">
        <v>0</v>
      </c>
      <c r="L107" s="261">
        <v>0</v>
      </c>
      <c r="M107" s="261">
        <v>0</v>
      </c>
      <c r="N107" s="38">
        <f t="shared" si="48"/>
        <v>14554.5</v>
      </c>
      <c r="O107" s="38">
        <f t="shared" si="49"/>
        <v>14085</v>
      </c>
      <c r="P107" s="38">
        <f t="shared" si="50"/>
        <v>14554.5</v>
      </c>
      <c r="Q107" s="38">
        <f t="shared" si="51"/>
        <v>14085</v>
      </c>
      <c r="R107" s="146">
        <f t="shared" si="52"/>
        <v>14554.5</v>
      </c>
      <c r="S107" s="262">
        <f t="shared" si="53"/>
        <v>153</v>
      </c>
    </row>
    <row r="108" spans="1:19" s="263" customFormat="1">
      <c r="A108" s="142"/>
      <c r="B108" s="143">
        <v>10</v>
      </c>
      <c r="C108" s="39" t="s">
        <v>32</v>
      </c>
      <c r="D108" s="37">
        <v>71.400000000000006</v>
      </c>
      <c r="E108" s="265">
        <v>45</v>
      </c>
      <c r="F108" s="266">
        <f t="shared" si="40"/>
        <v>491589.00000000006</v>
      </c>
      <c r="G108" s="261">
        <v>0</v>
      </c>
      <c r="H108" s="261">
        <v>0</v>
      </c>
      <c r="I108" s="261">
        <v>0</v>
      </c>
      <c r="J108" s="261">
        <v>0</v>
      </c>
      <c r="K108" s="261">
        <v>0</v>
      </c>
      <c r="L108" s="261">
        <v>0</v>
      </c>
      <c r="M108" s="261">
        <v>0</v>
      </c>
      <c r="N108" s="38">
        <f t="shared" si="48"/>
        <v>99603.000000000015</v>
      </c>
      <c r="O108" s="38">
        <f t="shared" si="49"/>
        <v>96390.000000000015</v>
      </c>
      <c r="P108" s="38">
        <f t="shared" si="50"/>
        <v>99603.000000000015</v>
      </c>
      <c r="Q108" s="38">
        <f t="shared" si="51"/>
        <v>96390.000000000015</v>
      </c>
      <c r="R108" s="146">
        <f t="shared" si="52"/>
        <v>99603.000000000015</v>
      </c>
      <c r="S108" s="262">
        <f t="shared" si="53"/>
        <v>153</v>
      </c>
    </row>
    <row r="109" spans="1:19" s="27" customFormat="1">
      <c r="A109" s="128"/>
      <c r="B109" s="129">
        <v>10</v>
      </c>
      <c r="C109" s="30" t="s">
        <v>32</v>
      </c>
      <c r="D109" s="31">
        <v>71.400000000000006</v>
      </c>
      <c r="E109" s="36">
        <v>1</v>
      </c>
      <c r="F109" s="249">
        <f t="shared" si="40"/>
        <v>0</v>
      </c>
      <c r="G109" s="250">
        <v>0</v>
      </c>
      <c r="H109" s="250">
        <v>0</v>
      </c>
      <c r="I109" s="250">
        <v>0</v>
      </c>
      <c r="J109" s="250">
        <v>0</v>
      </c>
      <c r="K109" s="250">
        <v>0</v>
      </c>
      <c r="L109" s="250">
        <v>0</v>
      </c>
      <c r="M109" s="250">
        <v>0</v>
      </c>
      <c r="N109" s="47">
        <v>0</v>
      </c>
      <c r="O109" s="47">
        <v>0</v>
      </c>
      <c r="P109" s="47">
        <v>0</v>
      </c>
      <c r="Q109" s="47">
        <v>0</v>
      </c>
      <c r="R109" s="132">
        <v>0</v>
      </c>
      <c r="S109" s="264">
        <v>0</v>
      </c>
    </row>
    <row r="110" spans="1:19" s="263" customFormat="1">
      <c r="A110" s="142"/>
      <c r="B110" s="143">
        <v>11</v>
      </c>
      <c r="C110" s="39" t="s">
        <v>55</v>
      </c>
      <c r="D110" s="37">
        <v>72.540000000000006</v>
      </c>
      <c r="E110" s="265">
        <v>9</v>
      </c>
      <c r="F110" s="266">
        <f t="shared" si="40"/>
        <v>99887.58</v>
      </c>
      <c r="G110" s="261">
        <v>0</v>
      </c>
      <c r="H110" s="261">
        <v>0</v>
      </c>
      <c r="I110" s="261">
        <v>0</v>
      </c>
      <c r="J110" s="261">
        <v>0</v>
      </c>
      <c r="K110" s="261">
        <v>0</v>
      </c>
      <c r="L110" s="261">
        <v>0</v>
      </c>
      <c r="M110" s="261">
        <v>0</v>
      </c>
      <c r="N110" s="38">
        <f t="shared" si="48"/>
        <v>20238.66</v>
      </c>
      <c r="O110" s="38">
        <f t="shared" si="49"/>
        <v>19585.8</v>
      </c>
      <c r="P110" s="38">
        <f t="shared" si="50"/>
        <v>20238.66</v>
      </c>
      <c r="Q110" s="38">
        <f t="shared" si="51"/>
        <v>19585.8</v>
      </c>
      <c r="R110" s="146">
        <f t="shared" si="52"/>
        <v>20238.66</v>
      </c>
      <c r="S110" s="262">
        <f t="shared" si="53"/>
        <v>153</v>
      </c>
    </row>
    <row r="111" spans="1:19" s="263" customFormat="1">
      <c r="A111" s="142"/>
      <c r="B111" s="143">
        <v>12</v>
      </c>
      <c r="C111" s="39" t="s">
        <v>56</v>
      </c>
      <c r="D111" s="37">
        <v>71.400000000000006</v>
      </c>
      <c r="E111" s="265">
        <v>1</v>
      </c>
      <c r="F111" s="266">
        <f t="shared" si="40"/>
        <v>10924.2</v>
      </c>
      <c r="G111" s="261">
        <v>0</v>
      </c>
      <c r="H111" s="261">
        <v>0</v>
      </c>
      <c r="I111" s="261">
        <v>0</v>
      </c>
      <c r="J111" s="261">
        <v>0</v>
      </c>
      <c r="K111" s="261">
        <v>0</v>
      </c>
      <c r="L111" s="261">
        <v>0</v>
      </c>
      <c r="M111" s="261">
        <v>0</v>
      </c>
      <c r="N111" s="38">
        <f t="shared" si="48"/>
        <v>2213.4</v>
      </c>
      <c r="O111" s="38">
        <f t="shared" si="49"/>
        <v>2142</v>
      </c>
      <c r="P111" s="38">
        <f t="shared" si="50"/>
        <v>2213.4</v>
      </c>
      <c r="Q111" s="38">
        <f t="shared" si="51"/>
        <v>2142</v>
      </c>
      <c r="R111" s="146">
        <f t="shared" si="52"/>
        <v>2213.4</v>
      </c>
      <c r="S111" s="262">
        <f t="shared" si="53"/>
        <v>153</v>
      </c>
    </row>
    <row r="112" spans="1:19" s="269" customFormat="1">
      <c r="A112" s="267"/>
      <c r="B112" s="256">
        <v>13</v>
      </c>
      <c r="C112" s="39" t="s">
        <v>57</v>
      </c>
      <c r="D112" s="37">
        <v>74.63</v>
      </c>
      <c r="E112" s="265">
        <v>2</v>
      </c>
      <c r="F112" s="266">
        <f t="shared" si="40"/>
        <v>22836.78</v>
      </c>
      <c r="G112" s="261">
        <v>0</v>
      </c>
      <c r="H112" s="261">
        <v>0</v>
      </c>
      <c r="I112" s="261">
        <v>0</v>
      </c>
      <c r="J112" s="261">
        <v>0</v>
      </c>
      <c r="K112" s="261">
        <v>0</v>
      </c>
      <c r="L112" s="261">
        <v>0</v>
      </c>
      <c r="M112" s="261">
        <v>0</v>
      </c>
      <c r="N112" s="38">
        <f t="shared" si="48"/>
        <v>4627.0599999999995</v>
      </c>
      <c r="O112" s="38">
        <f t="shared" si="49"/>
        <v>4477.7999999999993</v>
      </c>
      <c r="P112" s="38">
        <f t="shared" si="50"/>
        <v>4627.0599999999995</v>
      </c>
      <c r="Q112" s="38">
        <f t="shared" si="51"/>
        <v>4477.7999999999993</v>
      </c>
      <c r="R112" s="146">
        <f t="shared" si="52"/>
        <v>4627.0599999999995</v>
      </c>
      <c r="S112" s="268">
        <f t="shared" si="53"/>
        <v>153</v>
      </c>
    </row>
    <row r="113" spans="1:19" s="148" customFormat="1">
      <c r="A113" s="142"/>
      <c r="B113" s="256">
        <v>14</v>
      </c>
      <c r="C113" s="257" t="s">
        <v>32</v>
      </c>
      <c r="D113" s="258">
        <v>71.400000000000006</v>
      </c>
      <c r="E113" s="270">
        <v>1</v>
      </c>
      <c r="F113" s="271">
        <f t="shared" si="40"/>
        <v>6568.8</v>
      </c>
      <c r="G113" s="261">
        <v>0</v>
      </c>
      <c r="H113" s="272">
        <v>0</v>
      </c>
      <c r="I113" s="261">
        <v>0</v>
      </c>
      <c r="J113" s="261">
        <v>0</v>
      </c>
      <c r="K113" s="261">
        <v>0</v>
      </c>
      <c r="L113" s="261">
        <v>0</v>
      </c>
      <c r="M113" s="261">
        <f t="shared" ref="M113:M128" si="54">E113*D113*31</f>
        <v>2213.4</v>
      </c>
      <c r="N113" s="261">
        <f>E113*D113*31</f>
        <v>2213.4</v>
      </c>
      <c r="O113" s="261">
        <f>E113*D113*30</f>
        <v>2142</v>
      </c>
      <c r="P113" s="261">
        <v>0</v>
      </c>
      <c r="Q113" s="261">
        <v>0</v>
      </c>
      <c r="R113" s="273">
        <v>0</v>
      </c>
      <c r="S113" s="147">
        <f>31+31+30</f>
        <v>92</v>
      </c>
    </row>
    <row r="114" spans="1:19" s="148" customFormat="1">
      <c r="A114" s="142"/>
      <c r="B114" s="143">
        <v>15</v>
      </c>
      <c r="C114" s="39" t="s">
        <v>130</v>
      </c>
      <c r="D114" s="37">
        <v>71.400000000000006</v>
      </c>
      <c r="E114" s="265">
        <v>1</v>
      </c>
      <c r="F114" s="266">
        <f t="shared" si="40"/>
        <v>6568.8</v>
      </c>
      <c r="G114" s="261">
        <v>0</v>
      </c>
      <c r="H114" s="272">
        <v>0</v>
      </c>
      <c r="I114" s="261">
        <v>0</v>
      </c>
      <c r="J114" s="38">
        <v>0</v>
      </c>
      <c r="K114" s="38">
        <v>0</v>
      </c>
      <c r="L114" s="38">
        <v>0</v>
      </c>
      <c r="M114" s="38">
        <f t="shared" si="54"/>
        <v>2213.4</v>
      </c>
      <c r="N114" s="38">
        <f>E114*D114*31</f>
        <v>2213.4</v>
      </c>
      <c r="O114" s="38">
        <f>E114*D114*30</f>
        <v>2142</v>
      </c>
      <c r="P114" s="38">
        <v>0</v>
      </c>
      <c r="Q114" s="38">
        <v>0</v>
      </c>
      <c r="R114" s="146">
        <v>0</v>
      </c>
      <c r="S114" s="147">
        <f t="shared" ref="S114:S115" si="55">31+31+30</f>
        <v>92</v>
      </c>
    </row>
    <row r="115" spans="1:19" s="148" customFormat="1">
      <c r="A115" s="142"/>
      <c r="B115" s="256">
        <v>16</v>
      </c>
      <c r="C115" s="39" t="s">
        <v>54</v>
      </c>
      <c r="D115" s="37">
        <v>71.400000000000006</v>
      </c>
      <c r="E115" s="265">
        <v>1</v>
      </c>
      <c r="F115" s="266">
        <f t="shared" si="40"/>
        <v>6568.8</v>
      </c>
      <c r="G115" s="261">
        <v>0</v>
      </c>
      <c r="H115" s="272">
        <v>0</v>
      </c>
      <c r="I115" s="261">
        <v>0</v>
      </c>
      <c r="J115" s="38">
        <v>0</v>
      </c>
      <c r="K115" s="38">
        <v>0</v>
      </c>
      <c r="L115" s="38">
        <v>0</v>
      </c>
      <c r="M115" s="38">
        <f t="shared" si="54"/>
        <v>2213.4</v>
      </c>
      <c r="N115" s="38">
        <f>E115*D115*31</f>
        <v>2213.4</v>
      </c>
      <c r="O115" s="38">
        <f>E115*D115*30</f>
        <v>2142</v>
      </c>
      <c r="P115" s="38">
        <v>0</v>
      </c>
      <c r="Q115" s="38">
        <v>0</v>
      </c>
      <c r="R115" s="146">
        <v>0</v>
      </c>
      <c r="S115" s="147">
        <f t="shared" si="55"/>
        <v>92</v>
      </c>
    </row>
    <row r="116" spans="1:19">
      <c r="A116" s="59"/>
      <c r="B116" s="134">
        <v>1</v>
      </c>
      <c r="C116" s="135" t="s">
        <v>44</v>
      </c>
      <c r="D116" s="136">
        <v>72.540000000000006</v>
      </c>
      <c r="E116" s="32">
        <v>1</v>
      </c>
      <c r="F116" s="137">
        <f t="shared" si="40"/>
        <v>15378.480000000001</v>
      </c>
      <c r="G116" s="138">
        <f t="shared" ref="G116:G131" si="56">E116*D116*31</f>
        <v>2248.7400000000002</v>
      </c>
      <c r="H116" s="139">
        <f t="shared" ref="H116:H131" si="57">E116*D116*28</f>
        <v>2031.1200000000001</v>
      </c>
      <c r="I116" s="138">
        <f t="shared" ref="I116:I131" si="58">E116*D116*31</f>
        <v>2248.7400000000002</v>
      </c>
      <c r="J116" s="138">
        <f t="shared" ref="J116:J131" si="59">E116*D116*30</f>
        <v>2176.2000000000003</v>
      </c>
      <c r="K116" s="47">
        <f t="shared" ref="K116:K131" si="60">E116*D116*31</f>
        <v>2248.7400000000002</v>
      </c>
      <c r="L116" s="138">
        <f t="shared" ref="L116:L128" si="61">E116*D116*30</f>
        <v>2176.2000000000003</v>
      </c>
      <c r="M116" s="138">
        <f t="shared" si="54"/>
        <v>2248.7400000000002</v>
      </c>
      <c r="N116" s="138">
        <v>0</v>
      </c>
      <c r="O116" s="138">
        <v>0</v>
      </c>
      <c r="P116" s="138">
        <v>0</v>
      </c>
      <c r="Q116" s="138">
        <v>0</v>
      </c>
      <c r="R116" s="140">
        <v>0</v>
      </c>
      <c r="S116" s="141">
        <v>212</v>
      </c>
    </row>
    <row r="117" spans="1:19">
      <c r="A117" s="59"/>
      <c r="B117" s="134">
        <v>2</v>
      </c>
      <c r="C117" s="135" t="s">
        <v>46</v>
      </c>
      <c r="D117" s="136">
        <v>73.59</v>
      </c>
      <c r="E117" s="32">
        <v>2</v>
      </c>
      <c r="F117" s="137">
        <f t="shared" si="40"/>
        <v>31202.16</v>
      </c>
      <c r="G117" s="138">
        <f t="shared" si="56"/>
        <v>4562.58</v>
      </c>
      <c r="H117" s="139">
        <f t="shared" si="57"/>
        <v>4121.04</v>
      </c>
      <c r="I117" s="138">
        <f t="shared" si="58"/>
        <v>4562.58</v>
      </c>
      <c r="J117" s="138">
        <f t="shared" si="59"/>
        <v>4415.4000000000005</v>
      </c>
      <c r="K117" s="47">
        <f t="shared" si="60"/>
        <v>4562.58</v>
      </c>
      <c r="L117" s="138">
        <f t="shared" si="61"/>
        <v>4415.4000000000005</v>
      </c>
      <c r="M117" s="138">
        <f t="shared" si="54"/>
        <v>4562.58</v>
      </c>
      <c r="N117" s="138">
        <v>0</v>
      </c>
      <c r="O117" s="138">
        <v>0</v>
      </c>
      <c r="P117" s="138">
        <v>0</v>
      </c>
      <c r="Q117" s="138">
        <v>0</v>
      </c>
      <c r="R117" s="140">
        <v>0</v>
      </c>
      <c r="S117" s="141">
        <v>212</v>
      </c>
    </row>
    <row r="118" spans="1:19">
      <c r="A118" s="59"/>
      <c r="B118" s="134">
        <v>3</v>
      </c>
      <c r="C118" s="135" t="s">
        <v>47</v>
      </c>
      <c r="D118" s="136">
        <v>74.63</v>
      </c>
      <c r="E118" s="32">
        <v>2</v>
      </c>
      <c r="F118" s="137">
        <f t="shared" si="40"/>
        <v>31643.119999999999</v>
      </c>
      <c r="G118" s="138">
        <f t="shared" si="56"/>
        <v>4627.0599999999995</v>
      </c>
      <c r="H118" s="139">
        <f t="shared" si="57"/>
        <v>4179.28</v>
      </c>
      <c r="I118" s="138">
        <f t="shared" si="58"/>
        <v>4627.0599999999995</v>
      </c>
      <c r="J118" s="138">
        <f t="shared" si="59"/>
        <v>4477.7999999999993</v>
      </c>
      <c r="K118" s="47">
        <f t="shared" si="60"/>
        <v>4627.0599999999995</v>
      </c>
      <c r="L118" s="138">
        <f t="shared" si="61"/>
        <v>4477.7999999999993</v>
      </c>
      <c r="M118" s="138">
        <f t="shared" si="54"/>
        <v>4627.0599999999995</v>
      </c>
      <c r="N118" s="138">
        <v>0</v>
      </c>
      <c r="O118" s="138">
        <v>0</v>
      </c>
      <c r="P118" s="138">
        <v>0</v>
      </c>
      <c r="Q118" s="138">
        <v>0</v>
      </c>
      <c r="R118" s="140">
        <v>0</v>
      </c>
      <c r="S118" s="141">
        <v>212</v>
      </c>
    </row>
    <row r="119" spans="1:19">
      <c r="A119" s="59"/>
      <c r="B119" s="134">
        <v>4</v>
      </c>
      <c r="C119" s="135" t="s">
        <v>35</v>
      </c>
      <c r="D119" s="136">
        <v>71.400000000000006</v>
      </c>
      <c r="E119" s="32">
        <v>3</v>
      </c>
      <c r="F119" s="137">
        <f t="shared" si="40"/>
        <v>45410.400000000001</v>
      </c>
      <c r="G119" s="138">
        <f t="shared" si="56"/>
        <v>6640.2000000000007</v>
      </c>
      <c r="H119" s="139">
        <f t="shared" si="57"/>
        <v>5997.6</v>
      </c>
      <c r="I119" s="138">
        <f t="shared" si="58"/>
        <v>6640.2000000000007</v>
      </c>
      <c r="J119" s="138">
        <f t="shared" si="59"/>
        <v>6426.0000000000009</v>
      </c>
      <c r="K119" s="47">
        <f t="shared" si="60"/>
        <v>6640.2000000000007</v>
      </c>
      <c r="L119" s="138">
        <f t="shared" si="61"/>
        <v>6426.0000000000009</v>
      </c>
      <c r="M119" s="138">
        <f t="shared" si="54"/>
        <v>6640.2000000000007</v>
      </c>
      <c r="N119" s="138">
        <v>0</v>
      </c>
      <c r="O119" s="138">
        <v>0</v>
      </c>
      <c r="P119" s="138">
        <v>0</v>
      </c>
      <c r="Q119" s="138">
        <v>0</v>
      </c>
      <c r="R119" s="140">
        <v>0</v>
      </c>
      <c r="S119" s="141">
        <v>212</v>
      </c>
    </row>
    <row r="120" spans="1:19">
      <c r="A120" s="59"/>
      <c r="B120" s="134">
        <v>4</v>
      </c>
      <c r="C120" s="135" t="s">
        <v>35</v>
      </c>
      <c r="D120" s="136">
        <v>71.400000000000006</v>
      </c>
      <c r="E120" s="32">
        <v>1</v>
      </c>
      <c r="F120" s="137">
        <f t="shared" si="40"/>
        <v>12923.400000000001</v>
      </c>
      <c r="G120" s="138">
        <f t="shared" si="56"/>
        <v>2213.4</v>
      </c>
      <c r="H120" s="139">
        <f t="shared" si="57"/>
        <v>1999.2000000000003</v>
      </c>
      <c r="I120" s="138">
        <f t="shared" si="58"/>
        <v>2213.4</v>
      </c>
      <c r="J120" s="138">
        <f t="shared" si="59"/>
        <v>2142</v>
      </c>
      <c r="K120" s="47">
        <f t="shared" si="60"/>
        <v>2213.4</v>
      </c>
      <c r="L120" s="138">
        <f t="shared" si="61"/>
        <v>2142</v>
      </c>
      <c r="M120" s="138">
        <v>0</v>
      </c>
      <c r="N120" s="138">
        <v>0</v>
      </c>
      <c r="O120" s="138">
        <v>0</v>
      </c>
      <c r="P120" s="138">
        <v>0</v>
      </c>
      <c r="Q120" s="138">
        <v>0</v>
      </c>
      <c r="R120" s="140">
        <v>0</v>
      </c>
      <c r="S120" s="141">
        <f>212-31</f>
        <v>181</v>
      </c>
    </row>
    <row r="121" spans="1:19">
      <c r="A121" s="59"/>
      <c r="B121" s="134">
        <v>6</v>
      </c>
      <c r="C121" s="135" t="s">
        <v>39</v>
      </c>
      <c r="D121" s="136">
        <v>78.25</v>
      </c>
      <c r="E121" s="32">
        <v>5</v>
      </c>
      <c r="F121" s="137">
        <f t="shared" si="40"/>
        <v>82945</v>
      </c>
      <c r="G121" s="138">
        <f t="shared" si="56"/>
        <v>12128.75</v>
      </c>
      <c r="H121" s="139">
        <f t="shared" si="57"/>
        <v>10955</v>
      </c>
      <c r="I121" s="138">
        <f t="shared" si="58"/>
        <v>12128.75</v>
      </c>
      <c r="J121" s="138">
        <f t="shared" si="59"/>
        <v>11737.5</v>
      </c>
      <c r="K121" s="47">
        <f t="shared" si="60"/>
        <v>12128.75</v>
      </c>
      <c r="L121" s="138">
        <f t="shared" si="61"/>
        <v>11737.5</v>
      </c>
      <c r="M121" s="138">
        <f t="shared" si="54"/>
        <v>12128.75</v>
      </c>
      <c r="N121" s="138">
        <v>0</v>
      </c>
      <c r="O121" s="138">
        <v>0</v>
      </c>
      <c r="P121" s="138">
        <v>0</v>
      </c>
      <c r="Q121" s="138">
        <v>0</v>
      </c>
      <c r="R121" s="140">
        <v>0</v>
      </c>
      <c r="S121" s="141">
        <v>212</v>
      </c>
    </row>
    <row r="122" spans="1:19">
      <c r="A122" s="59"/>
      <c r="B122" s="134">
        <v>7</v>
      </c>
      <c r="C122" s="135" t="s">
        <v>32</v>
      </c>
      <c r="D122" s="136">
        <v>71.400000000000006</v>
      </c>
      <c r="E122" s="32">
        <v>12</v>
      </c>
      <c r="F122" s="137">
        <f t="shared" si="40"/>
        <v>181641.60000000001</v>
      </c>
      <c r="G122" s="138">
        <f t="shared" si="56"/>
        <v>26560.800000000003</v>
      </c>
      <c r="H122" s="139">
        <f t="shared" si="57"/>
        <v>23990.400000000001</v>
      </c>
      <c r="I122" s="138">
        <f t="shared" si="58"/>
        <v>26560.800000000003</v>
      </c>
      <c r="J122" s="138">
        <f t="shared" si="59"/>
        <v>25704.000000000004</v>
      </c>
      <c r="K122" s="47">
        <f t="shared" si="60"/>
        <v>26560.800000000003</v>
      </c>
      <c r="L122" s="138">
        <f t="shared" si="61"/>
        <v>25704.000000000004</v>
      </c>
      <c r="M122" s="138">
        <f t="shared" si="54"/>
        <v>26560.800000000003</v>
      </c>
      <c r="N122" s="138">
        <v>0</v>
      </c>
      <c r="O122" s="138">
        <v>0</v>
      </c>
      <c r="P122" s="138">
        <v>0</v>
      </c>
      <c r="Q122" s="138">
        <v>0</v>
      </c>
      <c r="R122" s="140">
        <v>0</v>
      </c>
      <c r="S122" s="141">
        <v>212</v>
      </c>
    </row>
    <row r="123" spans="1:19">
      <c r="A123" s="59"/>
      <c r="B123" s="134">
        <v>7</v>
      </c>
      <c r="C123" s="135" t="s">
        <v>32</v>
      </c>
      <c r="D123" s="136">
        <v>71.400000000000006</v>
      </c>
      <c r="E123" s="32">
        <v>1</v>
      </c>
      <c r="F123" s="137">
        <f t="shared" si="40"/>
        <v>13637.400000000001</v>
      </c>
      <c r="G123" s="138">
        <f t="shared" si="56"/>
        <v>2213.4</v>
      </c>
      <c r="H123" s="139">
        <f t="shared" si="57"/>
        <v>1999.2000000000003</v>
      </c>
      <c r="I123" s="138">
        <f t="shared" si="58"/>
        <v>2213.4</v>
      </c>
      <c r="J123" s="138">
        <f t="shared" si="59"/>
        <v>2142</v>
      </c>
      <c r="K123" s="47">
        <f t="shared" si="60"/>
        <v>2213.4</v>
      </c>
      <c r="L123" s="138">
        <f t="shared" si="61"/>
        <v>2142</v>
      </c>
      <c r="M123" s="138">
        <f>E123*D123*10</f>
        <v>714</v>
      </c>
      <c r="N123" s="138">
        <v>0</v>
      </c>
      <c r="O123" s="138">
        <v>0</v>
      </c>
      <c r="P123" s="138">
        <v>0</v>
      </c>
      <c r="Q123" s="138">
        <v>0</v>
      </c>
      <c r="R123" s="140">
        <v>0</v>
      </c>
      <c r="S123" s="141">
        <f>31+28+31+30+31+30+10</f>
        <v>191</v>
      </c>
    </row>
    <row r="124" spans="1:19" s="7" customFormat="1">
      <c r="A124" s="128"/>
      <c r="B124" s="129">
        <v>8</v>
      </c>
      <c r="C124" s="30" t="s">
        <v>54</v>
      </c>
      <c r="D124" s="31">
        <v>71.400000000000006</v>
      </c>
      <c r="E124" s="33">
        <v>6</v>
      </c>
      <c r="F124" s="130">
        <f t="shared" si="40"/>
        <v>31701.600000000002</v>
      </c>
      <c r="G124" s="47">
        <v>0</v>
      </c>
      <c r="H124" s="131">
        <f>E124*D124*28+D124*E124*15</f>
        <v>18421.2</v>
      </c>
      <c r="I124" s="47">
        <f t="shared" si="58"/>
        <v>13280.400000000001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132">
        <v>0</v>
      </c>
      <c r="S124" s="133">
        <f>15+28+31</f>
        <v>74</v>
      </c>
    </row>
    <row r="125" spans="1:19" s="7" customFormat="1">
      <c r="A125" s="128"/>
      <c r="B125" s="129">
        <v>10</v>
      </c>
      <c r="C125" s="30" t="s">
        <v>54</v>
      </c>
      <c r="D125" s="31">
        <v>71.400000000000006</v>
      </c>
      <c r="E125" s="33">
        <v>6</v>
      </c>
      <c r="F125" s="130">
        <f t="shared" si="40"/>
        <v>38984.400000000001</v>
      </c>
      <c r="G125" s="47">
        <v>0</v>
      </c>
      <c r="H125" s="131">
        <v>0</v>
      </c>
      <c r="I125" s="47">
        <v>0</v>
      </c>
      <c r="J125" s="47">
        <f>E125*D125*30</f>
        <v>12852.000000000002</v>
      </c>
      <c r="K125" s="47">
        <f t="shared" ref="K125" si="62">E125*D125*31</f>
        <v>13280.400000000001</v>
      </c>
      <c r="L125" s="47">
        <f t="shared" ref="L125:L126" si="63">E125*D125*30</f>
        <v>12852.000000000002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132">
        <v>0</v>
      </c>
      <c r="S125" s="133">
        <f>30+31+30</f>
        <v>91</v>
      </c>
    </row>
    <row r="126" spans="1:19" s="7" customFormat="1">
      <c r="A126" s="128"/>
      <c r="B126" s="129">
        <v>11</v>
      </c>
      <c r="C126" s="30" t="s">
        <v>54</v>
      </c>
      <c r="D126" s="31">
        <v>71.400000000000006</v>
      </c>
      <c r="E126" s="33">
        <v>1</v>
      </c>
      <c r="F126" s="130">
        <f t="shared" si="40"/>
        <v>6497.4000000000005</v>
      </c>
      <c r="G126" s="47">
        <v>0</v>
      </c>
      <c r="H126" s="131">
        <v>0</v>
      </c>
      <c r="I126" s="47">
        <v>0</v>
      </c>
      <c r="J126" s="47">
        <v>0</v>
      </c>
      <c r="K126" s="47">
        <f>+D126*E126*30+D126*E126*31</f>
        <v>4355.3999999999996</v>
      </c>
      <c r="L126" s="47">
        <f t="shared" si="63"/>
        <v>2142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132">
        <v>0</v>
      </c>
      <c r="S126" s="133">
        <f>30+31+30</f>
        <v>91</v>
      </c>
    </row>
    <row r="127" spans="1:19" s="7" customFormat="1">
      <c r="A127" s="128"/>
      <c r="B127" s="129">
        <v>12</v>
      </c>
      <c r="C127" s="30" t="s">
        <v>54</v>
      </c>
      <c r="D127" s="31">
        <v>71.400000000000006</v>
      </c>
      <c r="E127" s="33">
        <v>1</v>
      </c>
      <c r="F127" s="130">
        <f t="shared" si="40"/>
        <v>8568</v>
      </c>
      <c r="G127" s="47">
        <f t="shared" ref="G127" si="64">E127*D127*31</f>
        <v>2213.4</v>
      </c>
      <c r="H127" s="131">
        <f t="shared" ref="H127" si="65">E127*D127*28</f>
        <v>1999.2000000000003</v>
      </c>
      <c r="I127" s="47">
        <f t="shared" ref="I127" si="66">E127*D127*31</f>
        <v>2213.4</v>
      </c>
      <c r="J127" s="47">
        <f t="shared" ref="J127" si="67">E127*D127*30</f>
        <v>2142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132">
        <v>0</v>
      </c>
      <c r="S127" s="133">
        <f>31+28+30+31</f>
        <v>120</v>
      </c>
    </row>
    <row r="128" spans="1:19" s="7" customFormat="1">
      <c r="A128" s="128"/>
      <c r="B128" s="129">
        <v>9</v>
      </c>
      <c r="C128" s="30" t="s">
        <v>54</v>
      </c>
      <c r="D128" s="31">
        <v>71.400000000000006</v>
      </c>
      <c r="E128" s="33">
        <v>124</v>
      </c>
      <c r="F128" s="130">
        <f t="shared" si="40"/>
        <v>1876963.2000000002</v>
      </c>
      <c r="G128" s="47">
        <f t="shared" si="56"/>
        <v>274461.60000000003</v>
      </c>
      <c r="H128" s="131">
        <f t="shared" si="57"/>
        <v>247900.80000000002</v>
      </c>
      <c r="I128" s="47">
        <f t="shared" si="58"/>
        <v>274461.60000000003</v>
      </c>
      <c r="J128" s="47">
        <f t="shared" si="59"/>
        <v>265608</v>
      </c>
      <c r="K128" s="47">
        <f t="shared" si="60"/>
        <v>274461.60000000003</v>
      </c>
      <c r="L128" s="47">
        <f t="shared" si="61"/>
        <v>265608</v>
      </c>
      <c r="M128" s="47">
        <f t="shared" si="54"/>
        <v>274461.60000000003</v>
      </c>
      <c r="N128" s="47">
        <v>0</v>
      </c>
      <c r="O128" s="47">
        <v>0</v>
      </c>
      <c r="P128" s="47">
        <v>0</v>
      </c>
      <c r="Q128" s="47">
        <v>0</v>
      </c>
      <c r="R128" s="132">
        <v>0</v>
      </c>
      <c r="S128" s="133">
        <v>212</v>
      </c>
    </row>
    <row r="129" spans="1:19" s="7" customFormat="1">
      <c r="A129" s="128"/>
      <c r="B129" s="129">
        <v>21</v>
      </c>
      <c r="C129" s="30" t="s">
        <v>54</v>
      </c>
      <c r="D129" s="31">
        <v>71.400000000000006</v>
      </c>
      <c r="E129" s="33">
        <v>1</v>
      </c>
      <c r="F129" s="130">
        <f t="shared" si="40"/>
        <v>11281.2</v>
      </c>
      <c r="G129" s="47">
        <f t="shared" si="56"/>
        <v>2213.4</v>
      </c>
      <c r="H129" s="131">
        <f t="shared" si="57"/>
        <v>1999.2000000000003</v>
      </c>
      <c r="I129" s="47">
        <f t="shared" si="58"/>
        <v>2213.4</v>
      </c>
      <c r="J129" s="47">
        <f t="shared" si="59"/>
        <v>2142</v>
      </c>
      <c r="K129" s="47">
        <f t="shared" si="60"/>
        <v>2213.4</v>
      </c>
      <c r="L129" s="47">
        <f>E129*D129*7</f>
        <v>499.80000000000007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132">
        <v>0</v>
      </c>
      <c r="S129" s="133">
        <f>212-23-31</f>
        <v>158</v>
      </c>
    </row>
    <row r="130" spans="1:19" s="7" customFormat="1">
      <c r="A130" s="128"/>
      <c r="B130" s="129">
        <v>22</v>
      </c>
      <c r="C130" s="30" t="s">
        <v>54</v>
      </c>
      <c r="D130" s="31">
        <v>71.400000000000006</v>
      </c>
      <c r="E130" s="33">
        <v>1</v>
      </c>
      <c r="F130" s="130">
        <f t="shared" si="40"/>
        <v>10781.400000000001</v>
      </c>
      <c r="G130" s="47">
        <f t="shared" si="56"/>
        <v>2213.4</v>
      </c>
      <c r="H130" s="131">
        <f t="shared" si="57"/>
        <v>1999.2000000000003</v>
      </c>
      <c r="I130" s="47">
        <f t="shared" si="58"/>
        <v>2213.4</v>
      </c>
      <c r="J130" s="47">
        <f t="shared" si="59"/>
        <v>2142</v>
      </c>
      <c r="K130" s="47">
        <f t="shared" si="60"/>
        <v>2213.4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132">
        <v>0</v>
      </c>
      <c r="S130" s="133">
        <f>212-30-31</f>
        <v>151</v>
      </c>
    </row>
    <row r="131" spans="1:19" s="7" customFormat="1">
      <c r="A131" s="128"/>
      <c r="B131" s="129">
        <v>23</v>
      </c>
      <c r="C131" s="30" t="s">
        <v>54</v>
      </c>
      <c r="D131" s="31">
        <v>71.400000000000006</v>
      </c>
      <c r="E131" s="33">
        <v>1</v>
      </c>
      <c r="F131" s="130">
        <f t="shared" si="40"/>
        <v>10138.800000000001</v>
      </c>
      <c r="G131" s="47">
        <f t="shared" si="56"/>
        <v>2213.4</v>
      </c>
      <c r="H131" s="131">
        <f t="shared" si="57"/>
        <v>1999.2000000000003</v>
      </c>
      <c r="I131" s="47">
        <f t="shared" si="58"/>
        <v>2213.4</v>
      </c>
      <c r="J131" s="47">
        <f t="shared" si="59"/>
        <v>2142</v>
      </c>
      <c r="K131" s="47">
        <f t="shared" si="60"/>
        <v>2213.4</v>
      </c>
      <c r="L131" s="47">
        <f>-D131*E131*9</f>
        <v>-642.6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132">
        <v>0</v>
      </c>
      <c r="S131" s="133">
        <f>31+28+31+30+31-9</f>
        <v>142</v>
      </c>
    </row>
    <row r="132" spans="1:19" s="148" customFormat="1">
      <c r="A132" s="142"/>
      <c r="B132" s="143">
        <v>13</v>
      </c>
      <c r="C132" s="39" t="s">
        <v>54</v>
      </c>
      <c r="D132" s="37">
        <v>71.400000000000006</v>
      </c>
      <c r="E132" s="41">
        <v>6</v>
      </c>
      <c r="F132" s="145">
        <f t="shared" si="40"/>
        <v>39412.800000000003</v>
      </c>
      <c r="G132" s="38">
        <v>0</v>
      </c>
      <c r="H132" s="153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f t="shared" ref="M132:M133" si="68">E132*D132*31</f>
        <v>13280.400000000001</v>
      </c>
      <c r="N132" s="38">
        <f>E132*D132*31</f>
        <v>13280.400000000001</v>
      </c>
      <c r="O132" s="38">
        <f>E132*D132*30</f>
        <v>12852.000000000002</v>
      </c>
      <c r="P132" s="38">
        <v>0</v>
      </c>
      <c r="Q132" s="38">
        <v>0</v>
      </c>
      <c r="R132" s="146">
        <v>0</v>
      </c>
      <c r="S132" s="147">
        <f>31+31+30</f>
        <v>92</v>
      </c>
    </row>
    <row r="133" spans="1:19" s="148" customFormat="1">
      <c r="A133" s="142"/>
      <c r="B133" s="143">
        <v>14</v>
      </c>
      <c r="C133" s="39" t="s">
        <v>54</v>
      </c>
      <c r="D133" s="37">
        <v>71.400000000000006</v>
      </c>
      <c r="E133" s="41">
        <v>1</v>
      </c>
      <c r="F133" s="145">
        <f t="shared" si="40"/>
        <v>6568.8</v>
      </c>
      <c r="G133" s="38">
        <v>0</v>
      </c>
      <c r="H133" s="153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f t="shared" si="68"/>
        <v>2213.4</v>
      </c>
      <c r="N133" s="38">
        <f>E133*D133*31</f>
        <v>2213.4</v>
      </c>
      <c r="O133" s="38">
        <f>E133*D133*30</f>
        <v>2142</v>
      </c>
      <c r="P133" s="38">
        <v>0</v>
      </c>
      <c r="Q133" s="38">
        <v>0</v>
      </c>
      <c r="R133" s="146">
        <v>0</v>
      </c>
      <c r="S133" s="147">
        <f>31+31+30</f>
        <v>92</v>
      </c>
    </row>
    <row r="134" spans="1:19" s="148" customFormat="1">
      <c r="A134" s="142"/>
      <c r="B134" s="256">
        <v>1</v>
      </c>
      <c r="C134" s="257" t="s">
        <v>39</v>
      </c>
      <c r="D134" s="258">
        <v>78.25</v>
      </c>
      <c r="E134" s="259">
        <v>5</v>
      </c>
      <c r="F134" s="260">
        <f t="shared" si="40"/>
        <v>71990</v>
      </c>
      <c r="G134" s="261">
        <v>0</v>
      </c>
      <c r="H134" s="272">
        <v>0</v>
      </c>
      <c r="I134" s="261">
        <v>0</v>
      </c>
      <c r="J134" s="261">
        <v>0</v>
      </c>
      <c r="K134" s="261">
        <v>0</v>
      </c>
      <c r="L134" s="261">
        <v>0</v>
      </c>
      <c r="M134" s="261">
        <v>0</v>
      </c>
      <c r="N134" s="261">
        <f>E134*D134*62</f>
        <v>24257.5</v>
      </c>
      <c r="O134" s="261">
        <f t="shared" ref="O134:O145" si="69">E134*D134*30</f>
        <v>11737.5</v>
      </c>
      <c r="P134" s="261">
        <f t="shared" ref="P134:P145" si="70">E134*D134*31</f>
        <v>12128.75</v>
      </c>
      <c r="Q134" s="261">
        <f t="shared" ref="Q134:Q145" si="71">E134*D134*30</f>
        <v>11737.5</v>
      </c>
      <c r="R134" s="273">
        <f t="shared" ref="R134:R145" si="72">E134*D134*31</f>
        <v>12128.75</v>
      </c>
      <c r="S134" s="147">
        <f t="shared" ref="S134:S143" si="73">31+31+30+31+30+31</f>
        <v>184</v>
      </c>
    </row>
    <row r="135" spans="1:19" s="7" customFormat="1">
      <c r="A135" s="128"/>
      <c r="B135" s="233">
        <v>1</v>
      </c>
      <c r="C135" s="274" t="s">
        <v>39</v>
      </c>
      <c r="D135" s="275">
        <v>78.25</v>
      </c>
      <c r="E135" s="276">
        <v>7</v>
      </c>
      <c r="F135" s="277">
        <f t="shared" si="40"/>
        <v>0</v>
      </c>
      <c r="G135" s="250">
        <v>0</v>
      </c>
      <c r="H135" s="251">
        <v>0</v>
      </c>
      <c r="I135" s="250">
        <v>0</v>
      </c>
      <c r="J135" s="250">
        <v>0</v>
      </c>
      <c r="K135" s="250">
        <v>0</v>
      </c>
      <c r="L135" s="250">
        <v>0</v>
      </c>
      <c r="M135" s="250">
        <v>0</v>
      </c>
      <c r="N135" s="250">
        <v>0</v>
      </c>
      <c r="O135" s="250">
        <v>0</v>
      </c>
      <c r="P135" s="250">
        <v>0</v>
      </c>
      <c r="Q135" s="250">
        <v>0</v>
      </c>
      <c r="R135" s="278">
        <v>0</v>
      </c>
      <c r="S135" s="133">
        <v>0</v>
      </c>
    </row>
    <row r="136" spans="1:19" s="148" customFormat="1">
      <c r="A136" s="142"/>
      <c r="B136" s="256">
        <v>2</v>
      </c>
      <c r="C136" s="257" t="s">
        <v>61</v>
      </c>
      <c r="D136" s="258">
        <v>77.59</v>
      </c>
      <c r="E136" s="259">
        <v>4</v>
      </c>
      <c r="F136" s="260">
        <f t="shared" si="40"/>
        <v>57106.240000000005</v>
      </c>
      <c r="G136" s="261">
        <v>0</v>
      </c>
      <c r="H136" s="272">
        <v>0</v>
      </c>
      <c r="I136" s="261">
        <v>0</v>
      </c>
      <c r="J136" s="261">
        <v>0</v>
      </c>
      <c r="K136" s="261">
        <v>0</v>
      </c>
      <c r="L136" s="261">
        <v>0</v>
      </c>
      <c r="M136" s="261">
        <v>0</v>
      </c>
      <c r="N136" s="261">
        <f>E136*D136*62</f>
        <v>19242.32</v>
      </c>
      <c r="O136" s="261">
        <f t="shared" ref="O136" si="74">E136*D136*30</f>
        <v>9310.8000000000011</v>
      </c>
      <c r="P136" s="261">
        <f t="shared" ref="P136" si="75">E136*D136*31</f>
        <v>9621.16</v>
      </c>
      <c r="Q136" s="261">
        <f t="shared" ref="Q136" si="76">E136*D136*30</f>
        <v>9310.8000000000011</v>
      </c>
      <c r="R136" s="273">
        <f t="shared" ref="R136" si="77">E136*D136*31</f>
        <v>9621.16</v>
      </c>
      <c r="S136" s="147">
        <f t="shared" si="73"/>
        <v>184</v>
      </c>
    </row>
    <row r="137" spans="1:19" s="148" customFormat="1">
      <c r="A137" s="142"/>
      <c r="B137" s="256">
        <v>3</v>
      </c>
      <c r="C137" s="257" t="s">
        <v>59</v>
      </c>
      <c r="D137" s="258">
        <v>77.59</v>
      </c>
      <c r="E137" s="259">
        <v>23</v>
      </c>
      <c r="F137" s="260">
        <f t="shared" si="40"/>
        <v>328360.88</v>
      </c>
      <c r="G137" s="261">
        <v>0</v>
      </c>
      <c r="H137" s="272">
        <v>0</v>
      </c>
      <c r="I137" s="261">
        <v>0</v>
      </c>
      <c r="J137" s="261">
        <v>0</v>
      </c>
      <c r="K137" s="261">
        <v>0</v>
      </c>
      <c r="L137" s="261">
        <v>0</v>
      </c>
      <c r="M137" s="261">
        <v>0</v>
      </c>
      <c r="N137" s="261">
        <f t="shared" ref="N137:N143" si="78">E137*D137*62</f>
        <v>110643.34000000001</v>
      </c>
      <c r="O137" s="261">
        <f t="shared" si="69"/>
        <v>53537.100000000006</v>
      </c>
      <c r="P137" s="261">
        <f t="shared" si="70"/>
        <v>55321.670000000006</v>
      </c>
      <c r="Q137" s="261">
        <f t="shared" si="71"/>
        <v>53537.100000000006</v>
      </c>
      <c r="R137" s="273">
        <f t="shared" si="72"/>
        <v>55321.670000000006</v>
      </c>
      <c r="S137" s="147">
        <f t="shared" si="73"/>
        <v>184</v>
      </c>
    </row>
    <row r="138" spans="1:19" s="7" customFormat="1">
      <c r="A138" s="128"/>
      <c r="B138" s="233">
        <v>3</v>
      </c>
      <c r="C138" s="274" t="s">
        <v>59</v>
      </c>
      <c r="D138" s="275">
        <v>77.59</v>
      </c>
      <c r="E138" s="276">
        <v>1</v>
      </c>
      <c r="F138" s="277">
        <f t="shared" si="40"/>
        <v>0</v>
      </c>
      <c r="G138" s="250">
        <v>0</v>
      </c>
      <c r="H138" s="251">
        <v>0</v>
      </c>
      <c r="I138" s="250">
        <v>0</v>
      </c>
      <c r="J138" s="250">
        <v>0</v>
      </c>
      <c r="K138" s="250">
        <v>0</v>
      </c>
      <c r="L138" s="250">
        <v>0</v>
      </c>
      <c r="M138" s="250">
        <v>0</v>
      </c>
      <c r="N138" s="250">
        <v>0</v>
      </c>
      <c r="O138" s="250">
        <v>0</v>
      </c>
      <c r="P138" s="250">
        <v>0</v>
      </c>
      <c r="Q138" s="250">
        <v>0</v>
      </c>
      <c r="R138" s="278">
        <v>0</v>
      </c>
      <c r="S138" s="133">
        <v>0</v>
      </c>
    </row>
    <row r="139" spans="1:19" s="148" customFormat="1">
      <c r="A139" s="142"/>
      <c r="B139" s="256">
        <v>3</v>
      </c>
      <c r="C139" s="257" t="s">
        <v>89</v>
      </c>
      <c r="D139" s="258">
        <v>75.64</v>
      </c>
      <c r="E139" s="259">
        <v>16</v>
      </c>
      <c r="F139" s="260">
        <f t="shared" si="40"/>
        <v>222684.16</v>
      </c>
      <c r="G139" s="261">
        <v>0</v>
      </c>
      <c r="H139" s="272">
        <v>0</v>
      </c>
      <c r="I139" s="261">
        <v>0</v>
      </c>
      <c r="J139" s="261">
        <v>0</v>
      </c>
      <c r="K139" s="261">
        <v>0</v>
      </c>
      <c r="L139" s="261">
        <v>0</v>
      </c>
      <c r="M139" s="261">
        <v>0</v>
      </c>
      <c r="N139" s="261">
        <f t="shared" ref="N139" si="79">E139*D139*62</f>
        <v>75034.880000000005</v>
      </c>
      <c r="O139" s="261">
        <f t="shared" ref="O139" si="80">E139*D139*30</f>
        <v>36307.199999999997</v>
      </c>
      <c r="P139" s="261">
        <f t="shared" ref="P139" si="81">E139*D139*31</f>
        <v>37517.440000000002</v>
      </c>
      <c r="Q139" s="261">
        <f t="shared" ref="Q139" si="82">E139*D139*30</f>
        <v>36307.199999999997</v>
      </c>
      <c r="R139" s="273">
        <f t="shared" ref="R139" si="83">E139*D139*31</f>
        <v>37517.440000000002</v>
      </c>
      <c r="S139" s="147">
        <f t="shared" si="73"/>
        <v>184</v>
      </c>
    </row>
    <row r="140" spans="1:19" s="148" customFormat="1">
      <c r="A140" s="142"/>
      <c r="B140" s="143">
        <v>4</v>
      </c>
      <c r="C140" s="39" t="s">
        <v>131</v>
      </c>
      <c r="D140" s="37">
        <v>71.400000000000006</v>
      </c>
      <c r="E140" s="41">
        <v>14</v>
      </c>
      <c r="F140" s="145">
        <f t="shared" si="40"/>
        <v>183926.40000000002</v>
      </c>
      <c r="G140" s="38">
        <v>0</v>
      </c>
      <c r="H140" s="153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f t="shared" si="78"/>
        <v>61975.200000000012</v>
      </c>
      <c r="O140" s="38">
        <f t="shared" si="69"/>
        <v>29988.000000000004</v>
      </c>
      <c r="P140" s="38">
        <f t="shared" si="70"/>
        <v>30987.600000000006</v>
      </c>
      <c r="Q140" s="38">
        <f t="shared" si="71"/>
        <v>29988.000000000004</v>
      </c>
      <c r="R140" s="146">
        <f t="shared" si="72"/>
        <v>30987.600000000006</v>
      </c>
      <c r="S140" s="147">
        <f t="shared" si="73"/>
        <v>184</v>
      </c>
    </row>
    <row r="141" spans="1:19" s="7" customFormat="1">
      <c r="A141" s="128"/>
      <c r="B141" s="129">
        <v>4</v>
      </c>
      <c r="C141" s="30" t="s">
        <v>131</v>
      </c>
      <c r="D141" s="31">
        <v>71.400000000000006</v>
      </c>
      <c r="E141" s="33">
        <v>1</v>
      </c>
      <c r="F141" s="130">
        <f t="shared" si="40"/>
        <v>0</v>
      </c>
      <c r="G141" s="47">
        <v>0</v>
      </c>
      <c r="H141" s="131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132">
        <v>0</v>
      </c>
      <c r="S141" s="133">
        <v>0</v>
      </c>
    </row>
    <row r="142" spans="1:19" s="148" customFormat="1">
      <c r="A142" s="142"/>
      <c r="B142" s="143">
        <v>5</v>
      </c>
      <c r="C142" s="39" t="s">
        <v>62</v>
      </c>
      <c r="D142" s="37">
        <v>75.64</v>
      </c>
      <c r="E142" s="41">
        <v>1</v>
      </c>
      <c r="F142" s="145">
        <f t="shared" ref="F142:F161" si="84">+E142*S142*D142</f>
        <v>13917.76</v>
      </c>
      <c r="G142" s="38">
        <v>0</v>
      </c>
      <c r="H142" s="153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f t="shared" si="78"/>
        <v>4689.68</v>
      </c>
      <c r="O142" s="38">
        <f t="shared" si="69"/>
        <v>2269.1999999999998</v>
      </c>
      <c r="P142" s="38">
        <f t="shared" si="70"/>
        <v>2344.84</v>
      </c>
      <c r="Q142" s="38">
        <f t="shared" si="71"/>
        <v>2269.1999999999998</v>
      </c>
      <c r="R142" s="146">
        <f t="shared" si="72"/>
        <v>2344.84</v>
      </c>
      <c r="S142" s="147">
        <f t="shared" si="73"/>
        <v>184</v>
      </c>
    </row>
    <row r="143" spans="1:19" s="148" customFormat="1">
      <c r="A143" s="142"/>
      <c r="B143" s="143">
        <v>6</v>
      </c>
      <c r="C143" s="39" t="s">
        <v>132</v>
      </c>
      <c r="D143" s="37">
        <v>75.64</v>
      </c>
      <c r="E143" s="41">
        <v>2</v>
      </c>
      <c r="F143" s="145">
        <f t="shared" si="84"/>
        <v>27835.52</v>
      </c>
      <c r="G143" s="38">
        <v>0</v>
      </c>
      <c r="H143" s="153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f t="shared" si="78"/>
        <v>9379.36</v>
      </c>
      <c r="O143" s="38">
        <f t="shared" si="69"/>
        <v>4538.3999999999996</v>
      </c>
      <c r="P143" s="38">
        <f t="shared" si="70"/>
        <v>4689.68</v>
      </c>
      <c r="Q143" s="38">
        <f t="shared" si="71"/>
        <v>4538.3999999999996</v>
      </c>
      <c r="R143" s="146">
        <f t="shared" si="72"/>
        <v>4689.68</v>
      </c>
      <c r="S143" s="147">
        <f t="shared" si="73"/>
        <v>184</v>
      </c>
    </row>
    <row r="144" spans="1:19" s="148" customFormat="1">
      <c r="A144" s="142"/>
      <c r="B144" s="143">
        <v>7</v>
      </c>
      <c r="C144" s="39" t="s">
        <v>131</v>
      </c>
      <c r="D144" s="37">
        <v>71.400000000000006</v>
      </c>
      <c r="E144" s="41">
        <v>1</v>
      </c>
      <c r="F144" s="145">
        <f t="shared" si="84"/>
        <v>11923.800000000001</v>
      </c>
      <c r="G144" s="38">
        <v>0</v>
      </c>
      <c r="H144" s="153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f>E144*D144*45</f>
        <v>3213.0000000000005</v>
      </c>
      <c r="O144" s="38">
        <f t="shared" si="69"/>
        <v>2142</v>
      </c>
      <c r="P144" s="38">
        <f t="shared" si="70"/>
        <v>2213.4</v>
      </c>
      <c r="Q144" s="38">
        <f t="shared" si="71"/>
        <v>2142</v>
      </c>
      <c r="R144" s="146">
        <f t="shared" si="72"/>
        <v>2213.4</v>
      </c>
      <c r="S144" s="147">
        <f>45+30+31+30+31</f>
        <v>167</v>
      </c>
    </row>
    <row r="145" spans="1:19" s="148" customFormat="1">
      <c r="A145" s="142"/>
      <c r="B145" s="143">
        <v>8</v>
      </c>
      <c r="C145" s="39" t="s">
        <v>62</v>
      </c>
      <c r="D145" s="37">
        <v>75.64</v>
      </c>
      <c r="E145" s="41">
        <v>1</v>
      </c>
      <c r="F145" s="145">
        <f t="shared" si="84"/>
        <v>12631.88</v>
      </c>
      <c r="G145" s="38">
        <v>0</v>
      </c>
      <c r="H145" s="153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f>E145*D145*45</f>
        <v>3403.8</v>
      </c>
      <c r="O145" s="38">
        <f t="shared" si="69"/>
        <v>2269.1999999999998</v>
      </c>
      <c r="P145" s="38">
        <f t="shared" si="70"/>
        <v>2344.84</v>
      </c>
      <c r="Q145" s="38">
        <f t="shared" si="71"/>
        <v>2269.1999999999998</v>
      </c>
      <c r="R145" s="146">
        <f t="shared" si="72"/>
        <v>2344.84</v>
      </c>
      <c r="S145" s="147">
        <f>45+30+31+30+31</f>
        <v>167</v>
      </c>
    </row>
    <row r="146" spans="1:19" s="283" customFormat="1">
      <c r="A146" s="279"/>
      <c r="B146" s="280">
        <v>1</v>
      </c>
      <c r="C146" s="144" t="s">
        <v>54</v>
      </c>
      <c r="D146" s="281">
        <v>71.400000000000006</v>
      </c>
      <c r="E146" s="265">
        <v>2</v>
      </c>
      <c r="F146" s="266">
        <f t="shared" si="84"/>
        <v>13137.6</v>
      </c>
      <c r="G146" s="282">
        <v>0</v>
      </c>
      <c r="H146" s="282">
        <v>0</v>
      </c>
      <c r="I146" s="282">
        <v>0</v>
      </c>
      <c r="J146" s="282">
        <v>0</v>
      </c>
      <c r="K146" s="282">
        <v>0</v>
      </c>
      <c r="L146" s="282">
        <v>0</v>
      </c>
      <c r="M146" s="282">
        <v>0</v>
      </c>
      <c r="N146" s="38">
        <f>+D146*E146*62</f>
        <v>8853.6</v>
      </c>
      <c r="O146" s="38">
        <f t="shared" ref="O146:O156" si="85">+D146*E146*30</f>
        <v>4284</v>
      </c>
      <c r="P146" s="38">
        <v>0</v>
      </c>
      <c r="Q146" s="38">
        <v>0</v>
      </c>
      <c r="R146" s="146">
        <v>0</v>
      </c>
      <c r="S146" s="147">
        <f>31+31+30</f>
        <v>92</v>
      </c>
    </row>
    <row r="147" spans="1:19" s="283" customFormat="1">
      <c r="A147" s="279"/>
      <c r="B147" s="280">
        <v>1</v>
      </c>
      <c r="C147" s="144" t="s">
        <v>44</v>
      </c>
      <c r="D147" s="281">
        <v>72.540000000000006</v>
      </c>
      <c r="E147" s="265">
        <v>1</v>
      </c>
      <c r="F147" s="266">
        <f t="shared" si="84"/>
        <v>11098.62</v>
      </c>
      <c r="G147" s="282">
        <v>0</v>
      </c>
      <c r="H147" s="282">
        <v>0</v>
      </c>
      <c r="I147" s="282">
        <v>0</v>
      </c>
      <c r="J147" s="282">
        <v>0</v>
      </c>
      <c r="K147" s="282">
        <v>0</v>
      </c>
      <c r="L147" s="282">
        <v>0</v>
      </c>
      <c r="M147" s="282">
        <v>0</v>
      </c>
      <c r="N147" s="38">
        <f t="shared" ref="N147:N156" si="86">+D147*E147*31</f>
        <v>2248.7400000000002</v>
      </c>
      <c r="O147" s="38">
        <f t="shared" si="85"/>
        <v>2176.2000000000003</v>
      </c>
      <c r="P147" s="38">
        <f t="shared" ref="P147:P156" si="87">+D147*E147*31</f>
        <v>2248.7400000000002</v>
      </c>
      <c r="Q147" s="38">
        <f t="shared" ref="Q147:Q156" si="88">+D147*E147*30</f>
        <v>2176.2000000000003</v>
      </c>
      <c r="R147" s="146">
        <f t="shared" ref="R147:R156" si="89">+D147*E147*31</f>
        <v>2248.7400000000002</v>
      </c>
      <c r="S147" s="147">
        <f t="shared" ref="S147:S156" si="90">31+30+31+30+31</f>
        <v>153</v>
      </c>
    </row>
    <row r="148" spans="1:19" s="283" customFormat="1">
      <c r="A148" s="279"/>
      <c r="B148" s="280">
        <v>2</v>
      </c>
      <c r="C148" s="144" t="s">
        <v>46</v>
      </c>
      <c r="D148" s="281">
        <v>73.59</v>
      </c>
      <c r="E148" s="265">
        <v>2</v>
      </c>
      <c r="F148" s="266">
        <f t="shared" si="84"/>
        <v>22518.54</v>
      </c>
      <c r="G148" s="282">
        <v>0</v>
      </c>
      <c r="H148" s="282">
        <v>0</v>
      </c>
      <c r="I148" s="282">
        <v>0</v>
      </c>
      <c r="J148" s="282">
        <v>0</v>
      </c>
      <c r="K148" s="282">
        <v>0</v>
      </c>
      <c r="L148" s="282">
        <v>0</v>
      </c>
      <c r="M148" s="282">
        <v>0</v>
      </c>
      <c r="N148" s="38">
        <f t="shared" si="86"/>
        <v>4562.58</v>
      </c>
      <c r="O148" s="38">
        <f t="shared" si="85"/>
        <v>4415.4000000000005</v>
      </c>
      <c r="P148" s="38">
        <f t="shared" si="87"/>
        <v>4562.58</v>
      </c>
      <c r="Q148" s="38">
        <f t="shared" si="88"/>
        <v>4415.4000000000005</v>
      </c>
      <c r="R148" s="146">
        <f t="shared" si="89"/>
        <v>4562.58</v>
      </c>
      <c r="S148" s="147">
        <f t="shared" si="90"/>
        <v>153</v>
      </c>
    </row>
    <row r="149" spans="1:19" s="283" customFormat="1">
      <c r="A149" s="279"/>
      <c r="B149" s="280">
        <v>3</v>
      </c>
      <c r="C149" s="144" t="s">
        <v>47</v>
      </c>
      <c r="D149" s="281">
        <v>74.63</v>
      </c>
      <c r="E149" s="265">
        <v>2</v>
      </c>
      <c r="F149" s="266">
        <f t="shared" si="84"/>
        <v>22836.78</v>
      </c>
      <c r="G149" s="282">
        <v>0</v>
      </c>
      <c r="H149" s="282">
        <v>0</v>
      </c>
      <c r="I149" s="282">
        <v>0</v>
      </c>
      <c r="J149" s="282">
        <v>0</v>
      </c>
      <c r="K149" s="282">
        <v>0</v>
      </c>
      <c r="L149" s="282">
        <v>0</v>
      </c>
      <c r="M149" s="282">
        <v>0</v>
      </c>
      <c r="N149" s="38">
        <f t="shared" si="86"/>
        <v>4627.0599999999995</v>
      </c>
      <c r="O149" s="38">
        <f t="shared" si="85"/>
        <v>4477.7999999999993</v>
      </c>
      <c r="P149" s="38">
        <f t="shared" si="87"/>
        <v>4627.0599999999995</v>
      </c>
      <c r="Q149" s="38">
        <f t="shared" si="88"/>
        <v>4477.7999999999993</v>
      </c>
      <c r="R149" s="146">
        <f t="shared" si="89"/>
        <v>4627.0599999999995</v>
      </c>
      <c r="S149" s="147">
        <f t="shared" si="90"/>
        <v>153</v>
      </c>
    </row>
    <row r="150" spans="1:19" s="283" customFormat="1">
      <c r="A150" s="279"/>
      <c r="B150" s="280">
        <v>4</v>
      </c>
      <c r="C150" s="144" t="s">
        <v>35</v>
      </c>
      <c r="D150" s="281">
        <v>71.400000000000006</v>
      </c>
      <c r="E150" s="265">
        <v>2</v>
      </c>
      <c r="F150" s="266">
        <f t="shared" si="84"/>
        <v>21848.400000000001</v>
      </c>
      <c r="G150" s="282">
        <v>0</v>
      </c>
      <c r="H150" s="282">
        <v>0</v>
      </c>
      <c r="I150" s="282">
        <v>0</v>
      </c>
      <c r="J150" s="282">
        <v>0</v>
      </c>
      <c r="K150" s="282">
        <v>0</v>
      </c>
      <c r="L150" s="282">
        <v>0</v>
      </c>
      <c r="M150" s="282">
        <v>0</v>
      </c>
      <c r="N150" s="38">
        <f t="shared" si="86"/>
        <v>4426.8</v>
      </c>
      <c r="O150" s="38">
        <f t="shared" si="85"/>
        <v>4284</v>
      </c>
      <c r="P150" s="38">
        <f t="shared" si="87"/>
        <v>4426.8</v>
      </c>
      <c r="Q150" s="38">
        <f t="shared" si="88"/>
        <v>4284</v>
      </c>
      <c r="R150" s="146">
        <f t="shared" si="89"/>
        <v>4426.8</v>
      </c>
      <c r="S150" s="147">
        <f t="shared" si="90"/>
        <v>153</v>
      </c>
    </row>
    <row r="151" spans="1:19" s="289" customFormat="1">
      <c r="A151" s="284"/>
      <c r="B151" s="285">
        <v>4</v>
      </c>
      <c r="C151" s="286" t="s">
        <v>35</v>
      </c>
      <c r="D151" s="287">
        <v>71.400000000000006</v>
      </c>
      <c r="E151" s="36">
        <v>1</v>
      </c>
      <c r="F151" s="249">
        <f t="shared" si="84"/>
        <v>0</v>
      </c>
      <c r="G151" s="288">
        <v>0</v>
      </c>
      <c r="H151" s="288">
        <v>0</v>
      </c>
      <c r="I151" s="288">
        <v>0</v>
      </c>
      <c r="J151" s="288">
        <v>0</v>
      </c>
      <c r="K151" s="288">
        <v>0</v>
      </c>
      <c r="L151" s="288">
        <v>0</v>
      </c>
      <c r="M151" s="288">
        <v>0</v>
      </c>
      <c r="N151" s="47">
        <v>0</v>
      </c>
      <c r="O151" s="47">
        <v>0</v>
      </c>
      <c r="P151" s="47">
        <v>0</v>
      </c>
      <c r="Q151" s="47">
        <v>0</v>
      </c>
      <c r="R151" s="132">
        <v>0</v>
      </c>
      <c r="S151" s="133">
        <v>0</v>
      </c>
    </row>
    <row r="152" spans="1:19" s="283" customFormat="1">
      <c r="A152" s="279"/>
      <c r="B152" s="280">
        <v>5</v>
      </c>
      <c r="C152" s="144" t="s">
        <v>39</v>
      </c>
      <c r="D152" s="281">
        <v>78.25</v>
      </c>
      <c r="E152" s="265">
        <v>5</v>
      </c>
      <c r="F152" s="266">
        <f t="shared" si="84"/>
        <v>59861.25</v>
      </c>
      <c r="G152" s="282">
        <v>0</v>
      </c>
      <c r="H152" s="282">
        <v>0</v>
      </c>
      <c r="I152" s="282">
        <v>0</v>
      </c>
      <c r="J152" s="282">
        <v>0</v>
      </c>
      <c r="K152" s="282">
        <v>0</v>
      </c>
      <c r="L152" s="282">
        <v>0</v>
      </c>
      <c r="M152" s="282">
        <v>0</v>
      </c>
      <c r="N152" s="38">
        <f t="shared" si="86"/>
        <v>12128.75</v>
      </c>
      <c r="O152" s="38">
        <f t="shared" si="85"/>
        <v>11737.5</v>
      </c>
      <c r="P152" s="38">
        <f t="shared" si="87"/>
        <v>12128.75</v>
      </c>
      <c r="Q152" s="38">
        <f t="shared" si="88"/>
        <v>11737.5</v>
      </c>
      <c r="R152" s="146">
        <f t="shared" si="89"/>
        <v>12128.75</v>
      </c>
      <c r="S152" s="147">
        <f t="shared" si="90"/>
        <v>153</v>
      </c>
    </row>
    <row r="153" spans="1:19" s="283" customFormat="1">
      <c r="A153" s="279"/>
      <c r="B153" s="280">
        <v>6</v>
      </c>
      <c r="C153" s="144" t="s">
        <v>32</v>
      </c>
      <c r="D153" s="281">
        <v>71.400000000000006</v>
      </c>
      <c r="E153" s="265">
        <v>12</v>
      </c>
      <c r="F153" s="266">
        <f t="shared" si="84"/>
        <v>131090.40000000002</v>
      </c>
      <c r="G153" s="282">
        <v>0</v>
      </c>
      <c r="H153" s="282">
        <v>0</v>
      </c>
      <c r="I153" s="282">
        <v>0</v>
      </c>
      <c r="J153" s="282">
        <v>0</v>
      </c>
      <c r="K153" s="282">
        <v>0</v>
      </c>
      <c r="L153" s="282">
        <v>0</v>
      </c>
      <c r="M153" s="282">
        <v>0</v>
      </c>
      <c r="N153" s="38">
        <f t="shared" si="86"/>
        <v>26560.800000000003</v>
      </c>
      <c r="O153" s="38">
        <f t="shared" si="85"/>
        <v>25704.000000000004</v>
      </c>
      <c r="P153" s="38">
        <f t="shared" si="87"/>
        <v>26560.800000000003</v>
      </c>
      <c r="Q153" s="38">
        <f t="shared" si="88"/>
        <v>25704.000000000004</v>
      </c>
      <c r="R153" s="146">
        <f t="shared" si="89"/>
        <v>26560.800000000003</v>
      </c>
      <c r="S153" s="147">
        <f t="shared" si="90"/>
        <v>153</v>
      </c>
    </row>
    <row r="154" spans="1:19" s="289" customFormat="1">
      <c r="A154" s="284"/>
      <c r="B154" s="285">
        <v>6</v>
      </c>
      <c r="C154" s="286" t="s">
        <v>32</v>
      </c>
      <c r="D154" s="287">
        <v>71.400000000000006</v>
      </c>
      <c r="E154" s="36">
        <v>1</v>
      </c>
      <c r="F154" s="249">
        <f t="shared" si="84"/>
        <v>8710.8000000000011</v>
      </c>
      <c r="G154" s="288">
        <v>0</v>
      </c>
      <c r="H154" s="288">
        <v>0</v>
      </c>
      <c r="I154" s="288">
        <v>0</v>
      </c>
      <c r="J154" s="288">
        <v>0</v>
      </c>
      <c r="K154" s="288">
        <v>0</v>
      </c>
      <c r="L154" s="288">
        <v>0</v>
      </c>
      <c r="M154" s="288">
        <v>0</v>
      </c>
      <c r="N154" s="47">
        <v>0</v>
      </c>
      <c r="O154" s="47">
        <f t="shared" si="85"/>
        <v>2142</v>
      </c>
      <c r="P154" s="47">
        <f t="shared" si="87"/>
        <v>2213.4</v>
      </c>
      <c r="Q154" s="47">
        <f t="shared" si="88"/>
        <v>2142</v>
      </c>
      <c r="R154" s="132">
        <f t="shared" si="89"/>
        <v>2213.4</v>
      </c>
      <c r="S154" s="133">
        <f>30+31+30+31</f>
        <v>122</v>
      </c>
    </row>
    <row r="155" spans="1:19" s="289" customFormat="1">
      <c r="A155" s="284"/>
      <c r="B155" s="285">
        <v>7</v>
      </c>
      <c r="C155" s="286" t="s">
        <v>54</v>
      </c>
      <c r="D155" s="287">
        <v>71.400000000000006</v>
      </c>
      <c r="E155" s="36">
        <v>6</v>
      </c>
      <c r="F155" s="249">
        <f t="shared" si="84"/>
        <v>0</v>
      </c>
      <c r="G155" s="288">
        <v>0</v>
      </c>
      <c r="H155" s="288">
        <v>0</v>
      </c>
      <c r="I155" s="288">
        <v>0</v>
      </c>
      <c r="J155" s="288">
        <v>0</v>
      </c>
      <c r="K155" s="288">
        <v>0</v>
      </c>
      <c r="L155" s="288">
        <v>0</v>
      </c>
      <c r="M155" s="288">
        <v>0</v>
      </c>
      <c r="N155" s="47">
        <v>0</v>
      </c>
      <c r="O155" s="47">
        <v>0</v>
      </c>
      <c r="P155" s="47">
        <v>0</v>
      </c>
      <c r="Q155" s="47">
        <v>0</v>
      </c>
      <c r="R155" s="132">
        <v>0</v>
      </c>
      <c r="S155" s="133">
        <v>0</v>
      </c>
    </row>
    <row r="156" spans="1:19" s="283" customFormat="1">
      <c r="A156" s="279"/>
      <c r="B156" s="280">
        <v>7</v>
      </c>
      <c r="C156" s="144" t="s">
        <v>54</v>
      </c>
      <c r="D156" s="281">
        <v>71.400000000000006</v>
      </c>
      <c r="E156" s="265">
        <v>118</v>
      </c>
      <c r="F156" s="266">
        <f t="shared" si="84"/>
        <v>1289055.6000000001</v>
      </c>
      <c r="G156" s="282">
        <v>0</v>
      </c>
      <c r="H156" s="282">
        <v>0</v>
      </c>
      <c r="I156" s="282">
        <v>0</v>
      </c>
      <c r="J156" s="282">
        <v>0</v>
      </c>
      <c r="K156" s="282">
        <v>0</v>
      </c>
      <c r="L156" s="282">
        <v>0</v>
      </c>
      <c r="M156" s="282">
        <v>0</v>
      </c>
      <c r="N156" s="38">
        <f t="shared" si="86"/>
        <v>261181.2</v>
      </c>
      <c r="O156" s="38">
        <f t="shared" si="85"/>
        <v>252756.00000000003</v>
      </c>
      <c r="P156" s="38">
        <f t="shared" si="87"/>
        <v>261181.2</v>
      </c>
      <c r="Q156" s="38">
        <f t="shared" si="88"/>
        <v>252756.00000000003</v>
      </c>
      <c r="R156" s="146">
        <f t="shared" si="89"/>
        <v>261181.2</v>
      </c>
      <c r="S156" s="147">
        <f t="shared" si="90"/>
        <v>153</v>
      </c>
    </row>
    <row r="157" spans="1:19">
      <c r="A157" s="59"/>
      <c r="B157" s="134">
        <v>1</v>
      </c>
      <c r="C157" s="135" t="s">
        <v>35</v>
      </c>
      <c r="D157" s="136">
        <v>71.400000000000006</v>
      </c>
      <c r="E157" s="32">
        <v>5</v>
      </c>
      <c r="F157" s="137">
        <f t="shared" si="84"/>
        <v>75684</v>
      </c>
      <c r="G157" s="138">
        <f>E157*D157*31</f>
        <v>11067</v>
      </c>
      <c r="H157" s="139">
        <f>E157*D157*28</f>
        <v>9996</v>
      </c>
      <c r="I157" s="138">
        <f>E157*D157*31</f>
        <v>11067</v>
      </c>
      <c r="J157" s="138">
        <f>E157*D157*30</f>
        <v>10710</v>
      </c>
      <c r="K157" s="47">
        <f>E157*D157*31</f>
        <v>11067</v>
      </c>
      <c r="L157" s="138">
        <f>E157*D157*30</f>
        <v>10710</v>
      </c>
      <c r="M157" s="138">
        <f>E157*D157*31</f>
        <v>11067</v>
      </c>
      <c r="N157" s="138">
        <v>0</v>
      </c>
      <c r="O157" s="138">
        <v>0</v>
      </c>
      <c r="P157" s="138">
        <v>0</v>
      </c>
      <c r="Q157" s="138">
        <v>0</v>
      </c>
      <c r="R157" s="140">
        <v>0</v>
      </c>
      <c r="S157" s="141">
        <v>212</v>
      </c>
    </row>
    <row r="158" spans="1:19">
      <c r="A158" s="59"/>
      <c r="B158" s="134">
        <v>6</v>
      </c>
      <c r="C158" s="135" t="s">
        <v>35</v>
      </c>
      <c r="D158" s="136">
        <v>71.400000000000006</v>
      </c>
      <c r="E158" s="32">
        <v>1</v>
      </c>
      <c r="F158" s="137">
        <f t="shared" si="84"/>
        <v>2213.4</v>
      </c>
      <c r="G158" s="138">
        <f>E158*D158*31</f>
        <v>2213.4</v>
      </c>
      <c r="H158" s="139">
        <v>0</v>
      </c>
      <c r="I158" s="138">
        <v>0</v>
      </c>
      <c r="J158" s="138">
        <v>0</v>
      </c>
      <c r="K158" s="47">
        <v>0</v>
      </c>
      <c r="L158" s="138">
        <v>0</v>
      </c>
      <c r="M158" s="138">
        <v>0</v>
      </c>
      <c r="N158" s="138">
        <v>0</v>
      </c>
      <c r="O158" s="138">
        <v>0</v>
      </c>
      <c r="P158" s="138">
        <v>0</v>
      </c>
      <c r="Q158" s="138">
        <v>0</v>
      </c>
      <c r="R158" s="140">
        <v>0</v>
      </c>
      <c r="S158" s="141">
        <v>31</v>
      </c>
    </row>
    <row r="159" spans="1:19">
      <c r="A159" s="59"/>
      <c r="B159" s="134">
        <v>2</v>
      </c>
      <c r="C159" s="135" t="s">
        <v>38</v>
      </c>
      <c r="D159" s="136">
        <v>71.400000000000006</v>
      </c>
      <c r="E159" s="32">
        <v>1</v>
      </c>
      <c r="F159" s="137">
        <f t="shared" si="84"/>
        <v>15136.800000000001</v>
      </c>
      <c r="G159" s="138">
        <f>E159*D159*31</f>
        <v>2213.4</v>
      </c>
      <c r="H159" s="139">
        <f>E159*D159*28</f>
        <v>1999.2000000000003</v>
      </c>
      <c r="I159" s="138">
        <f>E159*D159*31</f>
        <v>2213.4</v>
      </c>
      <c r="J159" s="138">
        <f>E159*D159*30</f>
        <v>2142</v>
      </c>
      <c r="K159" s="47">
        <f>E159*D159*31</f>
        <v>2213.4</v>
      </c>
      <c r="L159" s="138">
        <f>E159*D159*30</f>
        <v>2142</v>
      </c>
      <c r="M159" s="138">
        <f>E159*D159*31</f>
        <v>2213.4</v>
      </c>
      <c r="N159" s="138">
        <v>0</v>
      </c>
      <c r="O159" s="138">
        <v>0</v>
      </c>
      <c r="P159" s="138">
        <v>0</v>
      </c>
      <c r="Q159" s="138">
        <v>0</v>
      </c>
      <c r="R159" s="140">
        <v>0</v>
      </c>
      <c r="S159" s="141">
        <v>212</v>
      </c>
    </row>
    <row r="160" spans="1:19">
      <c r="A160" s="59"/>
      <c r="B160" s="134">
        <v>3</v>
      </c>
      <c r="C160" s="135" t="s">
        <v>39</v>
      </c>
      <c r="D160" s="136">
        <v>78.25</v>
      </c>
      <c r="E160" s="32">
        <v>1</v>
      </c>
      <c r="F160" s="137">
        <f t="shared" si="84"/>
        <v>16589</v>
      </c>
      <c r="G160" s="138">
        <f t="shared" ref="G160:G161" si="91">E160*D160*31</f>
        <v>2425.75</v>
      </c>
      <c r="H160" s="139">
        <f t="shared" ref="H160:H161" si="92">E160*D160*28</f>
        <v>2191</v>
      </c>
      <c r="I160" s="138">
        <f t="shared" ref="I160:I161" si="93">E160*D160*31</f>
        <v>2425.75</v>
      </c>
      <c r="J160" s="138">
        <f t="shared" ref="J160:J161" si="94">E160*D160*30</f>
        <v>2347.5</v>
      </c>
      <c r="K160" s="47">
        <f t="shared" ref="K160:K161" si="95">E160*D160*31</f>
        <v>2425.75</v>
      </c>
      <c r="L160" s="138">
        <f t="shared" ref="L160:L161" si="96">E160*D160*30</f>
        <v>2347.5</v>
      </c>
      <c r="M160" s="138">
        <f t="shared" ref="M160:M161" si="97">E160*D160*31</f>
        <v>2425.75</v>
      </c>
      <c r="N160" s="138">
        <v>0</v>
      </c>
      <c r="O160" s="138">
        <v>0</v>
      </c>
      <c r="P160" s="138">
        <v>0</v>
      </c>
      <c r="Q160" s="138">
        <v>0</v>
      </c>
      <c r="R160" s="140">
        <v>0</v>
      </c>
      <c r="S160" s="141">
        <v>212</v>
      </c>
    </row>
    <row r="161" spans="1:20">
      <c r="A161" s="59"/>
      <c r="B161" s="134">
        <v>4</v>
      </c>
      <c r="C161" s="135" t="s">
        <v>32</v>
      </c>
      <c r="D161" s="136">
        <v>71.400000000000006</v>
      </c>
      <c r="E161" s="32">
        <v>2</v>
      </c>
      <c r="F161" s="137">
        <f t="shared" si="84"/>
        <v>30273.600000000002</v>
      </c>
      <c r="G161" s="138">
        <f t="shared" si="91"/>
        <v>4426.8</v>
      </c>
      <c r="H161" s="139">
        <f t="shared" si="92"/>
        <v>3998.4000000000005</v>
      </c>
      <c r="I161" s="138">
        <f t="shared" si="93"/>
        <v>4426.8</v>
      </c>
      <c r="J161" s="138">
        <f t="shared" si="94"/>
        <v>4284</v>
      </c>
      <c r="K161" s="47">
        <f t="shared" si="95"/>
        <v>4426.8</v>
      </c>
      <c r="L161" s="138">
        <f t="shared" si="96"/>
        <v>4284</v>
      </c>
      <c r="M161" s="138">
        <f t="shared" si="97"/>
        <v>4426.8</v>
      </c>
      <c r="N161" s="138">
        <v>0</v>
      </c>
      <c r="O161" s="138">
        <v>0</v>
      </c>
      <c r="P161" s="138">
        <v>0</v>
      </c>
      <c r="Q161" s="138">
        <v>0</v>
      </c>
      <c r="R161" s="140">
        <v>0</v>
      </c>
      <c r="S161" s="141">
        <v>212</v>
      </c>
    </row>
    <row r="162" spans="1:20">
      <c r="A162" s="59"/>
      <c r="B162" s="134">
        <v>5</v>
      </c>
      <c r="C162" s="135" t="s">
        <v>54</v>
      </c>
      <c r="D162" s="136">
        <v>71.400000000000006</v>
      </c>
      <c r="E162" s="32">
        <f>3+12</f>
        <v>15</v>
      </c>
      <c r="F162" s="137">
        <f>+E162*S162*D162</f>
        <v>227052.00000000003</v>
      </c>
      <c r="G162" s="138">
        <f>E162*D162*31</f>
        <v>33201</v>
      </c>
      <c r="H162" s="139">
        <f>E162*D162*28</f>
        <v>29988</v>
      </c>
      <c r="I162" s="138">
        <f>E162*D162*31</f>
        <v>33201</v>
      </c>
      <c r="J162" s="138">
        <f>E162*D162*30</f>
        <v>32130</v>
      </c>
      <c r="K162" s="47">
        <f>E162*D162*31</f>
        <v>33201</v>
      </c>
      <c r="L162" s="138">
        <f>E162*D162*30</f>
        <v>32130</v>
      </c>
      <c r="M162" s="138">
        <f>E162*D162*31</f>
        <v>33201</v>
      </c>
      <c r="N162" s="138">
        <v>0</v>
      </c>
      <c r="O162" s="138">
        <v>0</v>
      </c>
      <c r="P162" s="138">
        <v>0</v>
      </c>
      <c r="Q162" s="138">
        <v>0</v>
      </c>
      <c r="R162" s="140">
        <v>0</v>
      </c>
      <c r="S162" s="141">
        <v>212</v>
      </c>
    </row>
    <row r="163" spans="1:20" s="148" customFormat="1">
      <c r="A163" s="142"/>
      <c r="B163" s="143">
        <v>1</v>
      </c>
      <c r="C163" s="39" t="s">
        <v>54</v>
      </c>
      <c r="D163" s="37">
        <v>71.400000000000006</v>
      </c>
      <c r="E163" s="41">
        <f>3+12</f>
        <v>15</v>
      </c>
      <c r="F163" s="145">
        <f>+E163*S163*D163</f>
        <v>163863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f t="shared" ref="N163:N168" si="98">+D163*E163*31</f>
        <v>33201</v>
      </c>
      <c r="O163" s="38">
        <f t="shared" ref="O163:O168" si="99">+D163*E163*30</f>
        <v>32130</v>
      </c>
      <c r="P163" s="38">
        <f t="shared" ref="P163:P168" si="100">+D163*E163*31</f>
        <v>33201</v>
      </c>
      <c r="Q163" s="38">
        <f t="shared" ref="Q163:Q168" si="101">+D163*E163*30</f>
        <v>32130</v>
      </c>
      <c r="R163" s="146">
        <f t="shared" ref="R163:R168" si="102">+D163*E163*31</f>
        <v>33201</v>
      </c>
      <c r="S163" s="147">
        <f t="shared" ref="S163:S168" si="103">31+30+31+30+31</f>
        <v>153</v>
      </c>
    </row>
    <row r="164" spans="1:20" s="148" customFormat="1">
      <c r="A164" s="142"/>
      <c r="B164" s="143">
        <v>2</v>
      </c>
      <c r="C164" s="39" t="s">
        <v>35</v>
      </c>
      <c r="D164" s="37">
        <v>71.400000000000006</v>
      </c>
      <c r="E164" s="41">
        <v>4</v>
      </c>
      <c r="F164" s="145">
        <f t="shared" ref="F164:F174" si="104">+E164*S164*D164</f>
        <v>43696.800000000003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f t="shared" si="98"/>
        <v>8853.6</v>
      </c>
      <c r="O164" s="38">
        <f t="shared" si="99"/>
        <v>8568</v>
      </c>
      <c r="P164" s="38">
        <f t="shared" si="100"/>
        <v>8853.6</v>
      </c>
      <c r="Q164" s="38">
        <f t="shared" si="101"/>
        <v>8568</v>
      </c>
      <c r="R164" s="146">
        <f t="shared" si="102"/>
        <v>8853.6</v>
      </c>
      <c r="S164" s="147">
        <f t="shared" si="103"/>
        <v>153</v>
      </c>
    </row>
    <row r="165" spans="1:20" s="7" customFormat="1">
      <c r="A165" s="128"/>
      <c r="B165" s="129">
        <v>2</v>
      </c>
      <c r="C165" s="30" t="s">
        <v>35</v>
      </c>
      <c r="D165" s="31">
        <v>71.400000000000006</v>
      </c>
      <c r="E165" s="33">
        <v>1</v>
      </c>
      <c r="F165" s="130">
        <f t="shared" si="104"/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132">
        <v>0</v>
      </c>
      <c r="S165" s="133">
        <v>0</v>
      </c>
    </row>
    <row r="166" spans="1:20" s="148" customFormat="1">
      <c r="A166" s="142"/>
      <c r="B166" s="143">
        <v>3</v>
      </c>
      <c r="C166" s="39" t="s">
        <v>38</v>
      </c>
      <c r="D166" s="37">
        <v>71.400000000000006</v>
      </c>
      <c r="E166" s="41">
        <v>1</v>
      </c>
      <c r="F166" s="145">
        <f t="shared" si="104"/>
        <v>10924.2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f t="shared" si="98"/>
        <v>2213.4</v>
      </c>
      <c r="O166" s="38">
        <f t="shared" si="99"/>
        <v>2142</v>
      </c>
      <c r="P166" s="38">
        <f t="shared" si="100"/>
        <v>2213.4</v>
      </c>
      <c r="Q166" s="38">
        <f t="shared" si="101"/>
        <v>2142</v>
      </c>
      <c r="R166" s="146">
        <f t="shared" si="102"/>
        <v>2213.4</v>
      </c>
      <c r="S166" s="147">
        <f t="shared" si="103"/>
        <v>153</v>
      </c>
    </row>
    <row r="167" spans="1:20" s="148" customFormat="1">
      <c r="A167" s="142"/>
      <c r="B167" s="143">
        <v>4</v>
      </c>
      <c r="C167" s="39" t="s">
        <v>39</v>
      </c>
      <c r="D167" s="37">
        <v>78.25</v>
      </c>
      <c r="E167" s="41">
        <v>1</v>
      </c>
      <c r="F167" s="145">
        <f t="shared" si="104"/>
        <v>11972.25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f t="shared" si="98"/>
        <v>2425.75</v>
      </c>
      <c r="O167" s="38">
        <f t="shared" si="99"/>
        <v>2347.5</v>
      </c>
      <c r="P167" s="38">
        <f t="shared" si="100"/>
        <v>2425.75</v>
      </c>
      <c r="Q167" s="38">
        <f t="shared" si="101"/>
        <v>2347.5</v>
      </c>
      <c r="R167" s="146">
        <f t="shared" si="102"/>
        <v>2425.75</v>
      </c>
      <c r="S167" s="147">
        <f t="shared" si="103"/>
        <v>153</v>
      </c>
    </row>
    <row r="168" spans="1:20" s="148" customFormat="1">
      <c r="A168" s="142"/>
      <c r="B168" s="143">
        <v>5</v>
      </c>
      <c r="C168" s="39" t="s">
        <v>32</v>
      </c>
      <c r="D168" s="37">
        <v>71.400000000000006</v>
      </c>
      <c r="E168" s="41">
        <v>2</v>
      </c>
      <c r="F168" s="145">
        <f t="shared" si="104"/>
        <v>21848.400000000001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f t="shared" si="98"/>
        <v>4426.8</v>
      </c>
      <c r="O168" s="38">
        <f t="shared" si="99"/>
        <v>4284</v>
      </c>
      <c r="P168" s="38">
        <f t="shared" si="100"/>
        <v>4426.8</v>
      </c>
      <c r="Q168" s="38">
        <f t="shared" si="101"/>
        <v>4284</v>
      </c>
      <c r="R168" s="146">
        <f t="shared" si="102"/>
        <v>4426.8</v>
      </c>
      <c r="S168" s="147">
        <f t="shared" si="103"/>
        <v>153</v>
      </c>
    </row>
    <row r="169" spans="1:20">
      <c r="A169" s="59"/>
      <c r="B169" s="134">
        <v>1</v>
      </c>
      <c r="C169" s="30" t="s">
        <v>44</v>
      </c>
      <c r="D169" s="31">
        <v>72.540000000000006</v>
      </c>
      <c r="E169" s="33">
        <v>4</v>
      </c>
      <c r="F169" s="137">
        <f t="shared" si="104"/>
        <v>61513.920000000006</v>
      </c>
      <c r="G169" s="138">
        <f>E169*D169*31</f>
        <v>8994.9600000000009</v>
      </c>
      <c r="H169" s="139">
        <f>E169*D169*28</f>
        <v>8124.4800000000005</v>
      </c>
      <c r="I169" s="138">
        <f>E169*D169*31</f>
        <v>8994.9600000000009</v>
      </c>
      <c r="J169" s="138">
        <f>E169*D169*30</f>
        <v>8704.8000000000011</v>
      </c>
      <c r="K169" s="47">
        <f>E169*D169*31</f>
        <v>8994.9600000000009</v>
      </c>
      <c r="L169" s="138">
        <f>E169*D169*30</f>
        <v>8704.8000000000011</v>
      </c>
      <c r="M169" s="138">
        <f>E169*D169*31</f>
        <v>8994.9600000000009</v>
      </c>
      <c r="N169" s="138">
        <v>0</v>
      </c>
      <c r="O169" s="138">
        <v>0</v>
      </c>
      <c r="P169" s="138">
        <v>0</v>
      </c>
      <c r="Q169" s="138">
        <v>0</v>
      </c>
      <c r="R169" s="140">
        <v>0</v>
      </c>
      <c r="S169" s="141">
        <v>212</v>
      </c>
    </row>
    <row r="170" spans="1:20">
      <c r="A170" s="59"/>
      <c r="B170" s="134">
        <v>2</v>
      </c>
      <c r="C170" s="30" t="s">
        <v>48</v>
      </c>
      <c r="D170" s="31">
        <v>71.400000000000006</v>
      </c>
      <c r="E170" s="33">
        <v>1</v>
      </c>
      <c r="F170" s="137">
        <f t="shared" si="104"/>
        <v>15136.800000000001</v>
      </c>
      <c r="G170" s="138">
        <f>E170*D170*31</f>
        <v>2213.4</v>
      </c>
      <c r="H170" s="139">
        <f>E170*D170*28</f>
        <v>1999.2000000000003</v>
      </c>
      <c r="I170" s="138">
        <f>E170*D170*31</f>
        <v>2213.4</v>
      </c>
      <c r="J170" s="138">
        <f>E170*D170*30</f>
        <v>2142</v>
      </c>
      <c r="K170" s="47">
        <f>E170*D170*31</f>
        <v>2213.4</v>
      </c>
      <c r="L170" s="138">
        <f>E170*D170*30</f>
        <v>2142</v>
      </c>
      <c r="M170" s="138">
        <f>E170*D170*31</f>
        <v>2213.4</v>
      </c>
      <c r="N170" s="138">
        <v>0</v>
      </c>
      <c r="O170" s="138">
        <v>0</v>
      </c>
      <c r="P170" s="138">
        <v>0</v>
      </c>
      <c r="Q170" s="138">
        <v>0</v>
      </c>
      <c r="R170" s="140">
        <v>0</v>
      </c>
      <c r="S170" s="141">
        <v>212</v>
      </c>
    </row>
    <row r="171" spans="1:20" s="13" customFormat="1">
      <c r="A171" s="190"/>
      <c r="B171" s="191">
        <v>3</v>
      </c>
      <c r="C171" s="30" t="s">
        <v>52</v>
      </c>
      <c r="D171" s="31">
        <v>72.540000000000006</v>
      </c>
      <c r="E171" s="33">
        <v>1</v>
      </c>
      <c r="F171" s="194">
        <f t="shared" si="104"/>
        <v>15378.480000000001</v>
      </c>
      <c r="G171" s="138">
        <f t="shared" ref="G171:G173" si="105">E171*D171*31</f>
        <v>2248.7400000000002</v>
      </c>
      <c r="H171" s="139">
        <f t="shared" ref="H171:H173" si="106">E171*D171*28</f>
        <v>2031.1200000000001</v>
      </c>
      <c r="I171" s="138">
        <f t="shared" ref="I171:I174" si="107">E171*D171*31</f>
        <v>2248.7400000000002</v>
      </c>
      <c r="J171" s="138">
        <f t="shared" ref="J171:J174" si="108">E171*D171*30</f>
        <v>2176.2000000000003</v>
      </c>
      <c r="K171" s="47">
        <f t="shared" ref="K171:K174" si="109">E171*D171*31</f>
        <v>2248.7400000000002</v>
      </c>
      <c r="L171" s="138">
        <f t="shared" ref="L171:L174" si="110">E171*D171*30</f>
        <v>2176.2000000000003</v>
      </c>
      <c r="M171" s="138">
        <f t="shared" ref="M171:M174" si="111">E171*D171*31</f>
        <v>2248.7400000000002</v>
      </c>
      <c r="N171" s="138">
        <v>0</v>
      </c>
      <c r="O171" s="138">
        <v>0</v>
      </c>
      <c r="P171" s="138">
        <v>0</v>
      </c>
      <c r="Q171" s="138">
        <v>0</v>
      </c>
      <c r="R171" s="140">
        <v>0</v>
      </c>
      <c r="S171" s="198">
        <v>212</v>
      </c>
      <c r="T171"/>
    </row>
    <row r="172" spans="1:20">
      <c r="A172" s="59"/>
      <c r="B172" s="134">
        <v>4</v>
      </c>
      <c r="C172" s="30" t="s">
        <v>32</v>
      </c>
      <c r="D172" s="31">
        <v>71.400000000000006</v>
      </c>
      <c r="E172" s="33">
        <v>9</v>
      </c>
      <c r="F172" s="137">
        <f t="shared" si="104"/>
        <v>136231.20000000001</v>
      </c>
      <c r="G172" s="138">
        <f t="shared" si="105"/>
        <v>19920.600000000002</v>
      </c>
      <c r="H172" s="139">
        <f t="shared" si="106"/>
        <v>17992.8</v>
      </c>
      <c r="I172" s="138">
        <f t="shared" si="107"/>
        <v>19920.600000000002</v>
      </c>
      <c r="J172" s="138">
        <f t="shared" si="108"/>
        <v>19278</v>
      </c>
      <c r="K172" s="47">
        <f t="shared" si="109"/>
        <v>19920.600000000002</v>
      </c>
      <c r="L172" s="138">
        <f t="shared" si="110"/>
        <v>19278</v>
      </c>
      <c r="M172" s="138">
        <f t="shared" si="111"/>
        <v>19920.600000000002</v>
      </c>
      <c r="N172" s="138">
        <v>0</v>
      </c>
      <c r="O172" s="138">
        <v>0</v>
      </c>
      <c r="P172" s="138">
        <v>0</v>
      </c>
      <c r="Q172" s="138">
        <v>0</v>
      </c>
      <c r="R172" s="140">
        <v>0</v>
      </c>
      <c r="S172" s="141">
        <v>212</v>
      </c>
    </row>
    <row r="173" spans="1:20">
      <c r="A173" s="59"/>
      <c r="B173" s="134">
        <v>5</v>
      </c>
      <c r="C173" s="30" t="s">
        <v>54</v>
      </c>
      <c r="D173" s="31">
        <v>71.400000000000006</v>
      </c>
      <c r="E173" s="33">
        <v>5</v>
      </c>
      <c r="F173" s="137">
        <f t="shared" si="104"/>
        <v>75684</v>
      </c>
      <c r="G173" s="138">
        <f t="shared" si="105"/>
        <v>11067</v>
      </c>
      <c r="H173" s="139">
        <f t="shared" si="106"/>
        <v>9996</v>
      </c>
      <c r="I173" s="138">
        <f t="shared" si="107"/>
        <v>11067</v>
      </c>
      <c r="J173" s="138">
        <f t="shared" si="108"/>
        <v>10710</v>
      </c>
      <c r="K173" s="47">
        <f t="shared" si="109"/>
        <v>11067</v>
      </c>
      <c r="L173" s="138">
        <f t="shared" si="110"/>
        <v>10710</v>
      </c>
      <c r="M173" s="138">
        <f t="shared" si="111"/>
        <v>11067</v>
      </c>
      <c r="N173" s="138">
        <v>0</v>
      </c>
      <c r="O173" s="138">
        <v>0</v>
      </c>
      <c r="P173" s="138">
        <v>0</v>
      </c>
      <c r="Q173" s="138">
        <v>0</v>
      </c>
      <c r="R173" s="140">
        <v>0</v>
      </c>
      <c r="S173" s="141">
        <v>212</v>
      </c>
    </row>
    <row r="174" spans="1:20">
      <c r="A174" s="59"/>
      <c r="B174" s="134">
        <v>5</v>
      </c>
      <c r="C174" s="30" t="s">
        <v>54</v>
      </c>
      <c r="D174" s="31">
        <v>71.400000000000006</v>
      </c>
      <c r="E174" s="33">
        <v>1</v>
      </c>
      <c r="F174" s="137">
        <f t="shared" si="104"/>
        <v>15136.800000000001</v>
      </c>
      <c r="G174" s="138">
        <v>0</v>
      </c>
      <c r="H174" s="139">
        <f>E174*D174*28+D174*E174*31</f>
        <v>4212.6000000000004</v>
      </c>
      <c r="I174" s="138">
        <f t="shared" si="107"/>
        <v>2213.4</v>
      </c>
      <c r="J174" s="138">
        <f t="shared" si="108"/>
        <v>2142</v>
      </c>
      <c r="K174" s="47">
        <f t="shared" si="109"/>
        <v>2213.4</v>
      </c>
      <c r="L174" s="138">
        <f t="shared" si="110"/>
        <v>2142</v>
      </c>
      <c r="M174" s="138">
        <f t="shared" si="111"/>
        <v>2213.4</v>
      </c>
      <c r="N174" s="138">
        <v>0</v>
      </c>
      <c r="O174" s="138">
        <v>0</v>
      </c>
      <c r="P174" s="138">
        <v>0</v>
      </c>
      <c r="Q174" s="138">
        <v>0</v>
      </c>
      <c r="R174" s="140">
        <v>0</v>
      </c>
      <c r="S174" s="141">
        <f>212</f>
        <v>212</v>
      </c>
    </row>
    <row r="175" spans="1:20">
      <c r="A175" s="59"/>
      <c r="B175" s="134">
        <v>6</v>
      </c>
      <c r="C175" s="135" t="s">
        <v>37</v>
      </c>
      <c r="D175" s="136">
        <v>80.86</v>
      </c>
      <c r="E175" s="32">
        <v>1</v>
      </c>
      <c r="F175" s="137">
        <f>+E175*S175*D175</f>
        <v>12209.86</v>
      </c>
      <c r="G175" s="138">
        <f>E175*D175*31</f>
        <v>2506.66</v>
      </c>
      <c r="H175" s="139">
        <f>E175*D175*28</f>
        <v>2264.08</v>
      </c>
      <c r="I175" s="138">
        <f>E175*D175*31</f>
        <v>2506.66</v>
      </c>
      <c r="J175" s="138">
        <f>E175*D175*30</f>
        <v>2425.8000000000002</v>
      </c>
      <c r="K175" s="47">
        <f>E175*D175*31</f>
        <v>2506.66</v>
      </c>
      <c r="L175" s="138">
        <v>0</v>
      </c>
      <c r="M175" s="138">
        <v>0</v>
      </c>
      <c r="N175" s="138">
        <v>0</v>
      </c>
      <c r="O175" s="138">
        <v>0</v>
      </c>
      <c r="P175" s="138">
        <v>0</v>
      </c>
      <c r="Q175" s="138">
        <v>0</v>
      </c>
      <c r="R175" s="140">
        <v>0</v>
      </c>
      <c r="S175" s="141">
        <f>212-30-31</f>
        <v>151</v>
      </c>
    </row>
    <row r="176" spans="1:20" s="148" customFormat="1">
      <c r="A176" s="142"/>
      <c r="B176" s="143">
        <v>1</v>
      </c>
      <c r="C176" s="39" t="s">
        <v>44</v>
      </c>
      <c r="D176" s="37">
        <v>72.540000000000006</v>
      </c>
      <c r="E176" s="41">
        <v>4</v>
      </c>
      <c r="F176" s="145">
        <f t="shared" ref="F176:F189" si="112">+E176*S176*D176</f>
        <v>44394.48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f t="shared" ref="N176:N181" si="113">+D176*E176*31</f>
        <v>8994.9600000000009</v>
      </c>
      <c r="O176" s="38">
        <f t="shared" ref="O176:O181" si="114">+D176*E176*30</f>
        <v>8704.8000000000011</v>
      </c>
      <c r="P176" s="38">
        <f t="shared" ref="P176:P181" si="115">+D176*E176*31</f>
        <v>8994.9600000000009</v>
      </c>
      <c r="Q176" s="38">
        <f t="shared" ref="Q176:Q181" si="116">+D176*E176*30</f>
        <v>8704.8000000000011</v>
      </c>
      <c r="R176" s="146">
        <f t="shared" ref="R176:R181" si="117">+D176*E176*31</f>
        <v>8994.9600000000009</v>
      </c>
      <c r="S176" s="147">
        <f t="shared" ref="S176:S181" si="118">31+30+31+30+31</f>
        <v>153</v>
      </c>
    </row>
    <row r="177" spans="1:19" s="148" customFormat="1">
      <c r="A177" s="142"/>
      <c r="B177" s="143">
        <v>2</v>
      </c>
      <c r="C177" s="39" t="s">
        <v>48</v>
      </c>
      <c r="D177" s="37">
        <v>71.400000000000006</v>
      </c>
      <c r="E177" s="41">
        <v>1</v>
      </c>
      <c r="F177" s="145">
        <f t="shared" si="112"/>
        <v>10924.2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f t="shared" si="113"/>
        <v>2213.4</v>
      </c>
      <c r="O177" s="38">
        <f t="shared" si="114"/>
        <v>2142</v>
      </c>
      <c r="P177" s="38">
        <f t="shared" si="115"/>
        <v>2213.4</v>
      </c>
      <c r="Q177" s="38">
        <f t="shared" si="116"/>
        <v>2142</v>
      </c>
      <c r="R177" s="146">
        <f t="shared" si="117"/>
        <v>2213.4</v>
      </c>
      <c r="S177" s="147">
        <f t="shared" si="118"/>
        <v>153</v>
      </c>
    </row>
    <row r="178" spans="1:19" s="148" customFormat="1">
      <c r="A178" s="142"/>
      <c r="B178" s="143">
        <v>3</v>
      </c>
      <c r="C178" s="39" t="s">
        <v>52</v>
      </c>
      <c r="D178" s="37">
        <v>72.540000000000006</v>
      </c>
      <c r="E178" s="41">
        <v>1</v>
      </c>
      <c r="F178" s="145">
        <f t="shared" si="112"/>
        <v>11098.62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f t="shared" si="113"/>
        <v>2248.7400000000002</v>
      </c>
      <c r="O178" s="38">
        <f t="shared" si="114"/>
        <v>2176.2000000000003</v>
      </c>
      <c r="P178" s="38">
        <f t="shared" si="115"/>
        <v>2248.7400000000002</v>
      </c>
      <c r="Q178" s="38">
        <f t="shared" si="116"/>
        <v>2176.2000000000003</v>
      </c>
      <c r="R178" s="146">
        <f t="shared" si="117"/>
        <v>2248.7400000000002</v>
      </c>
      <c r="S178" s="147">
        <f t="shared" si="118"/>
        <v>153</v>
      </c>
    </row>
    <row r="179" spans="1:19" s="148" customFormat="1">
      <c r="A179" s="142"/>
      <c r="B179" s="143">
        <v>4</v>
      </c>
      <c r="C179" s="39" t="s">
        <v>32</v>
      </c>
      <c r="D179" s="37">
        <v>71.400000000000006</v>
      </c>
      <c r="E179" s="41">
        <v>9</v>
      </c>
      <c r="F179" s="145">
        <f t="shared" si="112"/>
        <v>98317.8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f t="shared" si="113"/>
        <v>19920.600000000002</v>
      </c>
      <c r="O179" s="38">
        <f t="shared" si="114"/>
        <v>19278</v>
      </c>
      <c r="P179" s="38">
        <f t="shared" si="115"/>
        <v>19920.600000000002</v>
      </c>
      <c r="Q179" s="38">
        <f t="shared" si="116"/>
        <v>19278</v>
      </c>
      <c r="R179" s="146">
        <f t="shared" si="117"/>
        <v>19920.600000000002</v>
      </c>
      <c r="S179" s="147">
        <f t="shared" si="118"/>
        <v>153</v>
      </c>
    </row>
    <row r="180" spans="1:19" s="7" customFormat="1">
      <c r="A180" s="128"/>
      <c r="B180" s="129">
        <v>5</v>
      </c>
      <c r="C180" s="30" t="s">
        <v>54</v>
      </c>
      <c r="D180" s="31">
        <v>71.400000000000006</v>
      </c>
      <c r="E180" s="33">
        <v>1</v>
      </c>
      <c r="F180" s="130">
        <f t="shared" si="112"/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132">
        <v>0</v>
      </c>
      <c r="S180" s="133">
        <v>0</v>
      </c>
    </row>
    <row r="181" spans="1:19" s="148" customFormat="1">
      <c r="A181" s="142"/>
      <c r="B181" s="143">
        <v>5</v>
      </c>
      <c r="C181" s="39" t="s">
        <v>54</v>
      </c>
      <c r="D181" s="37">
        <v>71.400000000000006</v>
      </c>
      <c r="E181" s="41">
        <v>5</v>
      </c>
      <c r="F181" s="145">
        <f t="shared" si="112"/>
        <v>54621.000000000007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f t="shared" si="113"/>
        <v>11067</v>
      </c>
      <c r="O181" s="38">
        <f t="shared" si="114"/>
        <v>10710</v>
      </c>
      <c r="P181" s="38">
        <f t="shared" si="115"/>
        <v>11067</v>
      </c>
      <c r="Q181" s="38">
        <f t="shared" si="116"/>
        <v>10710</v>
      </c>
      <c r="R181" s="146">
        <f t="shared" si="117"/>
        <v>11067</v>
      </c>
      <c r="S181" s="147">
        <f t="shared" si="118"/>
        <v>153</v>
      </c>
    </row>
    <row r="182" spans="1:19">
      <c r="A182" s="59"/>
      <c r="B182" s="134">
        <v>1</v>
      </c>
      <c r="C182" s="135" t="s">
        <v>35</v>
      </c>
      <c r="D182" s="136">
        <v>71.400000000000006</v>
      </c>
      <c r="E182" s="252">
        <v>2</v>
      </c>
      <c r="F182" s="137">
        <f t="shared" si="112"/>
        <v>30273.600000000002</v>
      </c>
      <c r="G182" s="138">
        <f>E182*D182*31</f>
        <v>4426.8</v>
      </c>
      <c r="H182" s="139">
        <f>E182*D182*28</f>
        <v>3998.4000000000005</v>
      </c>
      <c r="I182" s="138">
        <f>E182*D182*31</f>
        <v>4426.8</v>
      </c>
      <c r="J182" s="138">
        <f>E182*D182*30</f>
        <v>4284</v>
      </c>
      <c r="K182" s="47">
        <f>E182*D182*31</f>
        <v>4426.8</v>
      </c>
      <c r="L182" s="138">
        <f>E182*D182*30</f>
        <v>4284</v>
      </c>
      <c r="M182" s="138">
        <f>E182*D182*31</f>
        <v>4426.8</v>
      </c>
      <c r="N182" s="138">
        <v>0</v>
      </c>
      <c r="O182" s="138">
        <v>0</v>
      </c>
      <c r="P182" s="138">
        <v>0</v>
      </c>
      <c r="Q182" s="138">
        <v>0</v>
      </c>
      <c r="R182" s="140">
        <v>0</v>
      </c>
      <c r="S182" s="141">
        <v>212</v>
      </c>
    </row>
    <row r="183" spans="1:19">
      <c r="A183" s="59"/>
      <c r="B183" s="134">
        <v>2</v>
      </c>
      <c r="C183" s="135" t="s">
        <v>32</v>
      </c>
      <c r="D183" s="136">
        <v>71.400000000000006</v>
      </c>
      <c r="E183" s="32">
        <v>1</v>
      </c>
      <c r="F183" s="137">
        <f t="shared" si="112"/>
        <v>15136.800000000001</v>
      </c>
      <c r="G183" s="138">
        <f>E183*D183*31</f>
        <v>2213.4</v>
      </c>
      <c r="H183" s="139">
        <f>E183*D183*28</f>
        <v>1999.2000000000003</v>
      </c>
      <c r="I183" s="138">
        <f>E183*D183*31</f>
        <v>2213.4</v>
      </c>
      <c r="J183" s="138">
        <f>E183*D183*30</f>
        <v>2142</v>
      </c>
      <c r="K183" s="47">
        <f>E183*D183*31</f>
        <v>2213.4</v>
      </c>
      <c r="L183" s="138">
        <f>E183*D183*30</f>
        <v>2142</v>
      </c>
      <c r="M183" s="138">
        <f>E183*D183*31</f>
        <v>2213.4</v>
      </c>
      <c r="N183" s="138">
        <v>0</v>
      </c>
      <c r="O183" s="138">
        <v>0</v>
      </c>
      <c r="P183" s="138">
        <v>0</v>
      </c>
      <c r="Q183" s="138">
        <v>0</v>
      </c>
      <c r="R183" s="140">
        <v>0</v>
      </c>
      <c r="S183" s="141">
        <v>212</v>
      </c>
    </row>
    <row r="184" spans="1:19">
      <c r="A184" s="59"/>
      <c r="B184" s="134">
        <v>5</v>
      </c>
      <c r="C184" s="192" t="s">
        <v>38</v>
      </c>
      <c r="D184" s="193">
        <v>71.400000000000006</v>
      </c>
      <c r="E184" s="32">
        <v>1</v>
      </c>
      <c r="F184" s="137">
        <f t="shared" si="112"/>
        <v>5283.6</v>
      </c>
      <c r="G184" s="138">
        <v>0</v>
      </c>
      <c r="H184" s="139">
        <f t="shared" ref="H184:H187" si="119">E184*D184*28+D184*E184*15</f>
        <v>3070.2000000000003</v>
      </c>
      <c r="I184" s="138">
        <f>E184*D184*31</f>
        <v>2213.4</v>
      </c>
      <c r="J184" s="138">
        <v>0</v>
      </c>
      <c r="K184" s="47">
        <v>0</v>
      </c>
      <c r="L184" s="138">
        <v>0</v>
      </c>
      <c r="M184" s="138">
        <v>0</v>
      </c>
      <c r="N184" s="138">
        <v>0</v>
      </c>
      <c r="O184" s="138">
        <v>0</v>
      </c>
      <c r="P184" s="138">
        <v>0</v>
      </c>
      <c r="Q184" s="138">
        <v>0</v>
      </c>
      <c r="R184" s="140">
        <v>0</v>
      </c>
      <c r="S184" s="141">
        <f>15+28+31</f>
        <v>74</v>
      </c>
    </row>
    <row r="185" spans="1:19" s="13" customFormat="1">
      <c r="A185" s="190"/>
      <c r="B185" s="191">
        <v>6</v>
      </c>
      <c r="C185" s="192" t="s">
        <v>38</v>
      </c>
      <c r="D185" s="193">
        <v>71.400000000000006</v>
      </c>
      <c r="E185" s="32">
        <v>1</v>
      </c>
      <c r="F185" s="194">
        <f t="shared" si="112"/>
        <v>6497.4000000000005</v>
      </c>
      <c r="G185" s="195">
        <v>0</v>
      </c>
      <c r="H185" s="196">
        <v>0</v>
      </c>
      <c r="I185" s="195">
        <v>0</v>
      </c>
      <c r="J185" s="195">
        <f>E185*D185*30</f>
        <v>2142</v>
      </c>
      <c r="K185" s="47">
        <f t="shared" ref="K185" si="120">E185*D185*31</f>
        <v>2213.4</v>
      </c>
      <c r="L185" s="195">
        <f t="shared" ref="L185" si="121">E185*D185*30</f>
        <v>2142</v>
      </c>
      <c r="M185" s="195">
        <v>0</v>
      </c>
      <c r="N185" s="195">
        <v>0</v>
      </c>
      <c r="O185" s="195">
        <v>0</v>
      </c>
      <c r="P185" s="195">
        <v>0</v>
      </c>
      <c r="Q185" s="195">
        <v>0</v>
      </c>
      <c r="R185" s="197">
        <v>0</v>
      </c>
      <c r="S185" s="198">
        <f>30+31+30</f>
        <v>91</v>
      </c>
    </row>
    <row r="186" spans="1:19" s="148" customFormat="1">
      <c r="A186" s="142"/>
      <c r="B186" s="143">
        <v>7</v>
      </c>
      <c r="C186" s="39" t="s">
        <v>38</v>
      </c>
      <c r="D186" s="37">
        <v>71.400000000000006</v>
      </c>
      <c r="E186" s="41">
        <v>1</v>
      </c>
      <c r="F186" s="145">
        <f t="shared" si="112"/>
        <v>6568.8</v>
      </c>
      <c r="G186" s="38">
        <v>0</v>
      </c>
      <c r="H186" s="153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f t="shared" ref="M186" si="122">E186*D186*31</f>
        <v>2213.4</v>
      </c>
      <c r="N186" s="38">
        <f>E186*D186*31</f>
        <v>2213.4</v>
      </c>
      <c r="O186" s="38">
        <f>E186*D186*30</f>
        <v>2142</v>
      </c>
      <c r="P186" s="38">
        <v>0</v>
      </c>
      <c r="Q186" s="38">
        <v>0</v>
      </c>
      <c r="R186" s="146">
        <v>0</v>
      </c>
      <c r="S186" s="147">
        <f>31+31+30</f>
        <v>92</v>
      </c>
    </row>
    <row r="187" spans="1:19" s="7" customFormat="1">
      <c r="A187" s="128"/>
      <c r="B187" s="129">
        <v>4</v>
      </c>
      <c r="C187" s="30" t="s">
        <v>54</v>
      </c>
      <c r="D187" s="31">
        <v>71.400000000000006</v>
      </c>
      <c r="E187" s="33">
        <v>1</v>
      </c>
      <c r="F187" s="130">
        <f t="shared" si="112"/>
        <v>5283.6</v>
      </c>
      <c r="G187" s="47">
        <v>0</v>
      </c>
      <c r="H187" s="131">
        <f t="shared" si="119"/>
        <v>3070.2000000000003</v>
      </c>
      <c r="I187" s="47">
        <f>E187*D187*31</f>
        <v>2213.4</v>
      </c>
      <c r="J187" s="47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132">
        <v>0</v>
      </c>
      <c r="S187" s="133">
        <f>15+28+31</f>
        <v>74</v>
      </c>
    </row>
    <row r="188" spans="1:19" s="7" customFormat="1">
      <c r="A188" s="128"/>
      <c r="B188" s="129">
        <v>8</v>
      </c>
      <c r="C188" s="30" t="s">
        <v>54</v>
      </c>
      <c r="D188" s="31">
        <v>71.400000000000006</v>
      </c>
      <c r="E188" s="33">
        <v>1</v>
      </c>
      <c r="F188" s="130">
        <f t="shared" si="112"/>
        <v>6497.4000000000005</v>
      </c>
      <c r="G188" s="47">
        <v>0</v>
      </c>
      <c r="H188" s="131">
        <v>0</v>
      </c>
      <c r="I188" s="47">
        <v>0</v>
      </c>
      <c r="J188" s="47">
        <f>E188*D188*30</f>
        <v>2142</v>
      </c>
      <c r="K188" s="47">
        <f t="shared" ref="K188" si="123">E188*D188*31</f>
        <v>2213.4</v>
      </c>
      <c r="L188" s="47">
        <f t="shared" ref="L188" si="124">E188*D188*30</f>
        <v>2142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132">
        <v>0</v>
      </c>
      <c r="S188" s="133">
        <f>30+31+30</f>
        <v>91</v>
      </c>
    </row>
    <row r="189" spans="1:19" s="148" customFormat="1">
      <c r="A189" s="142"/>
      <c r="B189" s="143">
        <v>9</v>
      </c>
      <c r="C189" s="39" t="s">
        <v>54</v>
      </c>
      <c r="D189" s="37">
        <v>71.400000000000006</v>
      </c>
      <c r="E189" s="41">
        <v>1</v>
      </c>
      <c r="F189" s="145">
        <f t="shared" si="112"/>
        <v>6568.8</v>
      </c>
      <c r="G189" s="38">
        <v>0</v>
      </c>
      <c r="H189" s="153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f t="shared" ref="M189" si="125">E189*D189*31</f>
        <v>2213.4</v>
      </c>
      <c r="N189" s="38">
        <f>E189*D189*31</f>
        <v>2213.4</v>
      </c>
      <c r="O189" s="38">
        <f>E189*D189*30</f>
        <v>2142</v>
      </c>
      <c r="P189" s="38">
        <v>0</v>
      </c>
      <c r="Q189" s="38">
        <v>0</v>
      </c>
      <c r="R189" s="146">
        <v>0</v>
      </c>
      <c r="S189" s="147">
        <f>31+31+30</f>
        <v>92</v>
      </c>
    </row>
    <row r="190" spans="1:19">
      <c r="A190" s="59"/>
      <c r="B190" s="134">
        <v>3</v>
      </c>
      <c r="C190" s="135" t="s">
        <v>54</v>
      </c>
      <c r="D190" s="136">
        <v>71.400000000000006</v>
      </c>
      <c r="E190" s="32">
        <v>13</v>
      </c>
      <c r="F190" s="137">
        <f>+E190*S190*D190</f>
        <v>196778.40000000002</v>
      </c>
      <c r="G190" s="138">
        <f>E190*D190*31</f>
        <v>28774.2</v>
      </c>
      <c r="H190" s="139">
        <f>E190*D190*28</f>
        <v>25989.600000000002</v>
      </c>
      <c r="I190" s="138">
        <f>E190*D190*31</f>
        <v>28774.2</v>
      </c>
      <c r="J190" s="138">
        <f>E190*D190*30</f>
        <v>27846</v>
      </c>
      <c r="K190" s="47">
        <f>E190*D190*31</f>
        <v>28774.2</v>
      </c>
      <c r="L190" s="138">
        <f>E190*D190*30</f>
        <v>27846</v>
      </c>
      <c r="M190" s="138">
        <f>E190*D190*31</f>
        <v>28774.2</v>
      </c>
      <c r="N190" s="138">
        <v>0</v>
      </c>
      <c r="O190" s="138">
        <v>0</v>
      </c>
      <c r="P190" s="138">
        <v>0</v>
      </c>
      <c r="Q190" s="138">
        <v>0</v>
      </c>
      <c r="R190" s="140">
        <v>0</v>
      </c>
      <c r="S190" s="141">
        <v>212</v>
      </c>
    </row>
    <row r="191" spans="1:19" s="148" customFormat="1">
      <c r="A191" s="142"/>
      <c r="B191" s="143">
        <v>1</v>
      </c>
      <c r="C191" s="39" t="s">
        <v>35</v>
      </c>
      <c r="D191" s="37">
        <v>71.400000000000006</v>
      </c>
      <c r="E191" s="265">
        <v>2</v>
      </c>
      <c r="F191" s="145">
        <f t="shared" ref="F191:F192" si="126">+E191*S191*D191</f>
        <v>21848.400000000001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f t="shared" ref="N191:N193" si="127">+D191*E191*31</f>
        <v>4426.8</v>
      </c>
      <c r="O191" s="38">
        <f t="shared" ref="O191:O193" si="128">+D191*E191*30</f>
        <v>4284</v>
      </c>
      <c r="P191" s="38">
        <f t="shared" ref="P191:P193" si="129">+D191*E191*31</f>
        <v>4426.8</v>
      </c>
      <c r="Q191" s="38">
        <f t="shared" ref="Q191:Q193" si="130">+D191*E191*30</f>
        <v>4284</v>
      </c>
      <c r="R191" s="146">
        <f t="shared" ref="R191:R193" si="131">+D191*E191*31</f>
        <v>4426.8</v>
      </c>
      <c r="S191" s="147">
        <f t="shared" ref="S191:S193" si="132">31+30+31+30+31</f>
        <v>153</v>
      </c>
    </row>
    <row r="192" spans="1:19" s="148" customFormat="1">
      <c r="A192" s="142"/>
      <c r="B192" s="143">
        <v>2</v>
      </c>
      <c r="C192" s="39" t="s">
        <v>32</v>
      </c>
      <c r="D192" s="37">
        <v>71.400000000000006</v>
      </c>
      <c r="E192" s="41">
        <v>1</v>
      </c>
      <c r="F192" s="145">
        <f t="shared" si="126"/>
        <v>10924.2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f t="shared" si="127"/>
        <v>2213.4</v>
      </c>
      <c r="O192" s="38">
        <f t="shared" si="128"/>
        <v>2142</v>
      </c>
      <c r="P192" s="38">
        <f t="shared" si="129"/>
        <v>2213.4</v>
      </c>
      <c r="Q192" s="38">
        <f t="shared" si="130"/>
        <v>2142</v>
      </c>
      <c r="R192" s="146">
        <f t="shared" si="131"/>
        <v>2213.4</v>
      </c>
      <c r="S192" s="147">
        <f t="shared" si="132"/>
        <v>153</v>
      </c>
    </row>
    <row r="193" spans="1:19" s="148" customFormat="1">
      <c r="A193" s="142"/>
      <c r="B193" s="143">
        <v>3</v>
      </c>
      <c r="C193" s="39" t="s">
        <v>54</v>
      </c>
      <c r="D193" s="37">
        <v>71.400000000000006</v>
      </c>
      <c r="E193" s="41">
        <v>13</v>
      </c>
      <c r="F193" s="145">
        <f>+E193*S193*D193</f>
        <v>142014.6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f t="shared" si="127"/>
        <v>28774.2</v>
      </c>
      <c r="O193" s="38">
        <f t="shared" si="128"/>
        <v>27846</v>
      </c>
      <c r="P193" s="38">
        <f t="shared" si="129"/>
        <v>28774.2</v>
      </c>
      <c r="Q193" s="38">
        <f t="shared" si="130"/>
        <v>27846</v>
      </c>
      <c r="R193" s="146">
        <f t="shared" si="131"/>
        <v>28774.2</v>
      </c>
      <c r="S193" s="147">
        <f t="shared" si="132"/>
        <v>153</v>
      </c>
    </row>
    <row r="194" spans="1:19">
      <c r="A194" s="59"/>
      <c r="B194" s="134">
        <v>1</v>
      </c>
      <c r="C194" s="135" t="s">
        <v>47</v>
      </c>
      <c r="D194" s="136">
        <v>74.63</v>
      </c>
      <c r="E194" s="32">
        <v>2</v>
      </c>
      <c r="F194" s="137">
        <f t="shared" ref="F194:F215" si="133">+E194*S194*D194</f>
        <v>31643.119999999999</v>
      </c>
      <c r="G194" s="138">
        <f>E194*D194*31</f>
        <v>4627.0599999999995</v>
      </c>
      <c r="H194" s="139">
        <f>E194*D194*28</f>
        <v>4179.28</v>
      </c>
      <c r="I194" s="138">
        <f>E194*D194*31</f>
        <v>4627.0599999999995</v>
      </c>
      <c r="J194" s="138">
        <f>E194*D194*30</f>
        <v>4477.7999999999993</v>
      </c>
      <c r="K194" s="47">
        <f>E194*D194*31</f>
        <v>4627.0599999999995</v>
      </c>
      <c r="L194" s="138">
        <f>E194*D194*30</f>
        <v>4477.7999999999993</v>
      </c>
      <c r="M194" s="138">
        <f>E194*D194*31</f>
        <v>4627.0599999999995</v>
      </c>
      <c r="N194" s="138">
        <v>0</v>
      </c>
      <c r="O194" s="138">
        <v>0</v>
      </c>
      <c r="P194" s="138">
        <v>0</v>
      </c>
      <c r="Q194" s="138">
        <v>0</v>
      </c>
      <c r="R194" s="140">
        <v>0</v>
      </c>
      <c r="S194" s="141">
        <v>212</v>
      </c>
    </row>
    <row r="195" spans="1:19">
      <c r="A195" s="59"/>
      <c r="B195" s="134">
        <v>2</v>
      </c>
      <c r="C195" s="135" t="s">
        <v>35</v>
      </c>
      <c r="D195" s="136">
        <v>71.400000000000006</v>
      </c>
      <c r="E195" s="32">
        <v>1</v>
      </c>
      <c r="F195" s="137">
        <f t="shared" si="133"/>
        <v>15136.800000000001</v>
      </c>
      <c r="G195" s="138">
        <f>E195*D195*31</f>
        <v>2213.4</v>
      </c>
      <c r="H195" s="139">
        <f>E195*D195*28</f>
        <v>1999.2000000000003</v>
      </c>
      <c r="I195" s="138">
        <f>E195*D195*31</f>
        <v>2213.4</v>
      </c>
      <c r="J195" s="138">
        <f>E195*D195*30</f>
        <v>2142</v>
      </c>
      <c r="K195" s="47">
        <f>E195*D195*31</f>
        <v>2213.4</v>
      </c>
      <c r="L195" s="138">
        <f>E195*D195*30</f>
        <v>2142</v>
      </c>
      <c r="M195" s="138">
        <f>E195*D195*31</f>
        <v>2213.4</v>
      </c>
      <c r="N195" s="138">
        <v>0</v>
      </c>
      <c r="O195" s="138">
        <v>0</v>
      </c>
      <c r="P195" s="138">
        <v>0</v>
      </c>
      <c r="Q195" s="138">
        <v>0</v>
      </c>
      <c r="R195" s="140">
        <v>0</v>
      </c>
      <c r="S195" s="141">
        <v>212</v>
      </c>
    </row>
    <row r="196" spans="1:19">
      <c r="A196" s="59"/>
      <c r="B196" s="134">
        <v>3</v>
      </c>
      <c r="C196" s="135" t="s">
        <v>32</v>
      </c>
      <c r="D196" s="136">
        <v>71.400000000000006</v>
      </c>
      <c r="E196" s="32">
        <v>1</v>
      </c>
      <c r="F196" s="137">
        <f t="shared" si="133"/>
        <v>15136.800000000001</v>
      </c>
      <c r="G196" s="138">
        <f>E196*D196*31</f>
        <v>2213.4</v>
      </c>
      <c r="H196" s="139">
        <f>E196*D196*28</f>
        <v>1999.2000000000003</v>
      </c>
      <c r="I196" s="138">
        <f>E196*D196*31</f>
        <v>2213.4</v>
      </c>
      <c r="J196" s="138">
        <f>E196*D196*30</f>
        <v>2142</v>
      </c>
      <c r="K196" s="47">
        <f>E196*D196*31</f>
        <v>2213.4</v>
      </c>
      <c r="L196" s="138">
        <f>E196*D196*30</f>
        <v>2142</v>
      </c>
      <c r="M196" s="138">
        <f>E196*D196*31</f>
        <v>2213.4</v>
      </c>
      <c r="N196" s="138">
        <v>0</v>
      </c>
      <c r="O196" s="138">
        <v>0</v>
      </c>
      <c r="P196" s="138">
        <v>0</v>
      </c>
      <c r="Q196" s="138">
        <v>0</v>
      </c>
      <c r="R196" s="140">
        <v>0</v>
      </c>
      <c r="S196" s="141">
        <v>212</v>
      </c>
    </row>
    <row r="197" spans="1:19">
      <c r="A197" s="59"/>
      <c r="B197" s="134">
        <v>4</v>
      </c>
      <c r="C197" s="135" t="s">
        <v>54</v>
      </c>
      <c r="D197" s="136">
        <v>71.400000000000006</v>
      </c>
      <c r="E197" s="32">
        <v>13</v>
      </c>
      <c r="F197" s="137">
        <f t="shared" si="133"/>
        <v>196778.40000000002</v>
      </c>
      <c r="G197" s="138">
        <f>E197*D197*31</f>
        <v>28774.2</v>
      </c>
      <c r="H197" s="139">
        <f>E197*D197*28</f>
        <v>25989.600000000002</v>
      </c>
      <c r="I197" s="138">
        <f>E197*D197*31</f>
        <v>28774.2</v>
      </c>
      <c r="J197" s="138">
        <f>E197*D197*30</f>
        <v>27846</v>
      </c>
      <c r="K197" s="47">
        <f>E197*D197*31</f>
        <v>28774.2</v>
      </c>
      <c r="L197" s="138">
        <f>E197*D197*30</f>
        <v>27846</v>
      </c>
      <c r="M197" s="138">
        <f>E197*D197*31</f>
        <v>28774.2</v>
      </c>
      <c r="N197" s="138">
        <v>0</v>
      </c>
      <c r="O197" s="138">
        <v>0</v>
      </c>
      <c r="P197" s="138">
        <v>0</v>
      </c>
      <c r="Q197" s="138">
        <v>0</v>
      </c>
      <c r="R197" s="140">
        <v>0</v>
      </c>
      <c r="S197" s="141">
        <v>212</v>
      </c>
    </row>
    <row r="198" spans="1:19" s="148" customFormat="1">
      <c r="A198" s="142"/>
      <c r="B198" s="143">
        <v>1</v>
      </c>
      <c r="C198" s="39" t="s">
        <v>47</v>
      </c>
      <c r="D198" s="37">
        <v>74.63</v>
      </c>
      <c r="E198" s="41">
        <v>2</v>
      </c>
      <c r="F198" s="145">
        <f t="shared" si="133"/>
        <v>22836.78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f t="shared" ref="N198:N201" si="134">+D198*E198*31</f>
        <v>4627.0599999999995</v>
      </c>
      <c r="O198" s="38">
        <f t="shared" ref="O198:O201" si="135">+D198*E198*30</f>
        <v>4477.7999999999993</v>
      </c>
      <c r="P198" s="38">
        <f t="shared" ref="P198:P201" si="136">+D198*E198*31</f>
        <v>4627.0599999999995</v>
      </c>
      <c r="Q198" s="38">
        <f t="shared" ref="Q198:Q201" si="137">+D198*E198*30</f>
        <v>4477.7999999999993</v>
      </c>
      <c r="R198" s="146">
        <f t="shared" ref="R198:R201" si="138">+D198*E198*31</f>
        <v>4627.0599999999995</v>
      </c>
      <c r="S198" s="147">
        <f t="shared" ref="S198:S201" si="139">31+30+31+30+31</f>
        <v>153</v>
      </c>
    </row>
    <row r="199" spans="1:19" s="7" customFormat="1">
      <c r="A199" s="128"/>
      <c r="B199" s="129">
        <v>2</v>
      </c>
      <c r="C199" s="30" t="s">
        <v>35</v>
      </c>
      <c r="D199" s="31">
        <v>71.400000000000006</v>
      </c>
      <c r="E199" s="33">
        <v>1</v>
      </c>
      <c r="F199" s="130">
        <f t="shared" si="133"/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132">
        <v>0</v>
      </c>
      <c r="S199" s="133">
        <v>0</v>
      </c>
    </row>
    <row r="200" spans="1:19" s="148" customFormat="1">
      <c r="A200" s="142"/>
      <c r="B200" s="143">
        <v>3</v>
      </c>
      <c r="C200" s="39" t="s">
        <v>32</v>
      </c>
      <c r="D200" s="37">
        <v>71.400000000000006</v>
      </c>
      <c r="E200" s="41">
        <v>1</v>
      </c>
      <c r="F200" s="145">
        <f t="shared" si="133"/>
        <v>10924.2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f t="shared" si="134"/>
        <v>2213.4</v>
      </c>
      <c r="O200" s="38">
        <f t="shared" si="135"/>
        <v>2142</v>
      </c>
      <c r="P200" s="38">
        <f t="shared" si="136"/>
        <v>2213.4</v>
      </c>
      <c r="Q200" s="38">
        <f t="shared" si="137"/>
        <v>2142</v>
      </c>
      <c r="R200" s="146">
        <f t="shared" si="138"/>
        <v>2213.4</v>
      </c>
      <c r="S200" s="147">
        <f t="shared" si="139"/>
        <v>153</v>
      </c>
    </row>
    <row r="201" spans="1:19" s="148" customFormat="1">
      <c r="A201" s="142"/>
      <c r="B201" s="143">
        <v>4</v>
      </c>
      <c r="C201" s="39" t="s">
        <v>54</v>
      </c>
      <c r="D201" s="37">
        <v>71.400000000000006</v>
      </c>
      <c r="E201" s="41">
        <v>13</v>
      </c>
      <c r="F201" s="145">
        <f t="shared" si="133"/>
        <v>142014.6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f t="shared" si="134"/>
        <v>28774.2</v>
      </c>
      <c r="O201" s="38">
        <f t="shared" si="135"/>
        <v>27846</v>
      </c>
      <c r="P201" s="38">
        <f t="shared" si="136"/>
        <v>28774.2</v>
      </c>
      <c r="Q201" s="38">
        <f t="shared" si="137"/>
        <v>27846</v>
      </c>
      <c r="R201" s="146">
        <f t="shared" si="138"/>
        <v>28774.2</v>
      </c>
      <c r="S201" s="147">
        <f t="shared" si="139"/>
        <v>153</v>
      </c>
    </row>
    <row r="202" spans="1:19">
      <c r="A202" s="59"/>
      <c r="B202" s="134">
        <v>1</v>
      </c>
      <c r="C202" s="135" t="s">
        <v>35</v>
      </c>
      <c r="D202" s="136">
        <v>71.400000000000006</v>
      </c>
      <c r="E202" s="32">
        <v>1</v>
      </c>
      <c r="F202" s="137">
        <f t="shared" si="133"/>
        <v>15136.800000000001</v>
      </c>
      <c r="G202" s="138">
        <f>E202*D202*31</f>
        <v>2213.4</v>
      </c>
      <c r="H202" s="139">
        <f>E202*D202*28</f>
        <v>1999.2000000000003</v>
      </c>
      <c r="I202" s="138">
        <f>E202*D202*31</f>
        <v>2213.4</v>
      </c>
      <c r="J202" s="138">
        <f>E202*D202*30</f>
        <v>2142</v>
      </c>
      <c r="K202" s="47">
        <f>E202*D202*31</f>
        <v>2213.4</v>
      </c>
      <c r="L202" s="138">
        <f>E202*D202*30</f>
        <v>2142</v>
      </c>
      <c r="M202" s="138">
        <f>E202*D202*31</f>
        <v>2213.4</v>
      </c>
      <c r="N202" s="138">
        <v>0</v>
      </c>
      <c r="O202" s="138">
        <v>0</v>
      </c>
      <c r="P202" s="138">
        <v>0</v>
      </c>
      <c r="Q202" s="138">
        <v>0</v>
      </c>
      <c r="R202" s="140">
        <v>0</v>
      </c>
      <c r="S202" s="141">
        <v>212</v>
      </c>
    </row>
    <row r="203" spans="1:19">
      <c r="A203" s="59"/>
      <c r="B203" s="134">
        <v>3</v>
      </c>
      <c r="C203" s="135" t="s">
        <v>54</v>
      </c>
      <c r="D203" s="136">
        <v>71.400000000000006</v>
      </c>
      <c r="E203" s="32">
        <v>1</v>
      </c>
      <c r="F203" s="137">
        <f t="shared" si="133"/>
        <v>5283.6</v>
      </c>
      <c r="G203" s="138">
        <v>0</v>
      </c>
      <c r="H203" s="139">
        <f>E203*D203*28+D203*E203*15</f>
        <v>3070.2000000000003</v>
      </c>
      <c r="I203" s="138">
        <f>E203*D203*31</f>
        <v>2213.4</v>
      </c>
      <c r="J203" s="138">
        <v>0</v>
      </c>
      <c r="K203" s="47">
        <v>0</v>
      </c>
      <c r="L203" s="138">
        <v>0</v>
      </c>
      <c r="M203" s="138">
        <v>0</v>
      </c>
      <c r="N203" s="138">
        <v>0</v>
      </c>
      <c r="O203" s="138">
        <v>0</v>
      </c>
      <c r="P203" s="138">
        <v>0</v>
      </c>
      <c r="Q203" s="138">
        <v>0</v>
      </c>
      <c r="R203" s="140">
        <v>0</v>
      </c>
      <c r="S203" s="141">
        <f>15+28+31</f>
        <v>74</v>
      </c>
    </row>
    <row r="204" spans="1:19" s="13" customFormat="1">
      <c r="A204" s="190"/>
      <c r="B204" s="191">
        <v>4</v>
      </c>
      <c r="C204" s="192" t="s">
        <v>54</v>
      </c>
      <c r="D204" s="193">
        <v>71.400000000000006</v>
      </c>
      <c r="E204" s="32">
        <v>1</v>
      </c>
      <c r="F204" s="194">
        <f t="shared" si="133"/>
        <v>6497.4000000000005</v>
      </c>
      <c r="G204" s="195">
        <v>0</v>
      </c>
      <c r="H204" s="196">
        <v>0</v>
      </c>
      <c r="I204" s="195">
        <v>0</v>
      </c>
      <c r="J204" s="195">
        <f>E204*D204*30</f>
        <v>2142</v>
      </c>
      <c r="K204" s="47">
        <f t="shared" ref="K204" si="140">E204*D204*31</f>
        <v>2213.4</v>
      </c>
      <c r="L204" s="195">
        <f t="shared" ref="L204" si="141">E204*D204*30</f>
        <v>2142</v>
      </c>
      <c r="M204" s="195">
        <v>0</v>
      </c>
      <c r="N204" s="195">
        <v>0</v>
      </c>
      <c r="O204" s="195">
        <v>0</v>
      </c>
      <c r="P204" s="195">
        <v>0</v>
      </c>
      <c r="Q204" s="195">
        <v>0</v>
      </c>
      <c r="R204" s="197">
        <v>0</v>
      </c>
      <c r="S204" s="198">
        <f>30+31+30</f>
        <v>91</v>
      </c>
    </row>
    <row r="205" spans="1:19">
      <c r="A205" s="59"/>
      <c r="B205" s="134">
        <v>2</v>
      </c>
      <c r="C205" s="135" t="s">
        <v>54</v>
      </c>
      <c r="D205" s="136">
        <v>71.400000000000006</v>
      </c>
      <c r="E205" s="32">
        <v>8</v>
      </c>
      <c r="F205" s="137">
        <f t="shared" si="133"/>
        <v>121094.40000000001</v>
      </c>
      <c r="G205" s="138">
        <f>E205*D205*31</f>
        <v>17707.2</v>
      </c>
      <c r="H205" s="139">
        <f>E205*D205*28</f>
        <v>15993.600000000002</v>
      </c>
      <c r="I205" s="138">
        <f>E205*D205*31</f>
        <v>17707.2</v>
      </c>
      <c r="J205" s="138">
        <f>E205*D205*30</f>
        <v>17136</v>
      </c>
      <c r="K205" s="47">
        <f>E205*D205*31</f>
        <v>17707.2</v>
      </c>
      <c r="L205" s="138">
        <f>E205*D205*30</f>
        <v>17136</v>
      </c>
      <c r="M205" s="138">
        <f>E205*D205*31</f>
        <v>17707.2</v>
      </c>
      <c r="N205" s="138">
        <v>0</v>
      </c>
      <c r="O205" s="138">
        <v>0</v>
      </c>
      <c r="P205" s="138">
        <v>0</v>
      </c>
      <c r="Q205" s="138">
        <v>0</v>
      </c>
      <c r="R205" s="140">
        <v>0</v>
      </c>
      <c r="S205" s="141">
        <v>212</v>
      </c>
    </row>
    <row r="206" spans="1:19" s="148" customFormat="1">
      <c r="A206" s="142"/>
      <c r="B206" s="143">
        <v>5</v>
      </c>
      <c r="C206" s="39" t="s">
        <v>54</v>
      </c>
      <c r="D206" s="37">
        <v>71.400000000000006</v>
      </c>
      <c r="E206" s="41">
        <v>1</v>
      </c>
      <c r="F206" s="145">
        <f t="shared" si="133"/>
        <v>6568.8</v>
      </c>
      <c r="G206" s="38">
        <v>0</v>
      </c>
      <c r="H206" s="153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f t="shared" ref="M206" si="142">E206*D206*31</f>
        <v>2213.4</v>
      </c>
      <c r="N206" s="38">
        <f>E206*D206*31</f>
        <v>2213.4</v>
      </c>
      <c r="O206" s="38">
        <f>E206*D206*30</f>
        <v>2142</v>
      </c>
      <c r="P206" s="38">
        <v>0</v>
      </c>
      <c r="Q206" s="38">
        <v>0</v>
      </c>
      <c r="R206" s="146">
        <v>0</v>
      </c>
      <c r="S206" s="147">
        <f>31+31+30</f>
        <v>92</v>
      </c>
    </row>
    <row r="207" spans="1:19" s="148" customFormat="1">
      <c r="A207" s="142"/>
      <c r="B207" s="143">
        <v>5</v>
      </c>
      <c r="C207" s="39" t="s">
        <v>35</v>
      </c>
      <c r="D207" s="37">
        <v>71.400000000000006</v>
      </c>
      <c r="E207" s="41">
        <v>1</v>
      </c>
      <c r="F207" s="145">
        <f t="shared" si="133"/>
        <v>6568.8</v>
      </c>
      <c r="G207" s="38">
        <v>0</v>
      </c>
      <c r="H207" s="153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f>+D207*E207*62</f>
        <v>4426.8</v>
      </c>
      <c r="O207" s="38">
        <f>E207*D207*30</f>
        <v>2142</v>
      </c>
      <c r="P207" s="38">
        <v>0</v>
      </c>
      <c r="Q207" s="38">
        <v>0</v>
      </c>
      <c r="R207" s="146">
        <v>0</v>
      </c>
      <c r="S207" s="147">
        <f>31+31+30</f>
        <v>92</v>
      </c>
    </row>
    <row r="208" spans="1:19" s="148" customFormat="1">
      <c r="A208" s="142"/>
      <c r="B208" s="143">
        <v>1</v>
      </c>
      <c r="C208" s="39" t="s">
        <v>35</v>
      </c>
      <c r="D208" s="37">
        <v>71.400000000000006</v>
      </c>
      <c r="E208" s="41">
        <v>1</v>
      </c>
      <c r="F208" s="145">
        <f t="shared" si="133"/>
        <v>10924.2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f t="shared" ref="N208:N209" si="143">+D208*E208*31</f>
        <v>2213.4</v>
      </c>
      <c r="O208" s="38">
        <f t="shared" ref="O208:O209" si="144">+D208*E208*30</f>
        <v>2142</v>
      </c>
      <c r="P208" s="38">
        <f t="shared" ref="P208:P209" si="145">+D208*E208*31</f>
        <v>2213.4</v>
      </c>
      <c r="Q208" s="38">
        <f t="shared" ref="Q208:Q209" si="146">+D208*E208*30</f>
        <v>2142</v>
      </c>
      <c r="R208" s="146">
        <f t="shared" ref="R208:R209" si="147">+D208*E208*31</f>
        <v>2213.4</v>
      </c>
      <c r="S208" s="147">
        <f t="shared" ref="S208:S209" si="148">31+30+31+30+31</f>
        <v>153</v>
      </c>
    </row>
    <row r="209" spans="1:20" s="148" customFormat="1">
      <c r="A209" s="142"/>
      <c r="B209" s="143">
        <v>2</v>
      </c>
      <c r="C209" s="39" t="s">
        <v>54</v>
      </c>
      <c r="D209" s="37">
        <v>71.400000000000006</v>
      </c>
      <c r="E209" s="41">
        <v>8</v>
      </c>
      <c r="F209" s="145">
        <f t="shared" si="133"/>
        <v>87393.600000000006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f t="shared" si="143"/>
        <v>17707.2</v>
      </c>
      <c r="O209" s="38">
        <f t="shared" si="144"/>
        <v>17136</v>
      </c>
      <c r="P209" s="38">
        <f t="shared" si="145"/>
        <v>17707.2</v>
      </c>
      <c r="Q209" s="38">
        <f t="shared" si="146"/>
        <v>17136</v>
      </c>
      <c r="R209" s="146">
        <f t="shared" si="147"/>
        <v>17707.2</v>
      </c>
      <c r="S209" s="147">
        <f t="shared" si="148"/>
        <v>153</v>
      </c>
    </row>
    <row r="210" spans="1:20">
      <c r="A210" s="59"/>
      <c r="B210" s="134">
        <v>1</v>
      </c>
      <c r="C210" s="135" t="s">
        <v>35</v>
      </c>
      <c r="D210" s="136">
        <v>71.400000000000006</v>
      </c>
      <c r="E210" s="32">
        <v>1</v>
      </c>
      <c r="F210" s="137">
        <f t="shared" si="133"/>
        <v>15136.800000000001</v>
      </c>
      <c r="G210" s="138">
        <f>E210*D210*31</f>
        <v>2213.4</v>
      </c>
      <c r="H210" s="139">
        <f>E210*D210*28</f>
        <v>1999.2000000000003</v>
      </c>
      <c r="I210" s="290">
        <f>E210*D210*31</f>
        <v>2213.4</v>
      </c>
      <c r="J210" s="138">
        <f>E210*D210*30</f>
        <v>2142</v>
      </c>
      <c r="K210" s="47">
        <f>E210*D210*31</f>
        <v>2213.4</v>
      </c>
      <c r="L210" s="138">
        <f>E210*D210*30</f>
        <v>2142</v>
      </c>
      <c r="M210" s="138">
        <f>E210*D210*31</f>
        <v>2213.4</v>
      </c>
      <c r="N210" s="138">
        <v>0</v>
      </c>
      <c r="O210" s="138">
        <v>0</v>
      </c>
      <c r="P210" s="138">
        <v>0</v>
      </c>
      <c r="Q210" s="138">
        <v>0</v>
      </c>
      <c r="R210" s="140">
        <v>0</v>
      </c>
      <c r="S210" s="141">
        <v>212</v>
      </c>
    </row>
    <row r="211" spans="1:20">
      <c r="A211" s="59"/>
      <c r="B211" s="134">
        <v>2</v>
      </c>
      <c r="C211" s="135" t="s">
        <v>54</v>
      </c>
      <c r="D211" s="136">
        <v>71.400000000000006</v>
      </c>
      <c r="E211" s="32">
        <v>23</v>
      </c>
      <c r="F211" s="137">
        <f t="shared" si="133"/>
        <v>348146.4</v>
      </c>
      <c r="G211" s="138">
        <f>E211*D211*31</f>
        <v>50908.200000000004</v>
      </c>
      <c r="H211" s="139">
        <f>E211*D211*28</f>
        <v>45981.599999999999</v>
      </c>
      <c r="I211" s="290">
        <f>E211*D211*31</f>
        <v>50908.200000000004</v>
      </c>
      <c r="J211" s="138">
        <f>E211*D211*30</f>
        <v>49266</v>
      </c>
      <c r="K211" s="47">
        <f>E211*D211*31</f>
        <v>50908.200000000004</v>
      </c>
      <c r="L211" s="138">
        <f>E211*D211*30</f>
        <v>49266</v>
      </c>
      <c r="M211" s="138">
        <f>E211*D211*31</f>
        <v>50908.200000000004</v>
      </c>
      <c r="N211" s="138">
        <v>0</v>
      </c>
      <c r="O211" s="138">
        <v>0</v>
      </c>
      <c r="P211" s="138">
        <v>0</v>
      </c>
      <c r="Q211" s="138">
        <v>0</v>
      </c>
      <c r="R211" s="140">
        <v>0</v>
      </c>
      <c r="S211" s="141">
        <v>212</v>
      </c>
    </row>
    <row r="212" spans="1:20">
      <c r="A212" s="59"/>
      <c r="B212" s="134">
        <v>3</v>
      </c>
      <c r="C212" s="135" t="s">
        <v>37</v>
      </c>
      <c r="D212" s="136">
        <v>80.86</v>
      </c>
      <c r="E212" s="32">
        <v>1</v>
      </c>
      <c r="F212" s="137">
        <f t="shared" si="133"/>
        <v>17142.32</v>
      </c>
      <c r="G212" s="138">
        <f>E212*D212*31</f>
        <v>2506.66</v>
      </c>
      <c r="H212" s="139">
        <f>E212*D212*28</f>
        <v>2264.08</v>
      </c>
      <c r="I212" s="290">
        <f>E212*D212*31</f>
        <v>2506.66</v>
      </c>
      <c r="J212" s="138">
        <f>E212*D212*30</f>
        <v>2425.8000000000002</v>
      </c>
      <c r="K212" s="47">
        <f>E212*D212*31</f>
        <v>2506.66</v>
      </c>
      <c r="L212" s="138">
        <f>E212*D212*30</f>
        <v>2425.8000000000002</v>
      </c>
      <c r="M212" s="138">
        <f>E212*D212*31</f>
        <v>2506.66</v>
      </c>
      <c r="N212" s="138">
        <v>0</v>
      </c>
      <c r="O212" s="138">
        <v>0</v>
      </c>
      <c r="P212" s="138">
        <v>0</v>
      </c>
      <c r="Q212" s="138">
        <v>0</v>
      </c>
      <c r="R212" s="140">
        <v>0</v>
      </c>
      <c r="S212" s="141">
        <v>212</v>
      </c>
    </row>
    <row r="213" spans="1:20" s="148" customFormat="1">
      <c r="A213" s="142"/>
      <c r="B213" s="143">
        <v>1</v>
      </c>
      <c r="C213" s="39" t="s">
        <v>35</v>
      </c>
      <c r="D213" s="37">
        <v>71.400000000000006</v>
      </c>
      <c r="E213" s="41">
        <v>1</v>
      </c>
      <c r="F213" s="145">
        <f t="shared" si="133"/>
        <v>4355.4000000000005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f t="shared" ref="N213:N215" si="149">+D213*E213*31</f>
        <v>2213.4</v>
      </c>
      <c r="O213" s="38">
        <f t="shared" ref="O213:O215" si="150">+D213*E213*30</f>
        <v>2142</v>
      </c>
      <c r="P213" s="38">
        <v>0</v>
      </c>
      <c r="Q213" s="38">
        <v>0</v>
      </c>
      <c r="R213" s="146">
        <v>0</v>
      </c>
      <c r="S213" s="147">
        <f>31+30</f>
        <v>61</v>
      </c>
    </row>
    <row r="214" spans="1:20" s="148" customFormat="1">
      <c r="A214" s="142"/>
      <c r="B214" s="143">
        <v>2</v>
      </c>
      <c r="C214" s="39" t="s">
        <v>54</v>
      </c>
      <c r="D214" s="37">
        <v>71.400000000000006</v>
      </c>
      <c r="E214" s="41">
        <v>23</v>
      </c>
      <c r="F214" s="145">
        <f t="shared" si="133"/>
        <v>251256.6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f t="shared" si="149"/>
        <v>50908.200000000004</v>
      </c>
      <c r="O214" s="38">
        <f t="shared" si="150"/>
        <v>49266</v>
      </c>
      <c r="P214" s="38">
        <f t="shared" ref="P214:P215" si="151">+D214*E214*31</f>
        <v>50908.200000000004</v>
      </c>
      <c r="Q214" s="38">
        <f t="shared" ref="Q214:Q215" si="152">+D214*E214*30</f>
        <v>49266</v>
      </c>
      <c r="R214" s="146">
        <f t="shared" ref="R214:R215" si="153">+D214*E214*31</f>
        <v>50908.200000000004</v>
      </c>
      <c r="S214" s="147">
        <f t="shared" ref="S214:S215" si="154">31+30+31+30+31</f>
        <v>153</v>
      </c>
    </row>
    <row r="215" spans="1:20" s="148" customFormat="1">
      <c r="A215" s="142"/>
      <c r="B215" s="143">
        <v>3</v>
      </c>
      <c r="C215" s="39" t="s">
        <v>37</v>
      </c>
      <c r="D215" s="37">
        <v>80.86</v>
      </c>
      <c r="E215" s="41">
        <v>1</v>
      </c>
      <c r="F215" s="145">
        <f t="shared" si="133"/>
        <v>12371.58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f t="shared" si="149"/>
        <v>2506.66</v>
      </c>
      <c r="O215" s="38">
        <f t="shared" si="150"/>
        <v>2425.8000000000002</v>
      </c>
      <c r="P215" s="38">
        <f t="shared" si="151"/>
        <v>2506.66</v>
      </c>
      <c r="Q215" s="38">
        <f t="shared" si="152"/>
        <v>2425.8000000000002</v>
      </c>
      <c r="R215" s="146">
        <f t="shared" si="153"/>
        <v>2506.66</v>
      </c>
      <c r="S215" s="147">
        <f t="shared" si="154"/>
        <v>153</v>
      </c>
    </row>
    <row r="216" spans="1:20">
      <c r="A216" s="59"/>
      <c r="B216" s="134">
        <v>1</v>
      </c>
      <c r="C216" s="135" t="s">
        <v>32</v>
      </c>
      <c r="D216" s="136">
        <v>71.400000000000006</v>
      </c>
      <c r="E216" s="32">
        <v>1</v>
      </c>
      <c r="F216" s="137">
        <f>+E216*S216*D216</f>
        <v>15136.800000000001</v>
      </c>
      <c r="G216" s="138">
        <f>E216*D216*31</f>
        <v>2213.4</v>
      </c>
      <c r="H216" s="139">
        <f>E216*D216*28</f>
        <v>1999.2000000000003</v>
      </c>
      <c r="I216" s="138">
        <f>E216*D216*31</f>
        <v>2213.4</v>
      </c>
      <c r="J216" s="138">
        <f>E216*D216*30</f>
        <v>2142</v>
      </c>
      <c r="K216" s="138">
        <f>E216*D216*31</f>
        <v>2213.4</v>
      </c>
      <c r="L216" s="138">
        <f>E216*D216*30</f>
        <v>2142</v>
      </c>
      <c r="M216" s="138">
        <f>E216*D216*31</f>
        <v>2213.4</v>
      </c>
      <c r="N216" s="138">
        <v>0</v>
      </c>
      <c r="O216" s="138">
        <v>0</v>
      </c>
      <c r="P216" s="138">
        <v>0</v>
      </c>
      <c r="Q216" s="138">
        <v>0</v>
      </c>
      <c r="R216" s="140">
        <v>0</v>
      </c>
      <c r="S216" s="141">
        <v>212</v>
      </c>
    </row>
    <row r="217" spans="1:20">
      <c r="A217" s="59"/>
      <c r="B217" s="134">
        <v>2</v>
      </c>
      <c r="C217" s="135" t="s">
        <v>54</v>
      </c>
      <c r="D217" s="136">
        <v>71.400000000000006</v>
      </c>
      <c r="E217" s="32">
        <v>6</v>
      </c>
      <c r="F217" s="137">
        <f>+E217*S217*D217</f>
        <v>90820.800000000003</v>
      </c>
      <c r="G217" s="138">
        <f>E217*D217*31</f>
        <v>13280.400000000001</v>
      </c>
      <c r="H217" s="139">
        <f>E217*D217*28</f>
        <v>11995.2</v>
      </c>
      <c r="I217" s="138">
        <f>E217*D217*31</f>
        <v>13280.400000000001</v>
      </c>
      <c r="J217" s="138">
        <f>E217*D217*30</f>
        <v>12852.000000000002</v>
      </c>
      <c r="K217" s="138">
        <f>E217*D217*31</f>
        <v>13280.400000000001</v>
      </c>
      <c r="L217" s="138">
        <f>E217*D217*30</f>
        <v>12852.000000000002</v>
      </c>
      <c r="M217" s="138">
        <f>E217*D217*31</f>
        <v>13280.400000000001</v>
      </c>
      <c r="N217" s="138">
        <v>0</v>
      </c>
      <c r="O217" s="138">
        <v>0</v>
      </c>
      <c r="P217" s="138">
        <v>0</v>
      </c>
      <c r="Q217" s="138">
        <v>0</v>
      </c>
      <c r="R217" s="140">
        <v>0</v>
      </c>
      <c r="S217" s="141">
        <v>212</v>
      </c>
    </row>
    <row r="218" spans="1:20" s="148" customFormat="1">
      <c r="A218" s="142"/>
      <c r="B218" s="143">
        <v>1</v>
      </c>
      <c r="C218" s="39" t="s">
        <v>32</v>
      </c>
      <c r="D218" s="37">
        <v>71.400000000000006</v>
      </c>
      <c r="E218" s="41">
        <v>1</v>
      </c>
      <c r="F218" s="145">
        <f>+E218*S218*D218</f>
        <v>10924.2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f t="shared" ref="N218:N220" si="155">+D218*E218*31</f>
        <v>2213.4</v>
      </c>
      <c r="O218" s="38">
        <f t="shared" ref="O218:O220" si="156">+D218*E218*30</f>
        <v>2142</v>
      </c>
      <c r="P218" s="38">
        <f t="shared" ref="P218:P220" si="157">+D218*E218*31</f>
        <v>2213.4</v>
      </c>
      <c r="Q218" s="38">
        <f t="shared" ref="Q218:Q220" si="158">+D218*E218*30</f>
        <v>2142</v>
      </c>
      <c r="R218" s="146">
        <f t="shared" ref="R218:R220" si="159">+D218*E218*31</f>
        <v>2213.4</v>
      </c>
      <c r="S218" s="147">
        <f t="shared" ref="S218:S220" si="160">31+30+31+30+31</f>
        <v>153</v>
      </c>
    </row>
    <row r="219" spans="1:20" s="7" customFormat="1">
      <c r="A219" s="128"/>
      <c r="B219" s="129">
        <v>2</v>
      </c>
      <c r="C219" s="30" t="s">
        <v>54</v>
      </c>
      <c r="D219" s="31">
        <v>71.400000000000006</v>
      </c>
      <c r="E219" s="33">
        <v>1</v>
      </c>
      <c r="F219" s="130">
        <f>+E219*S219*D219</f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132">
        <v>0</v>
      </c>
      <c r="S219" s="133">
        <v>0</v>
      </c>
    </row>
    <row r="220" spans="1:20" s="148" customFormat="1">
      <c r="A220" s="142"/>
      <c r="B220" s="143">
        <v>2</v>
      </c>
      <c r="C220" s="39" t="s">
        <v>54</v>
      </c>
      <c r="D220" s="37">
        <v>71.400000000000006</v>
      </c>
      <c r="E220" s="41">
        <v>5</v>
      </c>
      <c r="F220" s="145">
        <f>+E220*S220*D220</f>
        <v>54621.000000000007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f t="shared" si="155"/>
        <v>11067</v>
      </c>
      <c r="O220" s="38">
        <f t="shared" si="156"/>
        <v>10710</v>
      </c>
      <c r="P220" s="38">
        <f t="shared" si="157"/>
        <v>11067</v>
      </c>
      <c r="Q220" s="38">
        <f t="shared" si="158"/>
        <v>10710</v>
      </c>
      <c r="R220" s="146">
        <f t="shared" si="159"/>
        <v>11067</v>
      </c>
      <c r="S220" s="147">
        <f t="shared" si="160"/>
        <v>153</v>
      </c>
    </row>
    <row r="221" spans="1:20" ht="15.75" thickBot="1">
      <c r="A221" s="59"/>
      <c r="B221" s="182"/>
      <c r="C221" s="135" t="s">
        <v>125</v>
      </c>
      <c r="D221" s="136"/>
      <c r="E221" s="189"/>
      <c r="F221" s="202">
        <f>182427-SUM(F216:F220)</f>
        <v>10924.199999999983</v>
      </c>
      <c r="G221" s="203"/>
      <c r="H221" s="204"/>
      <c r="I221" s="205"/>
      <c r="J221" s="205"/>
      <c r="K221" s="205"/>
      <c r="L221" s="205"/>
      <c r="M221" s="205"/>
      <c r="N221" s="205"/>
      <c r="O221" s="205"/>
      <c r="P221" s="205"/>
      <c r="Q221" s="205"/>
      <c r="R221" s="206">
        <f>F221</f>
        <v>10924.199999999983</v>
      </c>
    </row>
    <row r="222" spans="1:20">
      <c r="A222" s="59"/>
      <c r="B222" s="291"/>
      <c r="C222" s="754" t="s">
        <v>58</v>
      </c>
      <c r="D222" s="754"/>
      <c r="E222" s="212"/>
      <c r="F222" s="159"/>
      <c r="G222" s="160"/>
      <c r="H222" s="160"/>
      <c r="I222" s="160"/>
      <c r="J222" s="160"/>
      <c r="K222" s="160"/>
      <c r="L222" s="160"/>
      <c r="M222" s="160"/>
      <c r="N222" s="213"/>
      <c r="O222" s="213"/>
      <c r="P222" s="213"/>
      <c r="Q222" s="160"/>
      <c r="R222" s="214"/>
    </row>
    <row r="223" spans="1:20" ht="24" customHeight="1">
      <c r="A223" s="59"/>
      <c r="B223" s="215"/>
      <c r="C223" s="752" t="s">
        <v>133</v>
      </c>
      <c r="D223" s="752"/>
      <c r="E223" s="164" t="e">
        <f>E225+#REF!+#REF!+#REF!+#REF!+#REF!+#REF!</f>
        <v>#REF!</v>
      </c>
      <c r="F223" s="165" t="e">
        <f>F225+#REF!+#REF!+#REF!+#REF!+#REF!+#REF!</f>
        <v>#REF!</v>
      </c>
      <c r="G223" s="216" t="e">
        <f>G225+#REF!+#REF!+#REF!+#REF!+#REF!+#REF!</f>
        <v>#REF!</v>
      </c>
      <c r="H223" s="216" t="e">
        <f>H225+#REF!+#REF!+#REF!+#REF!+#REF!+#REF!</f>
        <v>#REF!</v>
      </c>
      <c r="I223" s="216" t="e">
        <f>I225+#REF!+#REF!+#REF!+#REF!+#REF!+#REF!</f>
        <v>#REF!</v>
      </c>
      <c r="J223" s="216" t="e">
        <f>J225+#REF!+#REF!+#REF!+#REF!+#REF!+#REF!</f>
        <v>#REF!</v>
      </c>
      <c r="K223" s="216" t="e">
        <f>K225+#REF!+#REF!+#REF!+#REF!+#REF!+#REF!</f>
        <v>#REF!</v>
      </c>
      <c r="L223" s="216" t="e">
        <f>L225+#REF!+#REF!+#REF!+#REF!+#REF!+#REF!</f>
        <v>#REF!</v>
      </c>
      <c r="M223" s="216" t="e">
        <f>M225+#REF!+#REF!+#REF!+#REF!+#REF!+#REF!</f>
        <v>#REF!</v>
      </c>
      <c r="N223" s="216" t="e">
        <f>N225+#REF!+#REF!+#REF!+#REF!+#REF!+#REF!</f>
        <v>#REF!</v>
      </c>
      <c r="O223" s="216" t="e">
        <f>O225+#REF!+#REF!+#REF!+#REF!+#REF!+#REF!</f>
        <v>#REF!</v>
      </c>
      <c r="P223" s="216" t="e">
        <f>P225+#REF!+#REF!+#REF!+#REF!+#REF!+#REF!</f>
        <v>#REF!</v>
      </c>
      <c r="Q223" s="216" t="e">
        <f>Q225+#REF!+#REF!+#REF!+#REF!+#REF!+#REF!</f>
        <v>#REF!</v>
      </c>
      <c r="R223" s="167" t="e">
        <f>R225+#REF!+#REF!+#REF!+#REF!+#REF!+#REF!</f>
        <v>#REF!</v>
      </c>
      <c r="S223" s="22" t="e">
        <f>F223-SUM(G223:R223)</f>
        <v>#REF!</v>
      </c>
      <c r="T223" s="89"/>
    </row>
    <row r="224" spans="1:20">
      <c r="A224" s="59"/>
      <c r="B224" s="61"/>
      <c r="C224" s="292"/>
      <c r="D224" s="293"/>
      <c r="E224" s="111"/>
      <c r="F224" s="221" t="e">
        <f>+F226+#REF!+#REF!+#REF!+#REF!+#REF!+#REF!</f>
        <v>#REF!</v>
      </c>
      <c r="G224" s="113"/>
      <c r="H224" s="113"/>
      <c r="I224" s="113"/>
      <c r="J224" s="113"/>
      <c r="K224" s="113"/>
      <c r="L224" s="222"/>
      <c r="M224" s="113"/>
      <c r="N224" s="292"/>
      <c r="O224" s="292"/>
      <c r="P224" s="292"/>
      <c r="Q224" s="113"/>
      <c r="R224" s="294"/>
    </row>
    <row r="225" spans="1:19" ht="25.9" customHeight="1">
      <c r="A225" s="59"/>
      <c r="B225" s="233"/>
      <c r="C225" s="755" t="s">
        <v>134</v>
      </c>
      <c r="D225" s="755"/>
      <c r="E225" s="295">
        <f>SUM(E228:E285)</f>
        <v>179</v>
      </c>
      <c r="F225" s="226">
        <f>SUM(F228:F285)</f>
        <v>2190944.4299999997</v>
      </c>
      <c r="G225" s="296">
        <f t="shared" ref="G225:Q225" si="161">SUM(G228:G285)</f>
        <v>146639.61000000002</v>
      </c>
      <c r="H225" s="297">
        <f t="shared" si="161"/>
        <v>137067.29999999999</v>
      </c>
      <c r="I225" s="297">
        <f t="shared" si="161"/>
        <v>144961.35</v>
      </c>
      <c r="J225" s="297">
        <f t="shared" si="161"/>
        <v>139801.50000000003</v>
      </c>
      <c r="K225" s="297">
        <f t="shared" si="161"/>
        <v>144461.54999999999</v>
      </c>
      <c r="L225" s="298">
        <f t="shared" si="161"/>
        <v>139801.50000000003</v>
      </c>
      <c r="M225" s="297">
        <f t="shared" si="161"/>
        <v>146674.94999999998</v>
      </c>
      <c r="N225" s="297">
        <f t="shared" si="161"/>
        <v>269501.20999999996</v>
      </c>
      <c r="O225" s="297">
        <f t="shared" si="161"/>
        <v>221693.7</v>
      </c>
      <c r="P225" s="297">
        <f t="shared" si="161"/>
        <v>240412.12999999992</v>
      </c>
      <c r="Q225" s="297">
        <f t="shared" si="161"/>
        <v>226194.90000000005</v>
      </c>
      <c r="R225" s="299">
        <f>SUM(R228:R285)</f>
        <v>233734.72999999995</v>
      </c>
      <c r="S225" s="22">
        <f>F225-SUM(G225:R225)</f>
        <v>0</v>
      </c>
    </row>
    <row r="226" spans="1:19">
      <c r="A226" s="59"/>
      <c r="B226" s="233"/>
      <c r="C226" s="234"/>
      <c r="D226" s="234"/>
      <c r="E226" s="295"/>
      <c r="F226" s="226">
        <f>SUM(F228:F285)</f>
        <v>2190944.4299999997</v>
      </c>
      <c r="G226" s="296"/>
      <c r="H226" s="297"/>
      <c r="I226" s="297"/>
      <c r="J226" s="297"/>
      <c r="K226" s="297"/>
      <c r="L226" s="297"/>
      <c r="M226" s="297"/>
      <c r="N226" s="297"/>
      <c r="O226" s="297"/>
      <c r="P226" s="297"/>
      <c r="Q226" s="300"/>
      <c r="R226" s="299"/>
    </row>
    <row r="227" spans="1:19">
      <c r="A227" s="59"/>
      <c r="B227" s="134"/>
      <c r="C227" s="208"/>
      <c r="D227" s="208"/>
      <c r="E227" s="238" t="s">
        <v>124</v>
      </c>
      <c r="F227" s="301">
        <v>0</v>
      </c>
      <c r="G227" s="240"/>
      <c r="H227" s="240"/>
      <c r="I227" s="240"/>
      <c r="J227" s="240"/>
      <c r="K227" s="240"/>
      <c r="L227" s="240"/>
      <c r="M227" s="302"/>
      <c r="N227" s="240"/>
      <c r="O227" s="240"/>
      <c r="P227" s="303"/>
      <c r="Q227" s="303"/>
      <c r="R227" s="242"/>
    </row>
    <row r="228" spans="1:19">
      <c r="A228" s="59"/>
      <c r="B228" s="207">
        <v>1</v>
      </c>
      <c r="C228" s="243" t="s">
        <v>44</v>
      </c>
      <c r="D228" s="304">
        <v>72.540000000000006</v>
      </c>
      <c r="E228" s="305">
        <v>4</v>
      </c>
      <c r="F228" s="306">
        <f t="shared" ref="F228:F244" si="162">+E228*S228*D228</f>
        <v>61513.920000000006</v>
      </c>
      <c r="G228" s="290">
        <f t="shared" ref="G228:G250" si="163">E228*D228*31</f>
        <v>8994.9600000000009</v>
      </c>
      <c r="H228" s="307">
        <f>E228*D228*28</f>
        <v>8124.4800000000005</v>
      </c>
      <c r="I228" s="290">
        <f>E228*D228*31</f>
        <v>8994.9600000000009</v>
      </c>
      <c r="J228" s="290">
        <f>E228*D228*30</f>
        <v>8704.8000000000011</v>
      </c>
      <c r="K228" s="290">
        <f>E228*D228*31</f>
        <v>8994.9600000000009</v>
      </c>
      <c r="L228" s="290">
        <f>E228*D228*30</f>
        <v>8704.8000000000011</v>
      </c>
      <c r="M228" s="138">
        <f t="shared" ref="M228:M254" si="164">E228*D228*31</f>
        <v>8994.9600000000009</v>
      </c>
      <c r="N228" s="138">
        <v>0</v>
      </c>
      <c r="O228" s="138">
        <v>0</v>
      </c>
      <c r="P228" s="138">
        <v>0</v>
      </c>
      <c r="Q228" s="138">
        <v>0</v>
      </c>
      <c r="R228" s="140">
        <v>0</v>
      </c>
      <c r="S228" s="141">
        <v>212</v>
      </c>
    </row>
    <row r="229" spans="1:19">
      <c r="A229" s="59"/>
      <c r="B229" s="134">
        <v>2</v>
      </c>
      <c r="C229" s="135" t="s">
        <v>46</v>
      </c>
      <c r="D229" s="136">
        <v>73.59</v>
      </c>
      <c r="E229" s="32">
        <v>1</v>
      </c>
      <c r="F229" s="137">
        <f t="shared" si="162"/>
        <v>15601.08</v>
      </c>
      <c r="G229" s="290">
        <f t="shared" si="163"/>
        <v>2281.29</v>
      </c>
      <c r="H229" s="307">
        <f t="shared" ref="H229:H250" si="165">E229*D229*28</f>
        <v>2060.52</v>
      </c>
      <c r="I229" s="290">
        <f t="shared" ref="I229:I251" si="166">E229*D229*31</f>
        <v>2281.29</v>
      </c>
      <c r="J229" s="290">
        <f t="shared" ref="J229:J250" si="167">E229*D229*30</f>
        <v>2207.7000000000003</v>
      </c>
      <c r="K229" s="290">
        <f t="shared" ref="K229:K250" si="168">E229*D229*31</f>
        <v>2281.29</v>
      </c>
      <c r="L229" s="290">
        <f t="shared" ref="L229:L250" si="169">E229*D229*30</f>
        <v>2207.7000000000003</v>
      </c>
      <c r="M229" s="138">
        <f t="shared" si="164"/>
        <v>2281.29</v>
      </c>
      <c r="N229" s="138">
        <v>0</v>
      </c>
      <c r="O229" s="138">
        <v>0</v>
      </c>
      <c r="P229" s="138">
        <v>0</v>
      </c>
      <c r="Q229" s="138">
        <v>0</v>
      </c>
      <c r="R229" s="140">
        <v>0</v>
      </c>
      <c r="S229" s="141">
        <v>212</v>
      </c>
    </row>
    <row r="230" spans="1:19">
      <c r="A230" s="59"/>
      <c r="B230" s="134">
        <v>3</v>
      </c>
      <c r="C230" s="135" t="s">
        <v>59</v>
      </c>
      <c r="D230" s="136">
        <v>77.59</v>
      </c>
      <c r="E230" s="32">
        <v>1</v>
      </c>
      <c r="F230" s="137">
        <f t="shared" si="162"/>
        <v>16449.080000000002</v>
      </c>
      <c r="G230" s="290">
        <f t="shared" si="163"/>
        <v>2405.29</v>
      </c>
      <c r="H230" s="307">
        <f t="shared" si="165"/>
        <v>2172.52</v>
      </c>
      <c r="I230" s="290">
        <f t="shared" si="166"/>
        <v>2405.29</v>
      </c>
      <c r="J230" s="290">
        <f t="shared" si="167"/>
        <v>2327.7000000000003</v>
      </c>
      <c r="K230" s="290">
        <f t="shared" si="168"/>
        <v>2405.29</v>
      </c>
      <c r="L230" s="290">
        <f t="shared" si="169"/>
        <v>2327.7000000000003</v>
      </c>
      <c r="M230" s="138">
        <f t="shared" si="164"/>
        <v>2405.29</v>
      </c>
      <c r="N230" s="138">
        <v>0</v>
      </c>
      <c r="O230" s="138">
        <v>0</v>
      </c>
      <c r="P230" s="138">
        <v>0</v>
      </c>
      <c r="Q230" s="138">
        <v>0</v>
      </c>
      <c r="R230" s="140">
        <v>0</v>
      </c>
      <c r="S230" s="141">
        <v>212</v>
      </c>
    </row>
    <row r="231" spans="1:19">
      <c r="A231" s="59"/>
      <c r="B231" s="207">
        <v>4</v>
      </c>
      <c r="C231" s="183" t="s">
        <v>135</v>
      </c>
      <c r="D231" s="184">
        <v>71.400000000000006</v>
      </c>
      <c r="E231" s="185">
        <v>11</v>
      </c>
      <c r="F231" s="308">
        <f t="shared" si="162"/>
        <v>166504.80000000002</v>
      </c>
      <c r="G231" s="138">
        <f t="shared" si="163"/>
        <v>24347.4</v>
      </c>
      <c r="H231" s="139">
        <f t="shared" si="165"/>
        <v>21991.200000000004</v>
      </c>
      <c r="I231" s="138">
        <f t="shared" si="166"/>
        <v>24347.4</v>
      </c>
      <c r="J231" s="138">
        <f t="shared" si="167"/>
        <v>23562.000000000004</v>
      </c>
      <c r="K231" s="138">
        <f t="shared" si="168"/>
        <v>24347.4</v>
      </c>
      <c r="L231" s="138">
        <f t="shared" si="169"/>
        <v>23562.000000000004</v>
      </c>
      <c r="M231" s="187">
        <f t="shared" si="164"/>
        <v>24347.4</v>
      </c>
      <c r="N231" s="187">
        <v>0</v>
      </c>
      <c r="O231" s="187">
        <v>0</v>
      </c>
      <c r="P231" s="187">
        <v>0</v>
      </c>
      <c r="Q231" s="187">
        <v>0</v>
      </c>
      <c r="R231" s="309">
        <v>0</v>
      </c>
      <c r="S231" s="141">
        <v>212</v>
      </c>
    </row>
    <row r="232" spans="1:19">
      <c r="A232" s="59"/>
      <c r="B232" s="207">
        <v>4</v>
      </c>
      <c r="C232" s="183" t="s">
        <v>135</v>
      </c>
      <c r="D232" s="184">
        <v>71.400000000000006</v>
      </c>
      <c r="E232" s="185">
        <v>1</v>
      </c>
      <c r="F232" s="308">
        <f t="shared" si="162"/>
        <v>1499.4</v>
      </c>
      <c r="G232" s="138">
        <v>0</v>
      </c>
      <c r="H232" s="139">
        <f>E232*D232*21</f>
        <v>1499.4</v>
      </c>
      <c r="I232" s="138">
        <v>0</v>
      </c>
      <c r="J232" s="138">
        <v>0</v>
      </c>
      <c r="K232" s="138">
        <v>0</v>
      </c>
      <c r="L232" s="138">
        <v>0</v>
      </c>
      <c r="M232" s="187">
        <v>0</v>
      </c>
      <c r="N232" s="187">
        <v>0</v>
      </c>
      <c r="O232" s="187">
        <v>0</v>
      </c>
      <c r="P232" s="187">
        <v>0</v>
      </c>
      <c r="Q232" s="187">
        <v>0</v>
      </c>
      <c r="R232" s="309">
        <v>0</v>
      </c>
      <c r="S232" s="141">
        <v>21</v>
      </c>
    </row>
    <row r="233" spans="1:19">
      <c r="A233" s="59"/>
      <c r="B233" s="207">
        <v>4</v>
      </c>
      <c r="C233" s="183" t="s">
        <v>135</v>
      </c>
      <c r="D233" s="184">
        <v>71.400000000000006</v>
      </c>
      <c r="E233" s="185">
        <v>1</v>
      </c>
      <c r="F233" s="308">
        <f t="shared" si="162"/>
        <v>0</v>
      </c>
      <c r="G233" s="138">
        <v>0</v>
      </c>
      <c r="H233" s="139">
        <v>0</v>
      </c>
      <c r="I233" s="138">
        <v>0</v>
      </c>
      <c r="J233" s="138">
        <v>0</v>
      </c>
      <c r="K233" s="138">
        <v>0</v>
      </c>
      <c r="L233" s="138">
        <v>0</v>
      </c>
      <c r="M233" s="187">
        <v>0</v>
      </c>
      <c r="N233" s="187">
        <v>0</v>
      </c>
      <c r="O233" s="187">
        <v>0</v>
      </c>
      <c r="P233" s="187">
        <v>0</v>
      </c>
      <c r="Q233" s="187">
        <v>0</v>
      </c>
      <c r="R233" s="309">
        <v>0</v>
      </c>
      <c r="S233" s="141">
        <v>0</v>
      </c>
    </row>
    <row r="234" spans="1:19" s="13" customFormat="1">
      <c r="A234" s="190"/>
      <c r="B234" s="310">
        <v>4</v>
      </c>
      <c r="C234" s="311" t="s">
        <v>135</v>
      </c>
      <c r="D234" s="312">
        <v>71.400000000000006</v>
      </c>
      <c r="E234" s="185">
        <v>1</v>
      </c>
      <c r="F234" s="186">
        <f t="shared" si="162"/>
        <v>4212.6000000000004</v>
      </c>
      <c r="G234" s="195">
        <f t="shared" ref="G234:G235" si="170">E234*D234*31</f>
        <v>2213.4</v>
      </c>
      <c r="H234" s="196">
        <f t="shared" ref="H234:H235" si="171">E234*D234*28</f>
        <v>1999.2000000000003</v>
      </c>
      <c r="I234" s="195">
        <v>0</v>
      </c>
      <c r="J234" s="195">
        <v>0</v>
      </c>
      <c r="K234" s="195">
        <v>0</v>
      </c>
      <c r="L234" s="195">
        <v>0</v>
      </c>
      <c r="M234" s="313">
        <v>0</v>
      </c>
      <c r="N234" s="313">
        <v>0</v>
      </c>
      <c r="O234" s="313">
        <v>0</v>
      </c>
      <c r="P234" s="313">
        <v>0</v>
      </c>
      <c r="Q234" s="313">
        <v>0</v>
      </c>
      <c r="R234" s="314">
        <v>0</v>
      </c>
      <c r="S234" s="198">
        <f>31+28</f>
        <v>59</v>
      </c>
    </row>
    <row r="235" spans="1:19" s="13" customFormat="1">
      <c r="A235" s="190"/>
      <c r="B235" s="310">
        <v>4</v>
      </c>
      <c r="C235" s="311" t="s">
        <v>135</v>
      </c>
      <c r="D235" s="312">
        <v>71.400000000000006</v>
      </c>
      <c r="E235" s="185">
        <v>1</v>
      </c>
      <c r="F235" s="186">
        <f t="shared" si="162"/>
        <v>4212.6000000000004</v>
      </c>
      <c r="G235" s="195">
        <f t="shared" si="170"/>
        <v>2213.4</v>
      </c>
      <c r="H235" s="196">
        <f t="shared" si="171"/>
        <v>1999.2000000000003</v>
      </c>
      <c r="I235" s="195">
        <v>0</v>
      </c>
      <c r="J235" s="195">
        <v>0</v>
      </c>
      <c r="K235" s="195">
        <v>0</v>
      </c>
      <c r="L235" s="195">
        <v>0</v>
      </c>
      <c r="M235" s="313">
        <v>0</v>
      </c>
      <c r="N235" s="313">
        <v>0</v>
      </c>
      <c r="O235" s="313">
        <v>0</v>
      </c>
      <c r="P235" s="313">
        <v>0</v>
      </c>
      <c r="Q235" s="313">
        <v>0</v>
      </c>
      <c r="R235" s="314">
        <v>0</v>
      </c>
      <c r="S235" s="198">
        <f>31+28</f>
        <v>59</v>
      </c>
    </row>
    <row r="236" spans="1:19" s="13" customFormat="1">
      <c r="A236" s="190"/>
      <c r="B236" s="310">
        <v>4</v>
      </c>
      <c r="C236" s="311" t="s">
        <v>135</v>
      </c>
      <c r="D236" s="312">
        <v>71.400000000000006</v>
      </c>
      <c r="E236" s="185">
        <v>1</v>
      </c>
      <c r="F236" s="186">
        <f t="shared" si="162"/>
        <v>10924.2</v>
      </c>
      <c r="G236" s="195">
        <v>0</v>
      </c>
      <c r="H236" s="196">
        <v>0</v>
      </c>
      <c r="I236" s="195">
        <f t="shared" ref="I236" si="172">E236*D236*31</f>
        <v>2213.4</v>
      </c>
      <c r="J236" s="195">
        <f t="shared" ref="J236" si="173">E236*D236*30</f>
        <v>2142</v>
      </c>
      <c r="K236" s="195">
        <f t="shared" ref="K236" si="174">E236*D236*31</f>
        <v>2213.4</v>
      </c>
      <c r="L236" s="195">
        <f t="shared" ref="L236" si="175">E236*D236*30</f>
        <v>2142</v>
      </c>
      <c r="M236" s="313">
        <f t="shared" ref="M236" si="176">E236*D236*31</f>
        <v>2213.4</v>
      </c>
      <c r="N236" s="313">
        <v>0</v>
      </c>
      <c r="O236" s="313">
        <v>0</v>
      </c>
      <c r="P236" s="313">
        <v>0</v>
      </c>
      <c r="Q236" s="313">
        <v>0</v>
      </c>
      <c r="R236" s="314">
        <v>0</v>
      </c>
      <c r="S236" s="198">
        <f>31+30+31+30+31</f>
        <v>153</v>
      </c>
    </row>
    <row r="237" spans="1:19" s="13" customFormat="1">
      <c r="A237" s="190"/>
      <c r="B237" s="191">
        <v>5</v>
      </c>
      <c r="C237" s="192" t="s">
        <v>48</v>
      </c>
      <c r="D237" s="193">
        <v>71.400000000000006</v>
      </c>
      <c r="E237" s="32">
        <v>1</v>
      </c>
      <c r="F237" s="194">
        <f t="shared" si="162"/>
        <v>15136.800000000001</v>
      </c>
      <c r="G237" s="195">
        <f t="shared" si="163"/>
        <v>2213.4</v>
      </c>
      <c r="H237" s="195">
        <f t="shared" si="165"/>
        <v>1999.2000000000003</v>
      </c>
      <c r="I237" s="195">
        <f t="shared" si="166"/>
        <v>2213.4</v>
      </c>
      <c r="J237" s="195">
        <f t="shared" si="167"/>
        <v>2142</v>
      </c>
      <c r="K237" s="195">
        <f t="shared" si="168"/>
        <v>2213.4</v>
      </c>
      <c r="L237" s="195">
        <f t="shared" si="169"/>
        <v>2142</v>
      </c>
      <c r="M237" s="195">
        <f t="shared" si="164"/>
        <v>2213.4</v>
      </c>
      <c r="N237" s="195">
        <v>0</v>
      </c>
      <c r="O237" s="195">
        <v>0</v>
      </c>
      <c r="P237" s="195">
        <v>0</v>
      </c>
      <c r="Q237" s="195">
        <v>0</v>
      </c>
      <c r="R237" s="197">
        <v>0</v>
      </c>
      <c r="S237" s="198">
        <v>212</v>
      </c>
    </row>
    <row r="238" spans="1:19" s="13" customFormat="1">
      <c r="A238" s="190"/>
      <c r="B238" s="191">
        <v>6</v>
      </c>
      <c r="C238" s="192" t="s">
        <v>52</v>
      </c>
      <c r="D238" s="193">
        <v>72.540000000000006</v>
      </c>
      <c r="E238" s="32">
        <v>4</v>
      </c>
      <c r="F238" s="194">
        <f t="shared" si="162"/>
        <v>61513.920000000006</v>
      </c>
      <c r="G238" s="247">
        <f t="shared" si="163"/>
        <v>8994.9600000000009</v>
      </c>
      <c r="H238" s="248">
        <f t="shared" si="165"/>
        <v>8124.4800000000005</v>
      </c>
      <c r="I238" s="247">
        <f t="shared" si="166"/>
        <v>8994.9600000000009</v>
      </c>
      <c r="J238" s="247">
        <f t="shared" si="167"/>
        <v>8704.8000000000011</v>
      </c>
      <c r="K238" s="247">
        <f t="shared" si="168"/>
        <v>8994.9600000000009</v>
      </c>
      <c r="L238" s="247">
        <f t="shared" si="169"/>
        <v>8704.8000000000011</v>
      </c>
      <c r="M238" s="195">
        <f t="shared" si="164"/>
        <v>8994.9600000000009</v>
      </c>
      <c r="N238" s="195">
        <v>0</v>
      </c>
      <c r="O238" s="195">
        <v>0</v>
      </c>
      <c r="P238" s="195">
        <v>0</v>
      </c>
      <c r="Q238" s="195">
        <v>0</v>
      </c>
      <c r="R238" s="197">
        <v>0</v>
      </c>
      <c r="S238" s="198">
        <v>212</v>
      </c>
    </row>
    <row r="239" spans="1:19" s="13" customFormat="1">
      <c r="A239" s="190"/>
      <c r="B239" s="310">
        <v>7</v>
      </c>
      <c r="C239" s="192" t="s">
        <v>60</v>
      </c>
      <c r="D239" s="193">
        <v>73.59</v>
      </c>
      <c r="E239" s="32">
        <v>1</v>
      </c>
      <c r="F239" s="194">
        <f t="shared" si="162"/>
        <v>15601.08</v>
      </c>
      <c r="G239" s="247">
        <f t="shared" si="163"/>
        <v>2281.29</v>
      </c>
      <c r="H239" s="248">
        <f t="shared" si="165"/>
        <v>2060.52</v>
      </c>
      <c r="I239" s="247">
        <f t="shared" si="166"/>
        <v>2281.29</v>
      </c>
      <c r="J239" s="247">
        <f t="shared" si="167"/>
        <v>2207.7000000000003</v>
      </c>
      <c r="K239" s="247">
        <f t="shared" si="168"/>
        <v>2281.29</v>
      </c>
      <c r="L239" s="247">
        <f t="shared" si="169"/>
        <v>2207.7000000000003</v>
      </c>
      <c r="M239" s="195">
        <f t="shared" si="164"/>
        <v>2281.29</v>
      </c>
      <c r="N239" s="195">
        <v>0</v>
      </c>
      <c r="O239" s="195">
        <v>0</v>
      </c>
      <c r="P239" s="195">
        <v>0</v>
      </c>
      <c r="Q239" s="195">
        <v>0</v>
      </c>
      <c r="R239" s="197">
        <v>0</v>
      </c>
      <c r="S239" s="198">
        <v>212</v>
      </c>
    </row>
    <row r="240" spans="1:19" s="13" customFormat="1">
      <c r="A240" s="190"/>
      <c r="B240" s="191">
        <v>8</v>
      </c>
      <c r="C240" s="192" t="s">
        <v>61</v>
      </c>
      <c r="D240" s="193">
        <v>77.59</v>
      </c>
      <c r="E240" s="32">
        <v>2</v>
      </c>
      <c r="F240" s="194">
        <f t="shared" si="162"/>
        <v>32898.160000000003</v>
      </c>
      <c r="G240" s="247">
        <f t="shared" si="163"/>
        <v>4810.58</v>
      </c>
      <c r="H240" s="248">
        <f t="shared" si="165"/>
        <v>4345.04</v>
      </c>
      <c r="I240" s="247">
        <f t="shared" si="166"/>
        <v>4810.58</v>
      </c>
      <c r="J240" s="247">
        <f t="shared" si="167"/>
        <v>4655.4000000000005</v>
      </c>
      <c r="K240" s="247">
        <f t="shared" si="168"/>
        <v>4810.58</v>
      </c>
      <c r="L240" s="247">
        <f t="shared" si="169"/>
        <v>4655.4000000000005</v>
      </c>
      <c r="M240" s="195">
        <f t="shared" si="164"/>
        <v>4810.58</v>
      </c>
      <c r="N240" s="195">
        <v>0</v>
      </c>
      <c r="O240" s="195">
        <v>0</v>
      </c>
      <c r="P240" s="195">
        <v>0</v>
      </c>
      <c r="Q240" s="195">
        <v>0</v>
      </c>
      <c r="R240" s="197">
        <v>0</v>
      </c>
      <c r="S240" s="198">
        <v>212</v>
      </c>
    </row>
    <row r="241" spans="1:20" s="317" customFormat="1">
      <c r="A241" s="315"/>
      <c r="B241" s="129">
        <v>9</v>
      </c>
      <c r="C241" s="30" t="s">
        <v>38</v>
      </c>
      <c r="D241" s="31">
        <v>71.400000000000006</v>
      </c>
      <c r="E241" s="33">
        <v>14</v>
      </c>
      <c r="F241" s="130">
        <f t="shared" si="162"/>
        <v>211915.2</v>
      </c>
      <c r="G241" s="250">
        <f t="shared" si="163"/>
        <v>30987.600000000006</v>
      </c>
      <c r="H241" s="251">
        <f t="shared" si="165"/>
        <v>27988.800000000003</v>
      </c>
      <c r="I241" s="250">
        <f t="shared" si="166"/>
        <v>30987.600000000006</v>
      </c>
      <c r="J241" s="250">
        <f t="shared" si="167"/>
        <v>29988.000000000004</v>
      </c>
      <c r="K241" s="250">
        <f t="shared" si="168"/>
        <v>30987.600000000006</v>
      </c>
      <c r="L241" s="250">
        <f t="shared" si="169"/>
        <v>29988.000000000004</v>
      </c>
      <c r="M241" s="47">
        <f t="shared" si="164"/>
        <v>30987.600000000006</v>
      </c>
      <c r="N241" s="47">
        <v>0</v>
      </c>
      <c r="O241" s="47">
        <v>0</v>
      </c>
      <c r="P241" s="47">
        <v>0</v>
      </c>
      <c r="Q241" s="47">
        <v>0</v>
      </c>
      <c r="R241" s="132">
        <v>0</v>
      </c>
      <c r="S241" s="316">
        <v>212</v>
      </c>
      <c r="T241" s="7"/>
    </row>
    <row r="242" spans="1:20" s="323" customFormat="1">
      <c r="A242" s="318"/>
      <c r="B242" s="285">
        <v>15</v>
      </c>
      <c r="C242" s="286" t="s">
        <v>38</v>
      </c>
      <c r="D242" s="287">
        <v>71.400000000000006</v>
      </c>
      <c r="E242" s="36">
        <v>1</v>
      </c>
      <c r="F242" s="249">
        <f t="shared" si="162"/>
        <v>6925.8</v>
      </c>
      <c r="G242" s="319">
        <f t="shared" si="163"/>
        <v>2213.4</v>
      </c>
      <c r="H242" s="320">
        <f t="shared" si="165"/>
        <v>1999.2000000000003</v>
      </c>
      <c r="I242" s="319">
        <f>E242*D242*7</f>
        <v>499.80000000000007</v>
      </c>
      <c r="J242" s="319">
        <v>0</v>
      </c>
      <c r="K242" s="319">
        <v>0</v>
      </c>
      <c r="L242" s="319">
        <v>0</v>
      </c>
      <c r="M242" s="288">
        <f t="shared" si="164"/>
        <v>2213.4</v>
      </c>
      <c r="N242" s="288">
        <v>0</v>
      </c>
      <c r="O242" s="288">
        <v>0</v>
      </c>
      <c r="P242" s="288">
        <v>0</v>
      </c>
      <c r="Q242" s="288">
        <v>0</v>
      </c>
      <c r="R242" s="321">
        <v>0</v>
      </c>
      <c r="S242" s="322">
        <f>212-24-30-31-30</f>
        <v>97</v>
      </c>
      <c r="T242" s="289"/>
    </row>
    <row r="243" spans="1:20" s="317" customFormat="1">
      <c r="A243" s="315"/>
      <c r="B243" s="129">
        <v>9</v>
      </c>
      <c r="C243" s="30" t="s">
        <v>38</v>
      </c>
      <c r="D243" s="31">
        <v>71.400000000000006</v>
      </c>
      <c r="E243" s="33">
        <v>1</v>
      </c>
      <c r="F243" s="130">
        <f t="shared" si="162"/>
        <v>4212.6000000000004</v>
      </c>
      <c r="G243" s="250">
        <f t="shared" si="163"/>
        <v>2213.4</v>
      </c>
      <c r="H243" s="251">
        <f t="shared" si="165"/>
        <v>1999.2000000000003</v>
      </c>
      <c r="I243" s="250">
        <v>0</v>
      </c>
      <c r="J243" s="250">
        <v>0</v>
      </c>
      <c r="K243" s="250">
        <v>0</v>
      </c>
      <c r="L243" s="250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132">
        <v>0</v>
      </c>
      <c r="S243" s="316">
        <f>31+28</f>
        <v>59</v>
      </c>
      <c r="T243" s="7"/>
    </row>
    <row r="244" spans="1:20" s="317" customFormat="1">
      <c r="A244" s="315"/>
      <c r="B244" s="129">
        <v>9</v>
      </c>
      <c r="C244" s="30" t="s">
        <v>38</v>
      </c>
      <c r="D244" s="31">
        <v>71.400000000000006</v>
      </c>
      <c r="E244" s="33">
        <v>1</v>
      </c>
      <c r="F244" s="130">
        <f t="shared" si="162"/>
        <v>10924.2</v>
      </c>
      <c r="G244" s="250">
        <v>0</v>
      </c>
      <c r="H244" s="251">
        <v>0</v>
      </c>
      <c r="I244" s="250">
        <f t="shared" ref="I244" si="177">E244*D244*31</f>
        <v>2213.4</v>
      </c>
      <c r="J244" s="250">
        <f t="shared" ref="J244" si="178">E244*D244*30</f>
        <v>2142</v>
      </c>
      <c r="K244" s="250">
        <f t="shared" ref="K244" si="179">E244*D244*31</f>
        <v>2213.4</v>
      </c>
      <c r="L244" s="250">
        <f t="shared" ref="L244" si="180">E244*D244*30</f>
        <v>2142</v>
      </c>
      <c r="M244" s="47">
        <f t="shared" ref="M244" si="181">E244*D244*31</f>
        <v>2213.4</v>
      </c>
      <c r="N244" s="47">
        <v>0</v>
      </c>
      <c r="O244" s="47">
        <v>0</v>
      </c>
      <c r="P244" s="47">
        <v>0</v>
      </c>
      <c r="Q244" s="47">
        <v>0</v>
      </c>
      <c r="R244" s="132">
        <v>0</v>
      </c>
      <c r="S244" s="316">
        <f>31+30+31+30+31</f>
        <v>153</v>
      </c>
      <c r="T244" s="7"/>
    </row>
    <row r="245" spans="1:20" s="326" customFormat="1">
      <c r="A245" s="324"/>
      <c r="B245" s="207">
        <v>10</v>
      </c>
      <c r="C245" s="192" t="s">
        <v>62</v>
      </c>
      <c r="D245" s="193">
        <v>75.64</v>
      </c>
      <c r="E245" s="32">
        <v>4</v>
      </c>
      <c r="F245" s="194">
        <f>+E245*S246*D245</f>
        <v>64142.720000000001</v>
      </c>
      <c r="G245" s="290">
        <f t="shared" si="163"/>
        <v>9379.36</v>
      </c>
      <c r="H245" s="307">
        <f t="shared" si="165"/>
        <v>8471.68</v>
      </c>
      <c r="I245" s="290">
        <f t="shared" si="166"/>
        <v>9379.36</v>
      </c>
      <c r="J245" s="290">
        <f t="shared" si="167"/>
        <v>9076.7999999999993</v>
      </c>
      <c r="K245" s="290">
        <f t="shared" si="168"/>
        <v>9379.36</v>
      </c>
      <c r="L245" s="290">
        <f t="shared" si="169"/>
        <v>9076.7999999999993</v>
      </c>
      <c r="M245" s="138">
        <f t="shared" si="164"/>
        <v>9379.36</v>
      </c>
      <c r="N245" s="138">
        <v>0</v>
      </c>
      <c r="O245" s="138">
        <v>0</v>
      </c>
      <c r="P245" s="138">
        <v>0</v>
      </c>
      <c r="Q245" s="138">
        <v>0</v>
      </c>
      <c r="R245" s="140">
        <v>0</v>
      </c>
      <c r="S245" s="325">
        <v>212</v>
      </c>
      <c r="T245" s="13"/>
    </row>
    <row r="246" spans="1:20" s="326" customFormat="1">
      <c r="A246" s="324"/>
      <c r="B246" s="134">
        <v>11</v>
      </c>
      <c r="C246" s="192" t="s">
        <v>64</v>
      </c>
      <c r="D246" s="193">
        <v>71.400000000000006</v>
      </c>
      <c r="E246" s="32">
        <v>2</v>
      </c>
      <c r="F246" s="194">
        <f>+E246*S247*D246</f>
        <v>30273.600000000002</v>
      </c>
      <c r="G246" s="290">
        <f t="shared" si="163"/>
        <v>4426.8</v>
      </c>
      <c r="H246" s="307">
        <f t="shared" si="165"/>
        <v>3998.4000000000005</v>
      </c>
      <c r="I246" s="290">
        <f t="shared" si="166"/>
        <v>4426.8</v>
      </c>
      <c r="J246" s="290">
        <f t="shared" si="167"/>
        <v>4284</v>
      </c>
      <c r="K246" s="290">
        <f t="shared" si="168"/>
        <v>4426.8</v>
      </c>
      <c r="L246" s="290">
        <f t="shared" si="169"/>
        <v>4284</v>
      </c>
      <c r="M246" s="138">
        <f t="shared" si="164"/>
        <v>4426.8</v>
      </c>
      <c r="N246" s="138">
        <v>0</v>
      </c>
      <c r="O246" s="138">
        <v>0</v>
      </c>
      <c r="P246" s="138">
        <v>0</v>
      </c>
      <c r="Q246" s="138">
        <v>0</v>
      </c>
      <c r="R246" s="140">
        <v>0</v>
      </c>
      <c r="S246" s="325">
        <v>212</v>
      </c>
      <c r="T246" s="13"/>
    </row>
    <row r="247" spans="1:20" s="326" customFormat="1">
      <c r="A247" s="324"/>
      <c r="B247" s="134">
        <v>12</v>
      </c>
      <c r="C247" s="192" t="s">
        <v>39</v>
      </c>
      <c r="D247" s="193">
        <v>78.25</v>
      </c>
      <c r="E247" s="32">
        <v>2</v>
      </c>
      <c r="F247" s="194">
        <f>+E247*S248*D247</f>
        <v>33178</v>
      </c>
      <c r="G247" s="290">
        <f t="shared" si="163"/>
        <v>4851.5</v>
      </c>
      <c r="H247" s="307">
        <f t="shared" si="165"/>
        <v>4382</v>
      </c>
      <c r="I247" s="290">
        <f t="shared" si="166"/>
        <v>4851.5</v>
      </c>
      <c r="J247" s="290">
        <f t="shared" si="167"/>
        <v>4695</v>
      </c>
      <c r="K247" s="290">
        <f t="shared" si="168"/>
        <v>4851.5</v>
      </c>
      <c r="L247" s="290">
        <f t="shared" si="169"/>
        <v>4695</v>
      </c>
      <c r="M247" s="138">
        <f t="shared" si="164"/>
        <v>4851.5</v>
      </c>
      <c r="N247" s="138">
        <v>0</v>
      </c>
      <c r="O247" s="138">
        <v>0</v>
      </c>
      <c r="P247" s="138">
        <v>0</v>
      </c>
      <c r="Q247" s="138">
        <v>0</v>
      </c>
      <c r="R247" s="140">
        <v>0</v>
      </c>
      <c r="S247" s="325">
        <v>212</v>
      </c>
      <c r="T247" s="13"/>
    </row>
    <row r="248" spans="1:20" s="326" customFormat="1">
      <c r="A248" s="324"/>
      <c r="B248" s="207">
        <v>13</v>
      </c>
      <c r="C248" s="192" t="s">
        <v>54</v>
      </c>
      <c r="D248" s="193">
        <v>71.400000000000006</v>
      </c>
      <c r="E248" s="32">
        <v>8</v>
      </c>
      <c r="F248" s="194">
        <f t="shared" ref="F248:F285" si="182">+E248*S248*D248</f>
        <v>121094.40000000001</v>
      </c>
      <c r="G248" s="290">
        <f t="shared" si="163"/>
        <v>17707.2</v>
      </c>
      <c r="H248" s="307">
        <f t="shared" si="165"/>
        <v>15993.600000000002</v>
      </c>
      <c r="I248" s="290">
        <f t="shared" si="166"/>
        <v>17707.2</v>
      </c>
      <c r="J248" s="290">
        <f t="shared" si="167"/>
        <v>17136</v>
      </c>
      <c r="K248" s="290">
        <f t="shared" si="168"/>
        <v>17707.2</v>
      </c>
      <c r="L248" s="290">
        <f t="shared" si="169"/>
        <v>17136</v>
      </c>
      <c r="M248" s="138">
        <f t="shared" si="164"/>
        <v>17707.2</v>
      </c>
      <c r="N248" s="138">
        <v>0</v>
      </c>
      <c r="O248" s="138">
        <v>0</v>
      </c>
      <c r="P248" s="138">
        <v>0</v>
      </c>
      <c r="Q248" s="138">
        <v>0</v>
      </c>
      <c r="R248" s="140">
        <v>0</v>
      </c>
      <c r="S248" s="325">
        <v>212</v>
      </c>
      <c r="T248" s="13"/>
    </row>
    <row r="249" spans="1:20" s="326" customFormat="1">
      <c r="A249" s="324"/>
      <c r="B249" s="134">
        <v>14</v>
      </c>
      <c r="C249" s="192" t="s">
        <v>55</v>
      </c>
      <c r="D249" s="193">
        <v>72.540000000000006</v>
      </c>
      <c r="E249" s="32">
        <v>3</v>
      </c>
      <c r="F249" s="194">
        <f t="shared" si="182"/>
        <v>46135.44</v>
      </c>
      <c r="G249" s="138">
        <f t="shared" si="163"/>
        <v>6746.22</v>
      </c>
      <c r="H249" s="139">
        <f t="shared" si="165"/>
        <v>6093.3600000000006</v>
      </c>
      <c r="I249" s="138">
        <f t="shared" si="166"/>
        <v>6746.22</v>
      </c>
      <c r="J249" s="290">
        <f t="shared" si="167"/>
        <v>6528.6</v>
      </c>
      <c r="K249" s="290">
        <f t="shared" si="168"/>
        <v>6746.22</v>
      </c>
      <c r="L249" s="290">
        <f t="shared" si="169"/>
        <v>6528.6</v>
      </c>
      <c r="M249" s="138">
        <f t="shared" si="164"/>
        <v>6746.22</v>
      </c>
      <c r="N249" s="138">
        <v>0</v>
      </c>
      <c r="O249" s="138">
        <v>0</v>
      </c>
      <c r="P249" s="138">
        <v>0</v>
      </c>
      <c r="Q249" s="138">
        <v>0</v>
      </c>
      <c r="R249" s="140">
        <v>0</v>
      </c>
      <c r="S249" s="325">
        <v>212</v>
      </c>
      <c r="T249" s="13"/>
    </row>
    <row r="250" spans="1:20">
      <c r="A250" s="59"/>
      <c r="B250" s="134">
        <v>15</v>
      </c>
      <c r="C250" s="327" t="s">
        <v>42</v>
      </c>
      <c r="D250" s="193">
        <v>75.64</v>
      </c>
      <c r="E250" s="32">
        <v>1</v>
      </c>
      <c r="F250" s="194">
        <f t="shared" si="182"/>
        <v>16035.68</v>
      </c>
      <c r="G250" s="138">
        <f t="shared" si="163"/>
        <v>2344.84</v>
      </c>
      <c r="H250" s="139">
        <f t="shared" si="165"/>
        <v>2117.92</v>
      </c>
      <c r="I250" s="138">
        <f t="shared" si="166"/>
        <v>2344.84</v>
      </c>
      <c r="J250" s="290">
        <f t="shared" si="167"/>
        <v>2269.1999999999998</v>
      </c>
      <c r="K250" s="290">
        <f t="shared" si="168"/>
        <v>2344.84</v>
      </c>
      <c r="L250" s="290">
        <f t="shared" si="169"/>
        <v>2269.1999999999998</v>
      </c>
      <c r="M250" s="138">
        <f t="shared" si="164"/>
        <v>2344.84</v>
      </c>
      <c r="N250" s="138">
        <v>0</v>
      </c>
      <c r="O250" s="138">
        <v>0</v>
      </c>
      <c r="P250" s="138">
        <v>0</v>
      </c>
      <c r="Q250" s="138">
        <v>0</v>
      </c>
      <c r="R250" s="140">
        <v>0</v>
      </c>
      <c r="S250" s="141">
        <v>212</v>
      </c>
    </row>
    <row r="251" spans="1:20">
      <c r="A251" s="59"/>
      <c r="B251" s="207">
        <v>17</v>
      </c>
      <c r="C251" s="192" t="s">
        <v>65</v>
      </c>
      <c r="D251" s="193">
        <v>72.540000000000006</v>
      </c>
      <c r="E251" s="32">
        <v>1</v>
      </c>
      <c r="F251" s="194">
        <f t="shared" si="182"/>
        <v>5367.96</v>
      </c>
      <c r="G251" s="138">
        <v>0</v>
      </c>
      <c r="H251" s="139">
        <f>E251*D251*28+D251*E251*15</f>
        <v>3119.2200000000003</v>
      </c>
      <c r="I251" s="138">
        <f t="shared" si="166"/>
        <v>2248.7400000000002</v>
      </c>
      <c r="J251" s="290">
        <v>0</v>
      </c>
      <c r="K251" s="290">
        <v>0</v>
      </c>
      <c r="L251" s="290">
        <v>0</v>
      </c>
      <c r="M251" s="138">
        <v>0</v>
      </c>
      <c r="N251" s="138">
        <v>0</v>
      </c>
      <c r="O251" s="138">
        <v>0</v>
      </c>
      <c r="P251" s="138">
        <v>0</v>
      </c>
      <c r="Q251" s="138">
        <v>0</v>
      </c>
      <c r="R251" s="140">
        <v>0</v>
      </c>
      <c r="S251" s="141">
        <f>15+28+31</f>
        <v>74</v>
      </c>
    </row>
    <row r="252" spans="1:20" s="13" customFormat="1">
      <c r="A252" s="190"/>
      <c r="B252" s="310">
        <v>18</v>
      </c>
      <c r="C252" s="192" t="s">
        <v>65</v>
      </c>
      <c r="D252" s="193">
        <v>72.540000000000006</v>
      </c>
      <c r="E252" s="32">
        <v>1</v>
      </c>
      <c r="F252" s="194">
        <f t="shared" si="182"/>
        <v>6601.14</v>
      </c>
      <c r="G252" s="195">
        <v>0</v>
      </c>
      <c r="H252" s="196">
        <v>0</v>
      </c>
      <c r="I252" s="195">
        <v>0</v>
      </c>
      <c r="J252" s="195">
        <f>E252*D252*30</f>
        <v>2176.2000000000003</v>
      </c>
      <c r="K252" s="195">
        <f t="shared" ref="K252" si="183">E252*D252*31</f>
        <v>2248.7400000000002</v>
      </c>
      <c r="L252" s="195">
        <f t="shared" ref="L252" si="184">E252*D252*30</f>
        <v>2176.2000000000003</v>
      </c>
      <c r="M252" s="195">
        <v>0</v>
      </c>
      <c r="N252" s="195">
        <v>0</v>
      </c>
      <c r="O252" s="195">
        <v>0</v>
      </c>
      <c r="P252" s="195">
        <v>0</v>
      </c>
      <c r="Q252" s="195">
        <v>0</v>
      </c>
      <c r="R252" s="197">
        <v>0</v>
      </c>
      <c r="S252" s="198">
        <f>30+31+30</f>
        <v>91</v>
      </c>
    </row>
    <row r="253" spans="1:20" s="7" customFormat="1">
      <c r="A253" s="128"/>
      <c r="B253" s="233">
        <v>18</v>
      </c>
      <c r="C253" s="30" t="s">
        <v>65</v>
      </c>
      <c r="D253" s="31">
        <v>72.540000000000006</v>
      </c>
      <c r="E253" s="33">
        <v>1</v>
      </c>
      <c r="F253" s="130">
        <f t="shared" si="182"/>
        <v>6673.68</v>
      </c>
      <c r="G253" s="47">
        <v>0</v>
      </c>
      <c r="H253" s="131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f t="shared" si="164"/>
        <v>2248.7400000000002</v>
      </c>
      <c r="N253" s="47">
        <f>E253*D253*31</f>
        <v>2248.7400000000002</v>
      </c>
      <c r="O253" s="47">
        <f>E253*D253*30</f>
        <v>2176.2000000000003</v>
      </c>
      <c r="P253" s="47">
        <v>0</v>
      </c>
      <c r="Q253" s="47">
        <v>0</v>
      </c>
      <c r="R253" s="132">
        <v>0</v>
      </c>
      <c r="S253" s="133">
        <f>31+31+30</f>
        <v>92</v>
      </c>
    </row>
    <row r="254" spans="1:20" s="7" customFormat="1">
      <c r="A254" s="128"/>
      <c r="B254" s="233">
        <v>16</v>
      </c>
      <c r="C254" s="30" t="s">
        <v>37</v>
      </c>
      <c r="D254" s="31">
        <v>80.86</v>
      </c>
      <c r="E254" s="33">
        <v>2</v>
      </c>
      <c r="F254" s="130">
        <f t="shared" si="182"/>
        <v>34284.639999999999</v>
      </c>
      <c r="G254" s="47">
        <f t="shared" ref="G254" si="185">E254*D254*31</f>
        <v>5013.32</v>
      </c>
      <c r="H254" s="131">
        <f t="shared" ref="H254" si="186">E254*D254*28</f>
        <v>4528.16</v>
      </c>
      <c r="I254" s="47">
        <f t="shared" ref="I254" si="187">E254*D254*31</f>
        <v>5013.32</v>
      </c>
      <c r="J254" s="47">
        <f t="shared" ref="J254" si="188">E254*D254*30</f>
        <v>4851.6000000000004</v>
      </c>
      <c r="K254" s="47">
        <f t="shared" ref="K254" si="189">E254*D254*31</f>
        <v>5013.32</v>
      </c>
      <c r="L254" s="47">
        <f t="shared" ref="L254" si="190">E254*D254*30</f>
        <v>4851.6000000000004</v>
      </c>
      <c r="M254" s="47">
        <f t="shared" si="164"/>
        <v>5013.32</v>
      </c>
      <c r="N254" s="47">
        <v>0</v>
      </c>
      <c r="O254" s="47">
        <v>0</v>
      </c>
      <c r="P254" s="47">
        <v>0</v>
      </c>
      <c r="Q254" s="47">
        <v>0</v>
      </c>
      <c r="R254" s="132">
        <v>0</v>
      </c>
      <c r="S254" s="133">
        <v>212</v>
      </c>
    </row>
    <row r="255" spans="1:20" s="7" customFormat="1">
      <c r="A255" s="128"/>
      <c r="B255" s="129">
        <v>1</v>
      </c>
      <c r="C255" s="30" t="s">
        <v>59</v>
      </c>
      <c r="D255" s="31">
        <v>77.59</v>
      </c>
      <c r="E255" s="33">
        <v>19</v>
      </c>
      <c r="F255" s="130">
        <f t="shared" si="182"/>
        <v>246193.07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f>+D255*E255*45</f>
        <v>66339.45</v>
      </c>
      <c r="O255" s="47">
        <f t="shared" ref="O255:O256" si="191">+D255*E255*30</f>
        <v>44226.3</v>
      </c>
      <c r="P255" s="47">
        <f t="shared" ref="P255:P256" si="192">+D255*E255*31</f>
        <v>45700.51</v>
      </c>
      <c r="Q255" s="47">
        <f t="shared" ref="Q255:Q256" si="193">+D255*E255*30</f>
        <v>44226.3</v>
      </c>
      <c r="R255" s="132">
        <f t="shared" ref="R255:R256" si="194">+D255*E255*31</f>
        <v>45700.51</v>
      </c>
      <c r="S255" s="133">
        <f>14+31+30+31+30+31</f>
        <v>167</v>
      </c>
    </row>
    <row r="256" spans="1:20" s="7" customFormat="1">
      <c r="A256" s="128"/>
      <c r="B256" s="129">
        <v>2</v>
      </c>
      <c r="C256" s="30" t="s">
        <v>61</v>
      </c>
      <c r="D256" s="31">
        <v>77.59</v>
      </c>
      <c r="E256" s="33">
        <v>3</v>
      </c>
      <c r="F256" s="130">
        <f t="shared" si="182"/>
        <v>38872.590000000004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f t="shared" ref="N256:N263" si="195">+D256*E256*45</f>
        <v>10474.65</v>
      </c>
      <c r="O256" s="47">
        <f t="shared" si="191"/>
        <v>6983.1</v>
      </c>
      <c r="P256" s="47">
        <f t="shared" si="192"/>
        <v>7215.87</v>
      </c>
      <c r="Q256" s="47">
        <f t="shared" si="193"/>
        <v>6983.1</v>
      </c>
      <c r="R256" s="132">
        <f t="shared" si="194"/>
        <v>7215.87</v>
      </c>
      <c r="S256" s="133">
        <f t="shared" ref="S256:S263" si="196">14+31+30+31+30+31</f>
        <v>167</v>
      </c>
    </row>
    <row r="257" spans="1:19" s="7" customFormat="1">
      <c r="A257" s="128"/>
      <c r="B257" s="129">
        <v>2</v>
      </c>
      <c r="C257" s="30" t="s">
        <v>61</v>
      </c>
      <c r="D257" s="31">
        <v>77.59</v>
      </c>
      <c r="E257" s="33">
        <v>2</v>
      </c>
      <c r="F257" s="130">
        <f t="shared" si="182"/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132">
        <v>0</v>
      </c>
      <c r="S257" s="133">
        <v>0</v>
      </c>
    </row>
    <row r="258" spans="1:19" s="7" customFormat="1">
      <c r="A258" s="128"/>
      <c r="B258" s="129">
        <v>3</v>
      </c>
      <c r="C258" s="30" t="s">
        <v>136</v>
      </c>
      <c r="D258" s="31">
        <v>75.64</v>
      </c>
      <c r="E258" s="33">
        <v>1</v>
      </c>
      <c r="F258" s="130">
        <f t="shared" si="182"/>
        <v>12631.88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f t="shared" si="195"/>
        <v>3403.8</v>
      </c>
      <c r="O258" s="47">
        <f t="shared" ref="O258:O282" si="197">+D258*E258*30</f>
        <v>2269.1999999999998</v>
      </c>
      <c r="P258" s="47">
        <f t="shared" ref="P258:P282" si="198">+D258*E258*31</f>
        <v>2344.84</v>
      </c>
      <c r="Q258" s="47">
        <f t="shared" ref="Q258:Q285" si="199">+D258*E258*30</f>
        <v>2269.1999999999998</v>
      </c>
      <c r="R258" s="132">
        <f t="shared" ref="R258:R285" si="200">+D258*E258*31</f>
        <v>2344.84</v>
      </c>
      <c r="S258" s="133">
        <f t="shared" si="196"/>
        <v>167</v>
      </c>
    </row>
    <row r="259" spans="1:19" s="7" customFormat="1">
      <c r="A259" s="128"/>
      <c r="B259" s="129">
        <v>4</v>
      </c>
      <c r="C259" s="30" t="s">
        <v>38</v>
      </c>
      <c r="D259" s="31">
        <v>71.400000000000006</v>
      </c>
      <c r="E259" s="33">
        <v>5</v>
      </c>
      <c r="F259" s="130">
        <f t="shared" si="182"/>
        <v>59619.000000000007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f t="shared" si="195"/>
        <v>16065</v>
      </c>
      <c r="O259" s="47">
        <f t="shared" si="197"/>
        <v>10710</v>
      </c>
      <c r="P259" s="47">
        <f t="shared" si="198"/>
        <v>11067</v>
      </c>
      <c r="Q259" s="47">
        <f t="shared" si="199"/>
        <v>10710</v>
      </c>
      <c r="R259" s="132">
        <f t="shared" si="200"/>
        <v>11067</v>
      </c>
      <c r="S259" s="133">
        <f t="shared" si="196"/>
        <v>167</v>
      </c>
    </row>
    <row r="260" spans="1:19" s="7" customFormat="1">
      <c r="A260" s="128"/>
      <c r="B260" s="129">
        <v>4</v>
      </c>
      <c r="C260" s="30" t="s">
        <v>38</v>
      </c>
      <c r="D260" s="31">
        <v>71.400000000000006</v>
      </c>
      <c r="E260" s="33">
        <v>1</v>
      </c>
      <c r="F260" s="130">
        <f t="shared" si="182"/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0</v>
      </c>
      <c r="R260" s="132">
        <v>0</v>
      </c>
      <c r="S260" s="133">
        <v>0</v>
      </c>
    </row>
    <row r="261" spans="1:19" s="7" customFormat="1">
      <c r="A261" s="128"/>
      <c r="B261" s="129">
        <v>5</v>
      </c>
      <c r="C261" s="328" t="s">
        <v>135</v>
      </c>
      <c r="D261" s="46">
        <v>71.400000000000006</v>
      </c>
      <c r="E261" s="45">
        <v>6</v>
      </c>
      <c r="F261" s="130">
        <f t="shared" si="182"/>
        <v>71542.8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f t="shared" si="195"/>
        <v>19278</v>
      </c>
      <c r="O261" s="47">
        <f t="shared" si="197"/>
        <v>12852.000000000002</v>
      </c>
      <c r="P261" s="47">
        <f t="shared" si="198"/>
        <v>13280.400000000001</v>
      </c>
      <c r="Q261" s="47">
        <f t="shared" si="199"/>
        <v>12852.000000000002</v>
      </c>
      <c r="R261" s="132">
        <f t="shared" si="200"/>
        <v>13280.400000000001</v>
      </c>
      <c r="S261" s="133">
        <f t="shared" si="196"/>
        <v>167</v>
      </c>
    </row>
    <row r="262" spans="1:19" s="7" customFormat="1">
      <c r="A262" s="128"/>
      <c r="B262" s="129">
        <v>6</v>
      </c>
      <c r="C262" s="328" t="s">
        <v>137</v>
      </c>
      <c r="D262" s="31">
        <v>75.64</v>
      </c>
      <c r="E262" s="45">
        <v>1</v>
      </c>
      <c r="F262" s="130">
        <f t="shared" si="182"/>
        <v>12631.88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f t="shared" si="195"/>
        <v>3403.8</v>
      </c>
      <c r="O262" s="47">
        <f t="shared" si="197"/>
        <v>2269.1999999999998</v>
      </c>
      <c r="P262" s="47">
        <f t="shared" si="198"/>
        <v>2344.84</v>
      </c>
      <c r="Q262" s="47">
        <f t="shared" si="199"/>
        <v>2269.1999999999998</v>
      </c>
      <c r="R262" s="132">
        <f t="shared" si="200"/>
        <v>2344.84</v>
      </c>
      <c r="S262" s="133">
        <f t="shared" si="196"/>
        <v>167</v>
      </c>
    </row>
    <row r="263" spans="1:19" s="7" customFormat="1">
      <c r="A263" s="128"/>
      <c r="B263" s="129">
        <v>7</v>
      </c>
      <c r="C263" s="30" t="s">
        <v>37</v>
      </c>
      <c r="D263" s="31">
        <v>80.86</v>
      </c>
      <c r="E263" s="33">
        <v>2</v>
      </c>
      <c r="F263" s="130">
        <f t="shared" si="182"/>
        <v>27007.24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f t="shared" si="195"/>
        <v>7277.4</v>
      </c>
      <c r="O263" s="47">
        <f t="shared" si="197"/>
        <v>4851.6000000000004</v>
      </c>
      <c r="P263" s="47">
        <f t="shared" si="198"/>
        <v>5013.32</v>
      </c>
      <c r="Q263" s="47">
        <f t="shared" si="199"/>
        <v>4851.6000000000004</v>
      </c>
      <c r="R263" s="132">
        <f t="shared" si="200"/>
        <v>5013.32</v>
      </c>
      <c r="S263" s="133">
        <f t="shared" si="196"/>
        <v>167</v>
      </c>
    </row>
    <row r="264" spans="1:19" s="7" customFormat="1">
      <c r="A264" s="128"/>
      <c r="B264" s="129">
        <v>8</v>
      </c>
      <c r="C264" s="30" t="s">
        <v>44</v>
      </c>
      <c r="D264" s="31">
        <v>72.540000000000006</v>
      </c>
      <c r="E264" s="35">
        <v>4</v>
      </c>
      <c r="F264" s="130">
        <f t="shared" si="182"/>
        <v>44394.48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f t="shared" ref="N264:N282" si="201">+D264*E264*31</f>
        <v>8994.9600000000009</v>
      </c>
      <c r="O264" s="47">
        <f t="shared" si="197"/>
        <v>8704.8000000000011</v>
      </c>
      <c r="P264" s="47">
        <f t="shared" si="198"/>
        <v>8994.9600000000009</v>
      </c>
      <c r="Q264" s="47">
        <f t="shared" si="199"/>
        <v>8704.8000000000011</v>
      </c>
      <c r="R264" s="132">
        <f t="shared" si="200"/>
        <v>8994.9600000000009</v>
      </c>
      <c r="S264" s="133">
        <f t="shared" ref="S264:S282" si="202">31+30+31+30+31</f>
        <v>153</v>
      </c>
    </row>
    <row r="265" spans="1:19" s="7" customFormat="1">
      <c r="A265" s="128"/>
      <c r="B265" s="129">
        <v>9</v>
      </c>
      <c r="C265" s="30" t="s">
        <v>46</v>
      </c>
      <c r="D265" s="31">
        <v>73.59</v>
      </c>
      <c r="E265" s="33">
        <v>1</v>
      </c>
      <c r="F265" s="130">
        <f t="shared" si="182"/>
        <v>11259.27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f t="shared" si="201"/>
        <v>2281.29</v>
      </c>
      <c r="O265" s="47">
        <f t="shared" si="197"/>
        <v>2207.7000000000003</v>
      </c>
      <c r="P265" s="47">
        <f t="shared" si="198"/>
        <v>2281.29</v>
      </c>
      <c r="Q265" s="47">
        <f t="shared" si="199"/>
        <v>2207.7000000000003</v>
      </c>
      <c r="R265" s="132">
        <f t="shared" si="200"/>
        <v>2281.29</v>
      </c>
      <c r="S265" s="133">
        <f t="shared" si="202"/>
        <v>153</v>
      </c>
    </row>
    <row r="266" spans="1:19" s="7" customFormat="1">
      <c r="A266" s="128"/>
      <c r="B266" s="129">
        <v>10</v>
      </c>
      <c r="C266" s="30" t="s">
        <v>59</v>
      </c>
      <c r="D266" s="31">
        <v>77.59</v>
      </c>
      <c r="E266" s="33">
        <v>1</v>
      </c>
      <c r="F266" s="130">
        <f t="shared" si="182"/>
        <v>11871.27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f t="shared" si="201"/>
        <v>2405.29</v>
      </c>
      <c r="O266" s="47">
        <f t="shared" si="197"/>
        <v>2327.7000000000003</v>
      </c>
      <c r="P266" s="47">
        <f t="shared" si="198"/>
        <v>2405.29</v>
      </c>
      <c r="Q266" s="47">
        <f t="shared" si="199"/>
        <v>2327.7000000000003</v>
      </c>
      <c r="R266" s="132">
        <f t="shared" si="200"/>
        <v>2405.29</v>
      </c>
      <c r="S266" s="133">
        <f t="shared" si="202"/>
        <v>153</v>
      </c>
    </row>
    <row r="267" spans="1:19" s="7" customFormat="1">
      <c r="A267" s="128"/>
      <c r="B267" s="129">
        <v>11</v>
      </c>
      <c r="C267" s="328" t="s">
        <v>135</v>
      </c>
      <c r="D267" s="46">
        <v>71.400000000000006</v>
      </c>
      <c r="E267" s="45">
        <v>12</v>
      </c>
      <c r="F267" s="130">
        <f t="shared" si="182"/>
        <v>131090.40000000002</v>
      </c>
      <c r="G267" s="47">
        <v>0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f t="shared" si="201"/>
        <v>26560.800000000003</v>
      </c>
      <c r="O267" s="47">
        <f t="shared" si="197"/>
        <v>25704.000000000004</v>
      </c>
      <c r="P267" s="47">
        <f t="shared" si="198"/>
        <v>26560.800000000003</v>
      </c>
      <c r="Q267" s="47">
        <f t="shared" si="199"/>
        <v>25704.000000000004</v>
      </c>
      <c r="R267" s="132">
        <f t="shared" si="200"/>
        <v>26560.800000000003</v>
      </c>
      <c r="S267" s="133">
        <f t="shared" si="202"/>
        <v>153</v>
      </c>
    </row>
    <row r="268" spans="1:19" s="7" customFormat="1">
      <c r="A268" s="128"/>
      <c r="B268" s="129">
        <v>12</v>
      </c>
      <c r="C268" s="30" t="s">
        <v>48</v>
      </c>
      <c r="D268" s="31">
        <v>71.400000000000006</v>
      </c>
      <c r="E268" s="33">
        <v>1</v>
      </c>
      <c r="F268" s="130">
        <f t="shared" si="182"/>
        <v>10924.2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f t="shared" si="201"/>
        <v>2213.4</v>
      </c>
      <c r="O268" s="47">
        <f t="shared" si="197"/>
        <v>2142</v>
      </c>
      <c r="P268" s="47">
        <f t="shared" si="198"/>
        <v>2213.4</v>
      </c>
      <c r="Q268" s="47">
        <f t="shared" si="199"/>
        <v>2142</v>
      </c>
      <c r="R268" s="132">
        <f t="shared" si="200"/>
        <v>2213.4</v>
      </c>
      <c r="S268" s="133">
        <f t="shared" si="202"/>
        <v>153</v>
      </c>
    </row>
    <row r="269" spans="1:19" s="7" customFormat="1">
      <c r="A269" s="128"/>
      <c r="B269" s="129">
        <v>13</v>
      </c>
      <c r="C269" s="30" t="s">
        <v>52</v>
      </c>
      <c r="D269" s="31">
        <v>72.540000000000006</v>
      </c>
      <c r="E269" s="33">
        <v>4</v>
      </c>
      <c r="F269" s="130">
        <f t="shared" si="182"/>
        <v>44394.48</v>
      </c>
      <c r="G269" s="47">
        <v>0</v>
      </c>
      <c r="H269" s="47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>
        <f t="shared" si="201"/>
        <v>8994.9600000000009</v>
      </c>
      <c r="O269" s="47">
        <f t="shared" si="197"/>
        <v>8704.8000000000011</v>
      </c>
      <c r="P269" s="47">
        <f t="shared" si="198"/>
        <v>8994.9600000000009</v>
      </c>
      <c r="Q269" s="47">
        <f t="shared" si="199"/>
        <v>8704.8000000000011</v>
      </c>
      <c r="R269" s="132">
        <f t="shared" si="200"/>
        <v>8994.9600000000009</v>
      </c>
      <c r="S269" s="133">
        <f t="shared" si="202"/>
        <v>153</v>
      </c>
    </row>
    <row r="270" spans="1:19" s="7" customFormat="1">
      <c r="A270" s="128"/>
      <c r="B270" s="129">
        <v>14</v>
      </c>
      <c r="C270" s="30" t="s">
        <v>60</v>
      </c>
      <c r="D270" s="31">
        <v>73.59</v>
      </c>
      <c r="E270" s="33">
        <v>1</v>
      </c>
      <c r="F270" s="130">
        <f t="shared" si="182"/>
        <v>11259.27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f t="shared" si="201"/>
        <v>2281.29</v>
      </c>
      <c r="O270" s="47">
        <f t="shared" si="197"/>
        <v>2207.7000000000003</v>
      </c>
      <c r="P270" s="47">
        <f t="shared" si="198"/>
        <v>2281.29</v>
      </c>
      <c r="Q270" s="47">
        <f t="shared" si="199"/>
        <v>2207.7000000000003</v>
      </c>
      <c r="R270" s="132">
        <f t="shared" si="200"/>
        <v>2281.29</v>
      </c>
      <c r="S270" s="133">
        <f t="shared" si="202"/>
        <v>153</v>
      </c>
    </row>
    <row r="271" spans="1:19" s="7" customFormat="1">
      <c r="A271" s="128"/>
      <c r="B271" s="129">
        <v>15</v>
      </c>
      <c r="C271" s="30" t="s">
        <v>61</v>
      </c>
      <c r="D271" s="31">
        <v>77.59</v>
      </c>
      <c r="E271" s="33">
        <v>2</v>
      </c>
      <c r="F271" s="130">
        <f t="shared" si="182"/>
        <v>23742.54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f t="shared" si="201"/>
        <v>4810.58</v>
      </c>
      <c r="O271" s="47">
        <f t="shared" si="197"/>
        <v>4655.4000000000005</v>
      </c>
      <c r="P271" s="47">
        <f t="shared" si="198"/>
        <v>4810.58</v>
      </c>
      <c r="Q271" s="47">
        <f t="shared" si="199"/>
        <v>4655.4000000000005</v>
      </c>
      <c r="R271" s="132">
        <f t="shared" si="200"/>
        <v>4810.58</v>
      </c>
      <c r="S271" s="133">
        <f t="shared" si="202"/>
        <v>153</v>
      </c>
    </row>
    <row r="272" spans="1:19" s="7" customFormat="1">
      <c r="A272" s="128"/>
      <c r="B272" s="129">
        <v>16</v>
      </c>
      <c r="C272" s="30" t="s">
        <v>38</v>
      </c>
      <c r="D272" s="31">
        <v>71.400000000000006</v>
      </c>
      <c r="E272" s="33">
        <v>15</v>
      </c>
      <c r="F272" s="130">
        <f t="shared" si="182"/>
        <v>163863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f t="shared" si="201"/>
        <v>33201</v>
      </c>
      <c r="O272" s="47">
        <f t="shared" si="197"/>
        <v>32130</v>
      </c>
      <c r="P272" s="47">
        <f t="shared" si="198"/>
        <v>33201</v>
      </c>
      <c r="Q272" s="47">
        <f t="shared" si="199"/>
        <v>32130</v>
      </c>
      <c r="R272" s="132">
        <f t="shared" si="200"/>
        <v>33201</v>
      </c>
      <c r="S272" s="133">
        <f t="shared" si="202"/>
        <v>153</v>
      </c>
    </row>
    <row r="273" spans="1:19" s="7" customFormat="1">
      <c r="A273" s="128"/>
      <c r="B273" s="129">
        <v>16</v>
      </c>
      <c r="C273" s="30" t="s">
        <v>38</v>
      </c>
      <c r="D273" s="31">
        <v>71.400000000000006</v>
      </c>
      <c r="E273" s="33">
        <v>1</v>
      </c>
      <c r="F273" s="130">
        <f t="shared" si="182"/>
        <v>12066.6</v>
      </c>
      <c r="G273" s="47">
        <v>0</v>
      </c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f>+D273*E273*47</f>
        <v>3355.8</v>
      </c>
      <c r="O273" s="47">
        <f t="shared" si="197"/>
        <v>2142</v>
      </c>
      <c r="P273" s="47">
        <f t="shared" si="198"/>
        <v>2213.4</v>
      </c>
      <c r="Q273" s="47">
        <f t="shared" si="199"/>
        <v>2142</v>
      </c>
      <c r="R273" s="132">
        <f t="shared" si="200"/>
        <v>2213.4</v>
      </c>
      <c r="S273" s="133">
        <f>47+30+31+30+31</f>
        <v>169</v>
      </c>
    </row>
    <row r="274" spans="1:19" s="7" customFormat="1">
      <c r="A274" s="128"/>
      <c r="B274" s="129">
        <v>17</v>
      </c>
      <c r="C274" s="30" t="s">
        <v>62</v>
      </c>
      <c r="D274" s="31">
        <v>75.64</v>
      </c>
      <c r="E274" s="33">
        <v>3</v>
      </c>
      <c r="F274" s="130">
        <f t="shared" si="182"/>
        <v>34718.76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f t="shared" si="201"/>
        <v>7034.52</v>
      </c>
      <c r="O274" s="47">
        <f t="shared" si="197"/>
        <v>6807.6</v>
      </c>
      <c r="P274" s="47">
        <f t="shared" si="198"/>
        <v>7034.52</v>
      </c>
      <c r="Q274" s="47">
        <f t="shared" si="199"/>
        <v>6807.6</v>
      </c>
      <c r="R274" s="132">
        <f t="shared" si="200"/>
        <v>7034.52</v>
      </c>
      <c r="S274" s="133">
        <f t="shared" si="202"/>
        <v>153</v>
      </c>
    </row>
    <row r="275" spans="1:19" s="7" customFormat="1">
      <c r="A275" s="128"/>
      <c r="B275" s="129"/>
      <c r="C275" s="30" t="s">
        <v>62</v>
      </c>
      <c r="D275" s="31">
        <v>75.64</v>
      </c>
      <c r="E275" s="33">
        <v>1</v>
      </c>
      <c r="F275" s="130">
        <f>+E275*S275*D275</f>
        <v>0</v>
      </c>
      <c r="G275" s="47">
        <v>0</v>
      </c>
      <c r="H275" s="47">
        <v>0</v>
      </c>
      <c r="I275" s="47">
        <v>0</v>
      </c>
      <c r="J275" s="47">
        <v>0</v>
      </c>
      <c r="K275" s="47">
        <v>0</v>
      </c>
      <c r="L275" s="47">
        <v>0</v>
      </c>
      <c r="M275" s="47">
        <v>0</v>
      </c>
      <c r="N275" s="47">
        <v>0</v>
      </c>
      <c r="O275" s="47">
        <v>0</v>
      </c>
      <c r="P275" s="47">
        <v>0</v>
      </c>
      <c r="Q275" s="47">
        <v>0</v>
      </c>
      <c r="R275" s="132">
        <v>0</v>
      </c>
      <c r="S275" s="133">
        <v>0</v>
      </c>
    </row>
    <row r="276" spans="1:19" s="7" customFormat="1">
      <c r="A276" s="128"/>
      <c r="B276" s="129">
        <v>18</v>
      </c>
      <c r="C276" s="30" t="s">
        <v>64</v>
      </c>
      <c r="D276" s="31">
        <v>71.400000000000006</v>
      </c>
      <c r="E276" s="33">
        <v>2</v>
      </c>
      <c r="F276" s="130">
        <f t="shared" si="182"/>
        <v>21848.400000000001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f t="shared" si="201"/>
        <v>4426.8</v>
      </c>
      <c r="O276" s="47">
        <f t="shared" si="197"/>
        <v>4284</v>
      </c>
      <c r="P276" s="47">
        <f t="shared" si="198"/>
        <v>4426.8</v>
      </c>
      <c r="Q276" s="47">
        <f t="shared" si="199"/>
        <v>4284</v>
      </c>
      <c r="R276" s="132">
        <f t="shared" si="200"/>
        <v>4426.8</v>
      </c>
      <c r="S276" s="133">
        <f t="shared" si="202"/>
        <v>153</v>
      </c>
    </row>
    <row r="277" spans="1:19" s="7" customFormat="1">
      <c r="A277" s="128"/>
      <c r="B277" s="129">
        <v>19</v>
      </c>
      <c r="C277" s="30" t="s">
        <v>39</v>
      </c>
      <c r="D277" s="31">
        <v>78.25</v>
      </c>
      <c r="E277" s="33">
        <v>2</v>
      </c>
      <c r="F277" s="130">
        <f t="shared" si="182"/>
        <v>23944.5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f t="shared" si="201"/>
        <v>4851.5</v>
      </c>
      <c r="O277" s="47">
        <f t="shared" si="197"/>
        <v>4695</v>
      </c>
      <c r="P277" s="47">
        <f t="shared" si="198"/>
        <v>4851.5</v>
      </c>
      <c r="Q277" s="47">
        <f t="shared" si="199"/>
        <v>4695</v>
      </c>
      <c r="R277" s="132">
        <f t="shared" si="200"/>
        <v>4851.5</v>
      </c>
      <c r="S277" s="133">
        <f t="shared" si="202"/>
        <v>153</v>
      </c>
    </row>
    <row r="278" spans="1:19" s="7" customFormat="1">
      <c r="A278" s="128"/>
      <c r="B278" s="129">
        <v>20</v>
      </c>
      <c r="C278" s="30" t="s">
        <v>54</v>
      </c>
      <c r="D278" s="31">
        <v>71.400000000000006</v>
      </c>
      <c r="E278" s="33">
        <v>7</v>
      </c>
      <c r="F278" s="130">
        <f t="shared" si="182"/>
        <v>76469.400000000009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f t="shared" si="201"/>
        <v>15493.800000000003</v>
      </c>
      <c r="O278" s="47">
        <f t="shared" si="197"/>
        <v>14994.000000000002</v>
      </c>
      <c r="P278" s="47">
        <f t="shared" si="198"/>
        <v>15493.800000000003</v>
      </c>
      <c r="Q278" s="47">
        <f t="shared" si="199"/>
        <v>14994.000000000002</v>
      </c>
      <c r="R278" s="132">
        <f t="shared" si="200"/>
        <v>15493.800000000003</v>
      </c>
      <c r="S278" s="133">
        <f t="shared" si="202"/>
        <v>153</v>
      </c>
    </row>
    <row r="279" spans="1:19" s="7" customFormat="1">
      <c r="A279" s="128"/>
      <c r="B279" s="129"/>
      <c r="C279" s="30" t="s">
        <v>54</v>
      </c>
      <c r="D279" s="31">
        <v>71.400000000000006</v>
      </c>
      <c r="E279" s="33">
        <v>1</v>
      </c>
      <c r="F279" s="130">
        <f t="shared" si="182"/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0</v>
      </c>
      <c r="Q279" s="47">
        <v>0</v>
      </c>
      <c r="R279" s="132">
        <v>0</v>
      </c>
      <c r="S279" s="133">
        <v>0</v>
      </c>
    </row>
    <row r="280" spans="1:19" s="7" customFormat="1">
      <c r="A280" s="128"/>
      <c r="B280" s="129">
        <v>21</v>
      </c>
      <c r="C280" s="30" t="s">
        <v>55</v>
      </c>
      <c r="D280" s="31">
        <v>72.540000000000006</v>
      </c>
      <c r="E280" s="33">
        <v>3</v>
      </c>
      <c r="F280" s="130">
        <f t="shared" si="182"/>
        <v>33295.86</v>
      </c>
      <c r="G280" s="47">
        <v>0</v>
      </c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f t="shared" si="201"/>
        <v>6746.22</v>
      </c>
      <c r="O280" s="47">
        <f t="shared" si="197"/>
        <v>6528.6</v>
      </c>
      <c r="P280" s="47">
        <f t="shared" si="198"/>
        <v>6746.22</v>
      </c>
      <c r="Q280" s="47">
        <f t="shared" si="199"/>
        <v>6528.6</v>
      </c>
      <c r="R280" s="132">
        <f t="shared" si="200"/>
        <v>6746.22</v>
      </c>
      <c r="S280" s="133">
        <f t="shared" si="202"/>
        <v>153</v>
      </c>
    </row>
    <row r="281" spans="1:19" s="7" customFormat="1">
      <c r="A281" s="128"/>
      <c r="B281" s="129">
        <v>22</v>
      </c>
      <c r="C281" s="30" t="s">
        <v>37</v>
      </c>
      <c r="D281" s="31">
        <v>80.86</v>
      </c>
      <c r="E281" s="33">
        <v>2</v>
      </c>
      <c r="F281" s="130">
        <f t="shared" si="182"/>
        <v>24743.16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f t="shared" si="201"/>
        <v>5013.32</v>
      </c>
      <c r="O281" s="47">
        <f t="shared" si="197"/>
        <v>4851.6000000000004</v>
      </c>
      <c r="P281" s="47">
        <f t="shared" si="198"/>
        <v>5013.32</v>
      </c>
      <c r="Q281" s="47">
        <f t="shared" si="199"/>
        <v>4851.6000000000004</v>
      </c>
      <c r="R281" s="132">
        <f t="shared" si="200"/>
        <v>5013.32</v>
      </c>
      <c r="S281" s="133">
        <f t="shared" si="202"/>
        <v>153</v>
      </c>
    </row>
    <row r="282" spans="1:19" s="7" customFormat="1">
      <c r="A282" s="128"/>
      <c r="B282" s="129">
        <v>23</v>
      </c>
      <c r="C282" s="329" t="s">
        <v>42</v>
      </c>
      <c r="D282" s="31">
        <v>75.64</v>
      </c>
      <c r="E282" s="33">
        <v>1</v>
      </c>
      <c r="F282" s="130">
        <f t="shared" si="182"/>
        <v>11572.92</v>
      </c>
      <c r="G282" s="47">
        <v>0</v>
      </c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f t="shared" si="201"/>
        <v>2344.84</v>
      </c>
      <c r="O282" s="47">
        <f t="shared" si="197"/>
        <v>2269.1999999999998</v>
      </c>
      <c r="P282" s="47">
        <f t="shared" si="198"/>
        <v>2344.84</v>
      </c>
      <c r="Q282" s="47">
        <f t="shared" si="199"/>
        <v>2269.1999999999998</v>
      </c>
      <c r="R282" s="132">
        <f t="shared" si="200"/>
        <v>2344.84</v>
      </c>
      <c r="S282" s="133">
        <f t="shared" si="202"/>
        <v>153</v>
      </c>
    </row>
    <row r="283" spans="1:19" s="331" customFormat="1">
      <c r="A283" s="330"/>
      <c r="B283" s="129">
        <v>1</v>
      </c>
      <c r="C283" s="30" t="s">
        <v>59</v>
      </c>
      <c r="D283" s="31">
        <v>77.59</v>
      </c>
      <c r="E283" s="33">
        <v>1</v>
      </c>
      <c r="F283" s="130">
        <f t="shared" si="182"/>
        <v>9465.98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f>+D283*E283*61</f>
        <v>4732.99</v>
      </c>
      <c r="Q283" s="47">
        <f t="shared" si="199"/>
        <v>2327.7000000000003</v>
      </c>
      <c r="R283" s="132">
        <f t="shared" si="200"/>
        <v>2405.29</v>
      </c>
      <c r="S283" s="133">
        <f>30+31+30+31</f>
        <v>122</v>
      </c>
    </row>
    <row r="284" spans="1:19" s="7" customFormat="1">
      <c r="A284" s="128"/>
      <c r="B284" s="129">
        <v>4</v>
      </c>
      <c r="C284" s="30" t="s">
        <v>38</v>
      </c>
      <c r="D284" s="31">
        <v>71.400000000000006</v>
      </c>
      <c r="E284" s="33">
        <v>1</v>
      </c>
      <c r="F284" s="130">
        <f t="shared" si="182"/>
        <v>8710.8000000000011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f t="shared" ref="P284:P285" si="203">+D284*E284*61</f>
        <v>4355.4000000000005</v>
      </c>
      <c r="Q284" s="47">
        <f t="shared" si="199"/>
        <v>2142</v>
      </c>
      <c r="R284" s="132">
        <f t="shared" si="200"/>
        <v>2213.4</v>
      </c>
      <c r="S284" s="133">
        <f>30+31+30+31</f>
        <v>122</v>
      </c>
    </row>
    <row r="285" spans="1:19" s="7" customFormat="1">
      <c r="A285" s="128"/>
      <c r="B285" s="129">
        <v>4</v>
      </c>
      <c r="C285" s="30" t="s">
        <v>40</v>
      </c>
      <c r="D285" s="31">
        <v>73.59</v>
      </c>
      <c r="E285" s="33">
        <v>1</v>
      </c>
      <c r="F285" s="130">
        <f t="shared" si="182"/>
        <v>8977.98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f t="shared" si="203"/>
        <v>4488.99</v>
      </c>
      <c r="Q285" s="47">
        <f t="shared" si="199"/>
        <v>2207.7000000000003</v>
      </c>
      <c r="R285" s="132">
        <f t="shared" si="200"/>
        <v>2281.29</v>
      </c>
      <c r="S285" s="133">
        <f>30+31+30+31</f>
        <v>122</v>
      </c>
    </row>
    <row r="286" spans="1:19" s="7" customFormat="1">
      <c r="A286" s="128"/>
      <c r="B286" s="129">
        <v>1</v>
      </c>
      <c r="C286" s="30" t="s">
        <v>44</v>
      </c>
      <c r="D286" s="31">
        <v>72.540000000000006</v>
      </c>
      <c r="E286" s="33">
        <v>2</v>
      </c>
      <c r="F286" s="130">
        <f t="shared" ref="F286:F295" si="204">+E286*S286*D286</f>
        <v>13057.2</v>
      </c>
      <c r="G286" s="47">
        <f t="shared" ref="G286:G295" si="205">E286*D286*31</f>
        <v>4497.4800000000005</v>
      </c>
      <c r="H286" s="131">
        <f t="shared" ref="H286:H295" si="206">E286*D286*28</f>
        <v>4062.2400000000002</v>
      </c>
      <c r="I286" s="47">
        <f t="shared" ref="I286:I295" si="207">E286*D286*31</f>
        <v>4497.4800000000005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132">
        <v>0</v>
      </c>
      <c r="S286" s="133">
        <f t="shared" ref="S286:S296" si="208">31+28+31</f>
        <v>90</v>
      </c>
    </row>
    <row r="287" spans="1:19" s="7" customFormat="1">
      <c r="A287" s="128"/>
      <c r="B287" s="129">
        <v>2</v>
      </c>
      <c r="C287" s="30" t="s">
        <v>35</v>
      </c>
      <c r="D287" s="31">
        <v>71.400000000000006</v>
      </c>
      <c r="E287" s="33">
        <v>13</v>
      </c>
      <c r="F287" s="130">
        <f t="shared" si="204"/>
        <v>83538</v>
      </c>
      <c r="G287" s="47">
        <f t="shared" si="205"/>
        <v>28774.2</v>
      </c>
      <c r="H287" s="131">
        <f t="shared" si="206"/>
        <v>25989.600000000002</v>
      </c>
      <c r="I287" s="47">
        <f t="shared" si="207"/>
        <v>28774.2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0</v>
      </c>
      <c r="R287" s="132">
        <v>0</v>
      </c>
      <c r="S287" s="133">
        <f t="shared" si="208"/>
        <v>90</v>
      </c>
    </row>
    <row r="288" spans="1:19" s="7" customFormat="1">
      <c r="A288" s="128"/>
      <c r="B288" s="129">
        <v>2</v>
      </c>
      <c r="C288" s="30" t="s">
        <v>35</v>
      </c>
      <c r="D288" s="31">
        <v>71.400000000000006</v>
      </c>
      <c r="E288" s="33">
        <v>2</v>
      </c>
      <c r="F288" s="130">
        <f t="shared" si="204"/>
        <v>12994.800000000001</v>
      </c>
      <c r="G288" s="47">
        <v>0</v>
      </c>
      <c r="H288" s="131">
        <v>0</v>
      </c>
      <c r="I288" s="47">
        <v>0</v>
      </c>
      <c r="J288" s="47">
        <f>E288*D288*30</f>
        <v>4284</v>
      </c>
      <c r="K288" s="47">
        <f t="shared" ref="K288" si="209">E288*D288*31</f>
        <v>4426.8</v>
      </c>
      <c r="L288" s="47">
        <f t="shared" ref="L288" si="210">E288*D288*30</f>
        <v>4284</v>
      </c>
      <c r="M288" s="47">
        <v>0</v>
      </c>
      <c r="N288" s="47">
        <v>0</v>
      </c>
      <c r="O288" s="47">
        <v>0</v>
      </c>
      <c r="P288" s="47">
        <v>0</v>
      </c>
      <c r="Q288" s="47">
        <v>0</v>
      </c>
      <c r="R288" s="132">
        <v>0</v>
      </c>
      <c r="S288" s="133">
        <f>30+31+30</f>
        <v>91</v>
      </c>
    </row>
    <row r="289" spans="1:19" s="7" customFormat="1">
      <c r="A289" s="128"/>
      <c r="B289" s="129">
        <v>2</v>
      </c>
      <c r="C289" s="30" t="s">
        <v>35</v>
      </c>
      <c r="D289" s="31">
        <v>71.400000000000006</v>
      </c>
      <c r="E289" s="33">
        <v>1</v>
      </c>
      <c r="F289" s="130">
        <f t="shared" si="204"/>
        <v>4212.6000000000004</v>
      </c>
      <c r="G289" s="47">
        <f t="shared" ref="G289" si="211">E289*D289*31</f>
        <v>2213.4</v>
      </c>
      <c r="H289" s="131">
        <f t="shared" ref="H289" si="212">E289*D289*28</f>
        <v>1999.2000000000003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132">
        <v>0</v>
      </c>
      <c r="S289" s="133">
        <f>31+28</f>
        <v>59</v>
      </c>
    </row>
    <row r="290" spans="1:19" s="7" customFormat="1">
      <c r="A290" s="128"/>
      <c r="B290" s="129">
        <v>3</v>
      </c>
      <c r="C290" s="30" t="s">
        <v>38</v>
      </c>
      <c r="D290" s="31">
        <v>71.400000000000006</v>
      </c>
      <c r="E290" s="33">
        <v>2</v>
      </c>
      <c r="F290" s="130">
        <f t="shared" si="204"/>
        <v>12852.000000000002</v>
      </c>
      <c r="G290" s="47">
        <f t="shared" si="205"/>
        <v>4426.8</v>
      </c>
      <c r="H290" s="131">
        <f t="shared" si="206"/>
        <v>3998.4000000000005</v>
      </c>
      <c r="I290" s="47">
        <f t="shared" si="207"/>
        <v>4426.8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132">
        <v>0</v>
      </c>
      <c r="S290" s="133">
        <f t="shared" si="208"/>
        <v>90</v>
      </c>
    </row>
    <row r="291" spans="1:19" s="7" customFormat="1">
      <c r="A291" s="128"/>
      <c r="B291" s="129">
        <v>4</v>
      </c>
      <c r="C291" s="30" t="s">
        <v>63</v>
      </c>
      <c r="D291" s="31">
        <v>80.86</v>
      </c>
      <c r="E291" s="33">
        <v>1</v>
      </c>
      <c r="F291" s="130">
        <f t="shared" si="204"/>
        <v>7277.4</v>
      </c>
      <c r="G291" s="47">
        <f t="shared" si="205"/>
        <v>2506.66</v>
      </c>
      <c r="H291" s="131">
        <f t="shared" si="206"/>
        <v>2264.08</v>
      </c>
      <c r="I291" s="47">
        <f t="shared" si="207"/>
        <v>2506.66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132">
        <v>0</v>
      </c>
      <c r="S291" s="133">
        <f t="shared" si="208"/>
        <v>90</v>
      </c>
    </row>
    <row r="292" spans="1:19" s="7" customFormat="1">
      <c r="A292" s="128"/>
      <c r="B292" s="129">
        <v>3</v>
      </c>
      <c r="C292" s="30" t="s">
        <v>63</v>
      </c>
      <c r="D292" s="31">
        <v>80.86</v>
      </c>
      <c r="E292" s="33">
        <v>1</v>
      </c>
      <c r="F292" s="130">
        <f t="shared" si="204"/>
        <v>7358.26</v>
      </c>
      <c r="G292" s="47">
        <v>0</v>
      </c>
      <c r="H292" s="131">
        <v>0</v>
      </c>
      <c r="I292" s="47">
        <v>0</v>
      </c>
      <c r="J292" s="47">
        <f>E292*D292*30</f>
        <v>2425.8000000000002</v>
      </c>
      <c r="K292" s="47">
        <f t="shared" ref="K292" si="213">E292*D292*31</f>
        <v>2506.66</v>
      </c>
      <c r="L292" s="47">
        <f t="shared" ref="L292" si="214">E292*D292*30</f>
        <v>2425.8000000000002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132">
        <v>0</v>
      </c>
      <c r="S292" s="133">
        <f>30+31+30</f>
        <v>91</v>
      </c>
    </row>
    <row r="293" spans="1:19" s="13" customFormat="1">
      <c r="A293" s="190"/>
      <c r="B293" s="191">
        <v>7</v>
      </c>
      <c r="C293" s="192" t="s">
        <v>54</v>
      </c>
      <c r="D293" s="193">
        <v>71.400000000000006</v>
      </c>
      <c r="E293" s="32">
        <v>1</v>
      </c>
      <c r="F293" s="194">
        <f t="shared" si="204"/>
        <v>5283.6</v>
      </c>
      <c r="G293" s="195">
        <v>0</v>
      </c>
      <c r="H293" s="196">
        <f>E293*D293*28+D293*E293*15</f>
        <v>3070.2000000000003</v>
      </c>
      <c r="I293" s="195">
        <f t="shared" si="207"/>
        <v>2213.4</v>
      </c>
      <c r="J293" s="195">
        <v>0</v>
      </c>
      <c r="K293" s="195">
        <v>0</v>
      </c>
      <c r="L293" s="195">
        <v>0</v>
      </c>
      <c r="M293" s="195">
        <v>0</v>
      </c>
      <c r="N293" s="195">
        <v>0</v>
      </c>
      <c r="O293" s="195">
        <v>0</v>
      </c>
      <c r="P293" s="195">
        <v>0</v>
      </c>
      <c r="Q293" s="195">
        <v>0</v>
      </c>
      <c r="R293" s="197">
        <v>0</v>
      </c>
      <c r="S293" s="198">
        <f>15+28+31</f>
        <v>74</v>
      </c>
    </row>
    <row r="294" spans="1:19" s="13" customFormat="1">
      <c r="A294" s="190"/>
      <c r="B294" s="191">
        <v>8</v>
      </c>
      <c r="C294" s="192" t="s">
        <v>35</v>
      </c>
      <c r="D294" s="193">
        <v>71.400000000000006</v>
      </c>
      <c r="E294" s="32">
        <v>4</v>
      </c>
      <c r="F294" s="194">
        <f t="shared" si="204"/>
        <v>21134.400000000001</v>
      </c>
      <c r="G294" s="195">
        <v>0</v>
      </c>
      <c r="H294" s="196">
        <f>E294*D294*28+D294*E294*15</f>
        <v>12280.800000000001</v>
      </c>
      <c r="I294" s="195">
        <f t="shared" si="207"/>
        <v>8853.6</v>
      </c>
      <c r="J294" s="195">
        <v>0</v>
      </c>
      <c r="K294" s="195">
        <v>0</v>
      </c>
      <c r="L294" s="195">
        <v>0</v>
      </c>
      <c r="M294" s="195">
        <v>0</v>
      </c>
      <c r="N294" s="195">
        <v>0</v>
      </c>
      <c r="O294" s="195">
        <v>0</v>
      </c>
      <c r="P294" s="195">
        <v>0</v>
      </c>
      <c r="Q294" s="195">
        <v>0</v>
      </c>
      <c r="R294" s="197">
        <v>0</v>
      </c>
      <c r="S294" s="198">
        <f>15+28+31</f>
        <v>74</v>
      </c>
    </row>
    <row r="295" spans="1:19" s="13" customFormat="1">
      <c r="A295" s="190"/>
      <c r="B295" s="191">
        <v>5</v>
      </c>
      <c r="C295" s="192" t="s">
        <v>36</v>
      </c>
      <c r="D295" s="193">
        <v>72.540000000000006</v>
      </c>
      <c r="E295" s="32">
        <v>1</v>
      </c>
      <c r="F295" s="194">
        <f t="shared" si="204"/>
        <v>6528.6</v>
      </c>
      <c r="G295" s="195">
        <f t="shared" si="205"/>
        <v>2248.7400000000002</v>
      </c>
      <c r="H295" s="196">
        <f t="shared" si="206"/>
        <v>2031.1200000000001</v>
      </c>
      <c r="I295" s="195">
        <f t="shared" si="207"/>
        <v>2248.7400000000002</v>
      </c>
      <c r="J295" s="195">
        <v>0</v>
      </c>
      <c r="K295" s="195">
        <v>0</v>
      </c>
      <c r="L295" s="195">
        <v>0</v>
      </c>
      <c r="M295" s="195">
        <v>0</v>
      </c>
      <c r="N295" s="195">
        <v>0</v>
      </c>
      <c r="O295" s="195">
        <v>0</v>
      </c>
      <c r="P295" s="195">
        <v>0</v>
      </c>
      <c r="Q295" s="195">
        <v>0</v>
      </c>
      <c r="R295" s="197">
        <v>0</v>
      </c>
      <c r="S295" s="198">
        <f t="shared" si="208"/>
        <v>90</v>
      </c>
    </row>
    <row r="296" spans="1:19" s="13" customFormat="1">
      <c r="A296" s="190"/>
      <c r="B296" s="191">
        <v>6</v>
      </c>
      <c r="C296" s="192" t="s">
        <v>54</v>
      </c>
      <c r="D296" s="193">
        <v>71.400000000000006</v>
      </c>
      <c r="E296" s="32">
        <v>3</v>
      </c>
      <c r="F296" s="194">
        <f>+E296*S296*D296</f>
        <v>19278</v>
      </c>
      <c r="G296" s="195">
        <f>E296*D296*31</f>
        <v>6640.2000000000007</v>
      </c>
      <c r="H296" s="196">
        <f>E296*D296*28</f>
        <v>5997.6</v>
      </c>
      <c r="I296" s="195">
        <f>E296*D296*31</f>
        <v>6640.2000000000007</v>
      </c>
      <c r="J296" s="195">
        <v>0</v>
      </c>
      <c r="K296" s="195">
        <v>0</v>
      </c>
      <c r="L296" s="195">
        <v>0</v>
      </c>
      <c r="M296" s="195">
        <v>0</v>
      </c>
      <c r="N296" s="195">
        <v>0</v>
      </c>
      <c r="O296" s="195">
        <v>0</v>
      </c>
      <c r="P296" s="195">
        <v>0</v>
      </c>
      <c r="Q296" s="195">
        <v>0</v>
      </c>
      <c r="R296" s="197">
        <v>0</v>
      </c>
      <c r="S296" s="198">
        <f t="shared" si="208"/>
        <v>90</v>
      </c>
    </row>
    <row r="297" spans="1:19" s="7" customFormat="1">
      <c r="A297" s="128"/>
      <c r="B297" s="129">
        <v>3</v>
      </c>
      <c r="C297" s="30" t="s">
        <v>63</v>
      </c>
      <c r="D297" s="31">
        <v>80.86</v>
      </c>
      <c r="E297" s="33">
        <v>1</v>
      </c>
      <c r="F297" s="130">
        <f>+E297*S297*D297</f>
        <v>7439.12</v>
      </c>
      <c r="G297" s="47">
        <v>0</v>
      </c>
      <c r="H297" s="131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f t="shared" ref="M297:M298" si="215">E297*D297*31</f>
        <v>2506.66</v>
      </c>
      <c r="N297" s="47">
        <f>E297*D297*31</f>
        <v>2506.66</v>
      </c>
      <c r="O297" s="47">
        <f>E297*D297*30</f>
        <v>2425.8000000000002</v>
      </c>
      <c r="P297" s="47">
        <v>0</v>
      </c>
      <c r="Q297" s="47">
        <v>0</v>
      </c>
      <c r="R297" s="132">
        <v>0</v>
      </c>
      <c r="S297" s="133">
        <f>31+31+30</f>
        <v>92</v>
      </c>
    </row>
    <row r="298" spans="1:19" s="7" customFormat="1">
      <c r="A298" s="128"/>
      <c r="B298" s="129">
        <v>9</v>
      </c>
      <c r="C298" s="30" t="s">
        <v>35</v>
      </c>
      <c r="D298" s="31">
        <v>71.400000000000006</v>
      </c>
      <c r="E298" s="33">
        <v>2</v>
      </c>
      <c r="F298" s="130">
        <f>+E298*S298*D298</f>
        <v>13137.6</v>
      </c>
      <c r="G298" s="47">
        <v>0</v>
      </c>
      <c r="H298" s="131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f t="shared" si="215"/>
        <v>4426.8</v>
      </c>
      <c r="N298" s="47">
        <f>E298*D298*31</f>
        <v>4426.8</v>
      </c>
      <c r="O298" s="47">
        <f>E298*D298*30</f>
        <v>4284</v>
      </c>
      <c r="P298" s="47">
        <v>0</v>
      </c>
      <c r="Q298" s="47">
        <v>0</v>
      </c>
      <c r="R298" s="132">
        <v>0</v>
      </c>
      <c r="S298" s="133">
        <f>31+31+30</f>
        <v>92</v>
      </c>
    </row>
    <row r="299" spans="1:19">
      <c r="A299" s="59"/>
      <c r="B299" s="134">
        <v>1</v>
      </c>
      <c r="C299" s="135" t="s">
        <v>35</v>
      </c>
      <c r="D299" s="136">
        <v>71.400000000000006</v>
      </c>
      <c r="E299" s="32">
        <v>1</v>
      </c>
      <c r="F299" s="137">
        <f>+E299*S299*D299</f>
        <v>15136.800000000001</v>
      </c>
      <c r="G299" s="138">
        <f>E299*D299*31</f>
        <v>2213.4</v>
      </c>
      <c r="H299" s="139">
        <f>E299*D299*28</f>
        <v>1999.2000000000003</v>
      </c>
      <c r="I299" s="138">
        <f>E299*D299*31</f>
        <v>2213.4</v>
      </c>
      <c r="J299" s="138">
        <f>E299*D299*30</f>
        <v>2142</v>
      </c>
      <c r="K299" s="138">
        <f>E299*D299*31</f>
        <v>2213.4</v>
      </c>
      <c r="L299" s="138">
        <f>E299*D299*30</f>
        <v>2142</v>
      </c>
      <c r="M299" s="138">
        <f>E299*D299*31</f>
        <v>2213.4</v>
      </c>
      <c r="N299" s="138">
        <v>0</v>
      </c>
      <c r="O299" s="138">
        <v>0</v>
      </c>
      <c r="P299" s="138">
        <v>0</v>
      </c>
      <c r="Q299" s="138">
        <v>0</v>
      </c>
      <c r="R299" s="140">
        <v>0</v>
      </c>
      <c r="S299" s="141">
        <v>212</v>
      </c>
    </row>
    <row r="300" spans="1:19" s="7" customFormat="1">
      <c r="A300" s="128"/>
      <c r="B300" s="129"/>
      <c r="C300" s="329" t="s">
        <v>35</v>
      </c>
      <c r="D300" s="31">
        <v>71.400000000000006</v>
      </c>
      <c r="E300" s="33">
        <v>1</v>
      </c>
      <c r="F300" s="130">
        <f t="shared" ref="F300" si="216">+E300*S300*D300</f>
        <v>10924.2</v>
      </c>
      <c r="G300" s="47">
        <v>0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f t="shared" ref="N300" si="217">+D300*E300*31</f>
        <v>2213.4</v>
      </c>
      <c r="O300" s="47">
        <f t="shared" ref="O300" si="218">+D300*E300*30</f>
        <v>2142</v>
      </c>
      <c r="P300" s="47">
        <f t="shared" ref="P300" si="219">+D300*E300*31</f>
        <v>2213.4</v>
      </c>
      <c r="Q300" s="47">
        <f t="shared" ref="Q300" si="220">+D300*E300*30</f>
        <v>2142</v>
      </c>
      <c r="R300" s="132">
        <f t="shared" ref="R300" si="221">+D300*E300*31</f>
        <v>2213.4</v>
      </c>
      <c r="S300" s="133">
        <f t="shared" ref="S300" si="222">31+30+31+30+31</f>
        <v>153</v>
      </c>
    </row>
    <row r="301" spans="1:19">
      <c r="A301" s="59"/>
      <c r="B301" s="134">
        <v>1</v>
      </c>
      <c r="C301" s="135" t="s">
        <v>32</v>
      </c>
      <c r="D301" s="136">
        <v>71.400000000000006</v>
      </c>
      <c r="E301" s="32">
        <v>1</v>
      </c>
      <c r="F301" s="137">
        <f>+E301*S301*D301</f>
        <v>15136.800000000001</v>
      </c>
      <c r="G301" s="138">
        <f>E301*D301*31</f>
        <v>2213.4</v>
      </c>
      <c r="H301" s="139">
        <f>E301*D301*28</f>
        <v>1999.2000000000003</v>
      </c>
      <c r="I301" s="138">
        <f>E301*D301*31</f>
        <v>2213.4</v>
      </c>
      <c r="J301" s="138">
        <f>E301*D301*30</f>
        <v>2142</v>
      </c>
      <c r="K301" s="138">
        <f>E301*D301*31</f>
        <v>2213.4</v>
      </c>
      <c r="L301" s="138">
        <f>E301*D301*30</f>
        <v>2142</v>
      </c>
      <c r="M301" s="138">
        <f>E301*D301*31</f>
        <v>2213.4</v>
      </c>
      <c r="N301" s="138">
        <v>0</v>
      </c>
      <c r="O301" s="138">
        <v>0</v>
      </c>
      <c r="P301" s="138">
        <v>0</v>
      </c>
      <c r="Q301" s="138">
        <v>0</v>
      </c>
      <c r="R301" s="140">
        <v>0</v>
      </c>
      <c r="S301" s="141">
        <v>212</v>
      </c>
    </row>
    <row r="302" spans="1:19" s="7" customFormat="1">
      <c r="A302" s="128"/>
      <c r="B302" s="129">
        <v>1</v>
      </c>
      <c r="C302" s="30" t="s">
        <v>32</v>
      </c>
      <c r="D302" s="31">
        <v>71.400000000000006</v>
      </c>
      <c r="E302" s="33">
        <v>1</v>
      </c>
      <c r="F302" s="130">
        <f>+E302*S302*D302</f>
        <v>10924.2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f t="shared" ref="N302" si="223">+D302*E302*31</f>
        <v>2213.4</v>
      </c>
      <c r="O302" s="47">
        <f t="shared" ref="O302" si="224">+D302*E302*30</f>
        <v>2142</v>
      </c>
      <c r="P302" s="47">
        <f t="shared" ref="P302" si="225">+D302*E302*31</f>
        <v>2213.4</v>
      </c>
      <c r="Q302" s="47">
        <f t="shared" ref="Q302" si="226">+D302*E302*30</f>
        <v>2142</v>
      </c>
      <c r="R302" s="132">
        <f t="shared" ref="R302" si="227">+D302*E302*31</f>
        <v>2213.4</v>
      </c>
      <c r="S302" s="133">
        <f t="shared" ref="S302" si="228">31+30+31+30+31</f>
        <v>153</v>
      </c>
    </row>
    <row r="303" spans="1:19">
      <c r="A303" s="59"/>
      <c r="B303" s="134">
        <v>1</v>
      </c>
      <c r="C303" s="135" t="s">
        <v>35</v>
      </c>
      <c r="D303" s="136">
        <v>71.400000000000006</v>
      </c>
      <c r="E303" s="32">
        <v>1</v>
      </c>
      <c r="F303" s="137">
        <f>+E303*S303*D303</f>
        <v>15136.800000000001</v>
      </c>
      <c r="G303" s="138">
        <f>E303*D303*31</f>
        <v>2213.4</v>
      </c>
      <c r="H303" s="139">
        <f>E303*D303*28</f>
        <v>1999.2000000000003</v>
      </c>
      <c r="I303" s="138">
        <f>E303*D303*31</f>
        <v>2213.4</v>
      </c>
      <c r="J303" s="138">
        <f>E303*D303*30</f>
        <v>2142</v>
      </c>
      <c r="K303" s="138">
        <f>E303*D303*31</f>
        <v>2213.4</v>
      </c>
      <c r="L303" s="138">
        <f>E303*D303*30</f>
        <v>2142</v>
      </c>
      <c r="M303" s="138">
        <f>E303*D303*31</f>
        <v>2213.4</v>
      </c>
      <c r="N303" s="138">
        <v>0</v>
      </c>
      <c r="O303" s="138">
        <v>0</v>
      </c>
      <c r="P303" s="138">
        <v>0</v>
      </c>
      <c r="Q303" s="138">
        <v>0</v>
      </c>
      <c r="R303" s="140">
        <v>0</v>
      </c>
      <c r="S303" s="141">
        <v>212</v>
      </c>
    </row>
    <row r="304" spans="1:19" s="7" customFormat="1">
      <c r="A304" s="128"/>
      <c r="B304" s="129">
        <v>1</v>
      </c>
      <c r="C304" s="30" t="s">
        <v>35</v>
      </c>
      <c r="D304" s="31">
        <v>71.400000000000006</v>
      </c>
      <c r="E304" s="33">
        <v>1</v>
      </c>
      <c r="F304" s="130">
        <f>+E304*S304*D304</f>
        <v>10924.2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f t="shared" ref="N304" si="229">+D304*E304*31</f>
        <v>2213.4</v>
      </c>
      <c r="O304" s="47">
        <f t="shared" ref="O304" si="230">+D304*E304*30</f>
        <v>2142</v>
      </c>
      <c r="P304" s="47">
        <f t="shared" ref="P304" si="231">+D304*E304*31</f>
        <v>2213.4</v>
      </c>
      <c r="Q304" s="47">
        <f t="shared" ref="Q304" si="232">+D304*E304*30</f>
        <v>2142</v>
      </c>
      <c r="R304" s="132">
        <f t="shared" ref="R304" si="233">+D304*E304*31</f>
        <v>2213.4</v>
      </c>
      <c r="S304" s="133">
        <f t="shared" ref="S304" si="234">31+30+31+30+31</f>
        <v>153</v>
      </c>
    </row>
    <row r="305" spans="1:19" ht="18.75" customHeight="1">
      <c r="A305" s="59"/>
      <c r="B305" s="134">
        <v>1</v>
      </c>
      <c r="C305" s="135" t="s">
        <v>35</v>
      </c>
      <c r="D305" s="136">
        <v>71.400000000000006</v>
      </c>
      <c r="E305" s="32">
        <v>1</v>
      </c>
      <c r="F305" s="137">
        <f t="shared" ref="F305:F310" si="235">+E305*S305*D305</f>
        <v>15136.800000000001</v>
      </c>
      <c r="G305" s="138">
        <f>E305*D305*31</f>
        <v>2213.4</v>
      </c>
      <c r="H305" s="139">
        <f>E305*D305*28</f>
        <v>1999.2000000000003</v>
      </c>
      <c r="I305" s="138">
        <f>E305*D305*31</f>
        <v>2213.4</v>
      </c>
      <c r="J305" s="138">
        <f>E305*D305*30</f>
        <v>2142</v>
      </c>
      <c r="K305" s="138">
        <f>E305*D305*31</f>
        <v>2213.4</v>
      </c>
      <c r="L305" s="138">
        <f>E305*D305*30</f>
        <v>2142</v>
      </c>
      <c r="M305" s="138">
        <f>E305*D305*31</f>
        <v>2213.4</v>
      </c>
      <c r="N305" s="138">
        <v>0</v>
      </c>
      <c r="O305" s="138">
        <v>0</v>
      </c>
      <c r="P305" s="138">
        <v>0</v>
      </c>
      <c r="Q305" s="138">
        <v>0</v>
      </c>
      <c r="R305" s="140">
        <v>0</v>
      </c>
      <c r="S305" s="141">
        <v>212</v>
      </c>
    </row>
    <row r="306" spans="1:19">
      <c r="A306" s="59"/>
      <c r="B306" s="134">
        <v>2</v>
      </c>
      <c r="C306" s="135" t="s">
        <v>38</v>
      </c>
      <c r="D306" s="136">
        <v>71.400000000000006</v>
      </c>
      <c r="E306" s="32">
        <v>1</v>
      </c>
      <c r="F306" s="137">
        <f t="shared" si="235"/>
        <v>15136.800000000001</v>
      </c>
      <c r="G306" s="138">
        <f>E306*D306*31</f>
        <v>2213.4</v>
      </c>
      <c r="H306" s="139">
        <f>E306*D306*28</f>
        <v>1999.2000000000003</v>
      </c>
      <c r="I306" s="138">
        <f>E306*D306*31</f>
        <v>2213.4</v>
      </c>
      <c r="J306" s="138">
        <f>E306*D306*30</f>
        <v>2142</v>
      </c>
      <c r="K306" s="138">
        <f>E306*D306*31</f>
        <v>2213.4</v>
      </c>
      <c r="L306" s="138">
        <f>E306*D306*30</f>
        <v>2142</v>
      </c>
      <c r="M306" s="138">
        <f>E306*D306*31</f>
        <v>2213.4</v>
      </c>
      <c r="N306" s="138">
        <v>0</v>
      </c>
      <c r="O306" s="138">
        <v>0</v>
      </c>
      <c r="P306" s="138">
        <v>0</v>
      </c>
      <c r="Q306" s="138">
        <v>0</v>
      </c>
      <c r="R306" s="140">
        <v>0</v>
      </c>
      <c r="S306" s="141">
        <v>212</v>
      </c>
    </row>
    <row r="307" spans="1:19">
      <c r="A307" s="59"/>
      <c r="B307" s="134">
        <v>3</v>
      </c>
      <c r="C307" s="135" t="s">
        <v>64</v>
      </c>
      <c r="D307" s="136">
        <v>71.400000000000006</v>
      </c>
      <c r="E307" s="32">
        <v>1</v>
      </c>
      <c r="F307" s="137">
        <f t="shared" si="235"/>
        <v>15136.800000000001</v>
      </c>
      <c r="G307" s="138">
        <f>E307*D307*31</f>
        <v>2213.4</v>
      </c>
      <c r="H307" s="139">
        <f>E307*D307*28</f>
        <v>1999.2000000000003</v>
      </c>
      <c r="I307" s="138">
        <f>E307*D307*31</f>
        <v>2213.4</v>
      </c>
      <c r="J307" s="138">
        <f>E307*D307*30</f>
        <v>2142</v>
      </c>
      <c r="K307" s="138">
        <f>E307*D307*31</f>
        <v>2213.4</v>
      </c>
      <c r="L307" s="138">
        <f>E307*D307*30</f>
        <v>2142</v>
      </c>
      <c r="M307" s="138">
        <f>E307*D307*31</f>
        <v>2213.4</v>
      </c>
      <c r="N307" s="138">
        <v>0</v>
      </c>
      <c r="O307" s="138">
        <v>0</v>
      </c>
      <c r="P307" s="138">
        <v>0</v>
      </c>
      <c r="Q307" s="138">
        <v>0</v>
      </c>
      <c r="R307" s="140">
        <v>0</v>
      </c>
      <c r="S307" s="141">
        <v>212</v>
      </c>
    </row>
    <row r="308" spans="1:19">
      <c r="A308" s="59"/>
      <c r="B308" s="134">
        <v>5</v>
      </c>
      <c r="C308" s="135" t="s">
        <v>38</v>
      </c>
      <c r="D308" s="136">
        <v>71.400000000000006</v>
      </c>
      <c r="E308" s="32">
        <v>1</v>
      </c>
      <c r="F308" s="137">
        <f t="shared" si="235"/>
        <v>5283.6</v>
      </c>
      <c r="G308" s="138">
        <v>0</v>
      </c>
      <c r="H308" s="139">
        <f>E308*D308*28+D308*E308*15</f>
        <v>3070.2000000000003</v>
      </c>
      <c r="I308" s="138">
        <f>E308*D308*31</f>
        <v>2213.4</v>
      </c>
      <c r="J308" s="138">
        <v>0</v>
      </c>
      <c r="K308" s="138">
        <v>0</v>
      </c>
      <c r="L308" s="138">
        <v>0</v>
      </c>
      <c r="M308" s="138">
        <v>0</v>
      </c>
      <c r="N308" s="138">
        <v>0</v>
      </c>
      <c r="O308" s="138">
        <v>0</v>
      </c>
      <c r="P308" s="138">
        <v>0</v>
      </c>
      <c r="Q308" s="138">
        <v>0</v>
      </c>
      <c r="R308" s="140">
        <v>0</v>
      </c>
      <c r="S308" s="141">
        <f>15+28+31</f>
        <v>74</v>
      </c>
    </row>
    <row r="309" spans="1:19" s="13" customFormat="1">
      <c r="A309" s="190"/>
      <c r="B309" s="191">
        <v>6</v>
      </c>
      <c r="C309" s="192" t="s">
        <v>38</v>
      </c>
      <c r="D309" s="193">
        <v>71.400000000000006</v>
      </c>
      <c r="E309" s="32">
        <v>1</v>
      </c>
      <c r="F309" s="194">
        <f t="shared" si="235"/>
        <v>6497.4000000000005</v>
      </c>
      <c r="G309" s="195">
        <v>0</v>
      </c>
      <c r="H309" s="196">
        <v>0</v>
      </c>
      <c r="I309" s="195">
        <v>0</v>
      </c>
      <c r="J309" s="195">
        <f>E309*D309*30</f>
        <v>2142</v>
      </c>
      <c r="K309" s="195">
        <f t="shared" ref="K309" si="236">E309*D309*31</f>
        <v>2213.4</v>
      </c>
      <c r="L309" s="195">
        <f t="shared" ref="L309" si="237">E309*D309*30</f>
        <v>2142</v>
      </c>
      <c r="M309" s="195">
        <v>0</v>
      </c>
      <c r="N309" s="195">
        <v>0</v>
      </c>
      <c r="O309" s="195">
        <v>0</v>
      </c>
      <c r="P309" s="195">
        <v>0</v>
      </c>
      <c r="Q309" s="195">
        <v>0</v>
      </c>
      <c r="R309" s="197">
        <v>0</v>
      </c>
      <c r="S309" s="198">
        <f>30+31+30</f>
        <v>91</v>
      </c>
    </row>
    <row r="310" spans="1:19" s="7" customFormat="1">
      <c r="A310" s="128"/>
      <c r="B310" s="129">
        <v>4</v>
      </c>
      <c r="C310" s="30" t="s">
        <v>54</v>
      </c>
      <c r="D310" s="31">
        <v>71.400000000000006</v>
      </c>
      <c r="E310" s="33">
        <v>1</v>
      </c>
      <c r="F310" s="130">
        <f t="shared" si="235"/>
        <v>15136.800000000001</v>
      </c>
      <c r="G310" s="47">
        <f>E310*D310*31</f>
        <v>2213.4</v>
      </c>
      <c r="H310" s="131">
        <f>E310*D310*28</f>
        <v>1999.2000000000003</v>
      </c>
      <c r="I310" s="47">
        <f>E310*D310*31</f>
        <v>2213.4</v>
      </c>
      <c r="J310" s="47">
        <f>E310*D310*30</f>
        <v>2142</v>
      </c>
      <c r="K310" s="47">
        <f>E310*D310*31</f>
        <v>2213.4</v>
      </c>
      <c r="L310" s="47">
        <f>E310*D310*30</f>
        <v>2142</v>
      </c>
      <c r="M310" s="47">
        <f>E310*D310*31</f>
        <v>2213.4</v>
      </c>
      <c r="N310" s="47">
        <v>0</v>
      </c>
      <c r="O310" s="47">
        <v>0</v>
      </c>
      <c r="P310" s="47">
        <v>0</v>
      </c>
      <c r="Q310" s="47">
        <v>0</v>
      </c>
      <c r="R310" s="132">
        <v>0</v>
      </c>
      <c r="S310" s="133">
        <v>212</v>
      </c>
    </row>
    <row r="311" spans="1:19" s="7" customFormat="1">
      <c r="A311" s="128"/>
      <c r="B311" s="129">
        <v>8</v>
      </c>
      <c r="C311" s="30" t="s">
        <v>38</v>
      </c>
      <c r="D311" s="31">
        <v>71.400000000000006</v>
      </c>
      <c r="E311" s="33">
        <v>1</v>
      </c>
      <c r="F311" s="130">
        <f>+E311*S311*D311</f>
        <v>6568.8</v>
      </c>
      <c r="G311" s="47">
        <v>0</v>
      </c>
      <c r="H311" s="131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f>+D311*E311*31</f>
        <v>2213.4</v>
      </c>
      <c r="N311" s="47">
        <f>+D311*E311*31</f>
        <v>2213.4</v>
      </c>
      <c r="O311" s="47">
        <f>+D311*E311*30</f>
        <v>2142</v>
      </c>
      <c r="P311" s="47">
        <v>0</v>
      </c>
      <c r="Q311" s="47">
        <v>0</v>
      </c>
      <c r="R311" s="132">
        <v>0</v>
      </c>
      <c r="S311" s="133">
        <f>31+31+30</f>
        <v>92</v>
      </c>
    </row>
    <row r="312" spans="1:19" s="7" customFormat="1" ht="18.75" customHeight="1">
      <c r="A312" s="128"/>
      <c r="B312" s="129">
        <v>1</v>
      </c>
      <c r="C312" s="30" t="s">
        <v>35</v>
      </c>
      <c r="D312" s="31">
        <v>71.400000000000006</v>
      </c>
      <c r="E312" s="33">
        <v>1</v>
      </c>
      <c r="F312" s="130">
        <f t="shared" ref="F312:F316" si="238">+E312*S312*D312</f>
        <v>10924.2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0</v>
      </c>
      <c r="N312" s="47">
        <f t="shared" ref="N312:N315" si="239">+D312*E312*31</f>
        <v>2213.4</v>
      </c>
      <c r="O312" s="47">
        <f t="shared" ref="O312:O315" si="240">+D312*E312*30</f>
        <v>2142</v>
      </c>
      <c r="P312" s="47">
        <f t="shared" ref="P312:P315" si="241">+D312*E312*31</f>
        <v>2213.4</v>
      </c>
      <c r="Q312" s="47">
        <f t="shared" ref="Q312:Q315" si="242">+D312*E312*30</f>
        <v>2142</v>
      </c>
      <c r="R312" s="132">
        <f t="shared" ref="R312:R315" si="243">+D312*E312*31</f>
        <v>2213.4</v>
      </c>
      <c r="S312" s="133">
        <f t="shared" ref="S312:S315" si="244">31+30+31+30+31</f>
        <v>153</v>
      </c>
    </row>
    <row r="313" spans="1:19" s="7" customFormat="1">
      <c r="A313" s="128"/>
      <c r="B313" s="129">
        <v>2</v>
      </c>
      <c r="C313" s="30" t="s">
        <v>38</v>
      </c>
      <c r="D313" s="31">
        <v>71.400000000000006</v>
      </c>
      <c r="E313" s="33">
        <v>1</v>
      </c>
      <c r="F313" s="130">
        <f t="shared" si="238"/>
        <v>10924.2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f t="shared" si="239"/>
        <v>2213.4</v>
      </c>
      <c r="O313" s="47">
        <f t="shared" si="240"/>
        <v>2142</v>
      </c>
      <c r="P313" s="47">
        <f t="shared" si="241"/>
        <v>2213.4</v>
      </c>
      <c r="Q313" s="47">
        <f t="shared" si="242"/>
        <v>2142</v>
      </c>
      <c r="R313" s="132">
        <f t="shared" si="243"/>
        <v>2213.4</v>
      </c>
      <c r="S313" s="133">
        <f t="shared" si="244"/>
        <v>153</v>
      </c>
    </row>
    <row r="314" spans="1:19" s="7" customFormat="1">
      <c r="A314" s="128"/>
      <c r="B314" s="129">
        <v>3</v>
      </c>
      <c r="C314" s="30" t="s">
        <v>64</v>
      </c>
      <c r="D314" s="31">
        <v>71.400000000000006</v>
      </c>
      <c r="E314" s="33">
        <v>1</v>
      </c>
      <c r="F314" s="130">
        <f t="shared" si="238"/>
        <v>10924.2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f t="shared" si="239"/>
        <v>2213.4</v>
      </c>
      <c r="O314" s="47">
        <f t="shared" si="240"/>
        <v>2142</v>
      </c>
      <c r="P314" s="47">
        <f t="shared" si="241"/>
        <v>2213.4</v>
      </c>
      <c r="Q314" s="47">
        <f t="shared" si="242"/>
        <v>2142</v>
      </c>
      <c r="R314" s="132">
        <f t="shared" si="243"/>
        <v>2213.4</v>
      </c>
      <c r="S314" s="133">
        <f t="shared" si="244"/>
        <v>153</v>
      </c>
    </row>
    <row r="315" spans="1:19" s="7" customFormat="1">
      <c r="A315" s="128"/>
      <c r="B315" s="129">
        <v>4</v>
      </c>
      <c r="C315" s="30" t="s">
        <v>54</v>
      </c>
      <c r="D315" s="31">
        <v>71.400000000000006</v>
      </c>
      <c r="E315" s="33">
        <v>1</v>
      </c>
      <c r="F315" s="130">
        <f t="shared" si="238"/>
        <v>10924.2</v>
      </c>
      <c r="G315" s="47">
        <v>0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f t="shared" si="239"/>
        <v>2213.4</v>
      </c>
      <c r="O315" s="47">
        <f t="shared" si="240"/>
        <v>2142</v>
      </c>
      <c r="P315" s="47">
        <f t="shared" si="241"/>
        <v>2213.4</v>
      </c>
      <c r="Q315" s="47">
        <f t="shared" si="242"/>
        <v>2142</v>
      </c>
      <c r="R315" s="132">
        <f t="shared" si="243"/>
        <v>2213.4</v>
      </c>
      <c r="S315" s="133">
        <f t="shared" si="244"/>
        <v>153</v>
      </c>
    </row>
    <row r="316" spans="1:19" s="7" customFormat="1">
      <c r="A316" s="128"/>
      <c r="B316" s="129">
        <v>7</v>
      </c>
      <c r="C316" s="30" t="s">
        <v>35</v>
      </c>
      <c r="D316" s="31">
        <v>71.400000000000006</v>
      </c>
      <c r="E316" s="33">
        <v>2</v>
      </c>
      <c r="F316" s="130">
        <f t="shared" si="238"/>
        <v>13137.6</v>
      </c>
      <c r="G316" s="47">
        <v>0</v>
      </c>
      <c r="H316" s="131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f>+D316*E316*61</f>
        <v>8710.8000000000011</v>
      </c>
      <c r="N316" s="47">
        <f>+D316*E316*31</f>
        <v>4426.8</v>
      </c>
      <c r="O316" s="47">
        <v>0</v>
      </c>
      <c r="P316" s="47">
        <v>0</v>
      </c>
      <c r="Q316" s="47">
        <v>0</v>
      </c>
      <c r="R316" s="132">
        <v>0</v>
      </c>
      <c r="S316" s="133">
        <f>30+31+31</f>
        <v>92</v>
      </c>
    </row>
    <row r="317" spans="1:19">
      <c r="A317" s="59"/>
      <c r="B317" s="134">
        <v>1</v>
      </c>
      <c r="C317" s="135" t="s">
        <v>138</v>
      </c>
      <c r="D317" s="136">
        <v>72.540000000000006</v>
      </c>
      <c r="E317" s="32">
        <v>1</v>
      </c>
      <c r="F317" s="137">
        <f>+E317*S317*D317</f>
        <v>15378.480000000001</v>
      </c>
      <c r="G317" s="138">
        <f>E317*D317*31</f>
        <v>2248.7400000000002</v>
      </c>
      <c r="H317" s="139">
        <f>E317*D317*28</f>
        <v>2031.1200000000001</v>
      </c>
      <c r="I317" s="138">
        <f>E317*D317*31</f>
        <v>2248.7400000000002</v>
      </c>
      <c r="J317" s="138">
        <f>E317*D317*30</f>
        <v>2176.2000000000003</v>
      </c>
      <c r="K317" s="138">
        <f>E317*D317*31</f>
        <v>2248.7400000000002</v>
      </c>
      <c r="L317" s="138">
        <f>E317*D317*30</f>
        <v>2176.2000000000003</v>
      </c>
      <c r="M317" s="138">
        <f>E317*D317*31</f>
        <v>2248.7400000000002</v>
      </c>
      <c r="N317" s="138">
        <v>0</v>
      </c>
      <c r="O317" s="138">
        <v>0</v>
      </c>
      <c r="P317" s="138">
        <v>0</v>
      </c>
      <c r="Q317" s="138">
        <v>0</v>
      </c>
      <c r="R317" s="140">
        <v>0</v>
      </c>
      <c r="S317" s="141">
        <v>212</v>
      </c>
    </row>
    <row r="318" spans="1:19">
      <c r="A318" s="59"/>
      <c r="B318" s="134">
        <v>2</v>
      </c>
      <c r="C318" s="135" t="s">
        <v>35</v>
      </c>
      <c r="D318" s="136">
        <v>71.400000000000006</v>
      </c>
      <c r="E318" s="32">
        <v>3</v>
      </c>
      <c r="F318" s="137">
        <f>+E318*S318*D318</f>
        <v>45410.400000000001</v>
      </c>
      <c r="G318" s="138">
        <f>E318*D318*31</f>
        <v>6640.2000000000007</v>
      </c>
      <c r="H318" s="139">
        <f>E318*D318*28</f>
        <v>5997.6</v>
      </c>
      <c r="I318" s="138">
        <f>E318*D318*31</f>
        <v>6640.2000000000007</v>
      </c>
      <c r="J318" s="138">
        <f>E318*D318*30</f>
        <v>6426.0000000000009</v>
      </c>
      <c r="K318" s="138">
        <f>E318*D318*31</f>
        <v>6640.2000000000007</v>
      </c>
      <c r="L318" s="138">
        <f>E318*D318*30</f>
        <v>6426.0000000000009</v>
      </c>
      <c r="M318" s="138">
        <f>E318*D318*31</f>
        <v>6640.2000000000007</v>
      </c>
      <c r="N318" s="138">
        <v>0</v>
      </c>
      <c r="O318" s="138">
        <v>0</v>
      </c>
      <c r="P318" s="138">
        <v>0</v>
      </c>
      <c r="Q318" s="138">
        <v>0</v>
      </c>
      <c r="R318" s="140">
        <v>0</v>
      </c>
      <c r="S318" s="141">
        <v>212</v>
      </c>
    </row>
    <row r="319" spans="1:19" s="7" customFormat="1">
      <c r="A319" s="128"/>
      <c r="B319" s="129">
        <v>1</v>
      </c>
      <c r="C319" s="30" t="s">
        <v>138</v>
      </c>
      <c r="D319" s="31">
        <v>72.540000000000006</v>
      </c>
      <c r="E319" s="33">
        <v>1</v>
      </c>
      <c r="F319" s="130">
        <f>+E319*S319*D319</f>
        <v>11098.62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f t="shared" ref="N319:N320" si="245">+D319*E319*31</f>
        <v>2248.7400000000002</v>
      </c>
      <c r="O319" s="47">
        <f t="shared" ref="O319:O320" si="246">+D319*E319*30</f>
        <v>2176.2000000000003</v>
      </c>
      <c r="P319" s="47">
        <f t="shared" ref="P319:P320" si="247">+D319*E319*31</f>
        <v>2248.7400000000002</v>
      </c>
      <c r="Q319" s="47">
        <f t="shared" ref="Q319:Q320" si="248">+D319*E319*30</f>
        <v>2176.2000000000003</v>
      </c>
      <c r="R319" s="132">
        <f t="shared" ref="R319:R320" si="249">+D319*E319*31</f>
        <v>2248.7400000000002</v>
      </c>
      <c r="S319" s="133">
        <f t="shared" ref="S319:S320" si="250">31+30+31+30+31</f>
        <v>153</v>
      </c>
    </row>
    <row r="320" spans="1:19" s="7" customFormat="1">
      <c r="A320" s="128"/>
      <c r="B320" s="129">
        <v>2</v>
      </c>
      <c r="C320" s="30" t="s">
        <v>35</v>
      </c>
      <c r="D320" s="31">
        <v>71.400000000000006</v>
      </c>
      <c r="E320" s="33">
        <v>3</v>
      </c>
      <c r="F320" s="130">
        <f>+E320*S320*D320</f>
        <v>32772.600000000006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f t="shared" si="245"/>
        <v>6640.2000000000007</v>
      </c>
      <c r="O320" s="47">
        <f t="shared" si="246"/>
        <v>6426.0000000000009</v>
      </c>
      <c r="P320" s="47">
        <f t="shared" si="247"/>
        <v>6640.2000000000007</v>
      </c>
      <c r="Q320" s="47">
        <f t="shared" si="248"/>
        <v>6426.0000000000009</v>
      </c>
      <c r="R320" s="132">
        <f t="shared" si="249"/>
        <v>6640.2000000000007</v>
      </c>
      <c r="S320" s="133">
        <f t="shared" si="250"/>
        <v>153</v>
      </c>
    </row>
    <row r="321" spans="1:20" ht="15.75" thickBot="1">
      <c r="A321" s="59"/>
      <c r="B321" s="199"/>
      <c r="C321" s="333" t="s">
        <v>125</v>
      </c>
      <c r="D321" s="200"/>
      <c r="E321" s="201"/>
      <c r="F321" s="202">
        <f>104661-SUM(F317:F320)</f>
        <v>0.89999999999417923</v>
      </c>
      <c r="G321" s="203"/>
      <c r="H321" s="204"/>
      <c r="I321" s="205"/>
      <c r="J321" s="205"/>
      <c r="K321" s="205"/>
      <c r="L321" s="205"/>
      <c r="M321" s="205"/>
      <c r="N321" s="205"/>
      <c r="O321" s="205"/>
      <c r="P321" s="205"/>
      <c r="Q321" s="205"/>
      <c r="R321" s="211">
        <f>F321</f>
        <v>0.89999999999417923</v>
      </c>
    </row>
    <row r="322" spans="1:20" ht="30.75" customHeight="1">
      <c r="A322" s="59"/>
      <c r="B322" s="291"/>
      <c r="C322" s="746" t="s">
        <v>66</v>
      </c>
      <c r="D322" s="747"/>
      <c r="E322" s="334"/>
      <c r="F322" s="335"/>
      <c r="G322" s="336"/>
      <c r="H322" s="337"/>
      <c r="I322" s="336"/>
      <c r="J322" s="336"/>
      <c r="K322" s="336"/>
      <c r="L322" s="336"/>
      <c r="M322" s="336"/>
      <c r="N322" s="336"/>
      <c r="O322" s="336"/>
      <c r="P322" s="336"/>
      <c r="Q322" s="336"/>
      <c r="R322" s="338"/>
    </row>
    <row r="323" spans="1:20" ht="29.25" customHeight="1">
      <c r="A323" s="59"/>
      <c r="B323" s="163"/>
      <c r="C323" s="748" t="s">
        <v>139</v>
      </c>
      <c r="D323" s="748"/>
      <c r="E323" s="339">
        <f>SUM(E326:E349)</f>
        <v>71</v>
      </c>
      <c r="F323" s="165">
        <f>SUM(F326:F350)</f>
        <v>888962</v>
      </c>
      <c r="G323" s="166">
        <f t="shared" ref="G323:Q323" si="251">SUM(G326:G349)</f>
        <v>60753.8</v>
      </c>
      <c r="H323" s="166">
        <f t="shared" si="251"/>
        <v>72259.3</v>
      </c>
      <c r="I323" s="166">
        <f t="shared" si="251"/>
        <v>73287.100000000006</v>
      </c>
      <c r="J323" s="166">
        <f t="shared" si="251"/>
        <v>70923</v>
      </c>
      <c r="K323" s="166">
        <f t="shared" si="251"/>
        <v>73287.100000000006</v>
      </c>
      <c r="L323" s="166">
        <f t="shared" si="251"/>
        <v>70923</v>
      </c>
      <c r="M323" s="166">
        <f t="shared" si="251"/>
        <v>73287.100000000006</v>
      </c>
      <c r="N323" s="340">
        <f t="shared" si="251"/>
        <v>71346.460000000006</v>
      </c>
      <c r="O323" s="340">
        <f t="shared" si="251"/>
        <v>76278</v>
      </c>
      <c r="P323" s="340">
        <f t="shared" si="251"/>
        <v>60753.8</v>
      </c>
      <c r="Q323" s="340">
        <f t="shared" si="251"/>
        <v>58794</v>
      </c>
      <c r="R323" s="167">
        <f>SUM(R326:R350)</f>
        <v>127069.33999999992</v>
      </c>
      <c r="S323" s="22">
        <f>F323-SUM(G323:R323)</f>
        <v>0</v>
      </c>
    </row>
    <row r="324" spans="1:20">
      <c r="A324" s="59"/>
      <c r="B324" s="341"/>
      <c r="C324" s="168"/>
      <c r="D324" s="168"/>
      <c r="E324" s="342"/>
      <c r="F324" s="170">
        <f>SUM(F326:F349)</f>
        <v>822646.46000000008</v>
      </c>
      <c r="G324" s="166"/>
      <c r="H324" s="171"/>
      <c r="I324" s="171"/>
      <c r="J324" s="171"/>
      <c r="K324" s="171"/>
      <c r="L324" s="171"/>
      <c r="M324" s="171"/>
      <c r="N324" s="343"/>
      <c r="O324" s="344"/>
      <c r="P324" s="343"/>
      <c r="Q324" s="343"/>
      <c r="R324" s="172"/>
    </row>
    <row r="325" spans="1:20">
      <c r="A325" s="59"/>
      <c r="B325" s="207"/>
      <c r="C325" s="345"/>
      <c r="D325" s="345"/>
      <c r="E325" s="346" t="s">
        <v>124</v>
      </c>
      <c r="F325" s="347">
        <v>0</v>
      </c>
      <c r="G325" s="348"/>
      <c r="H325" s="348"/>
      <c r="I325" s="348"/>
      <c r="J325" s="348"/>
      <c r="K325" s="348"/>
      <c r="L325" s="348"/>
      <c r="M325" s="348"/>
      <c r="N325" s="349"/>
      <c r="O325" s="350"/>
      <c r="P325" s="348"/>
      <c r="Q325" s="348"/>
      <c r="R325" s="351"/>
    </row>
    <row r="326" spans="1:20" s="13" customFormat="1">
      <c r="A326" s="190"/>
      <c r="B326" s="310">
        <v>1</v>
      </c>
      <c r="C326" s="352" t="s">
        <v>35</v>
      </c>
      <c r="D326" s="244">
        <v>71.400000000000006</v>
      </c>
      <c r="E326" s="245">
        <v>8</v>
      </c>
      <c r="F326" s="246">
        <f t="shared" ref="F326:F338" si="252">+E326*S326*D326</f>
        <v>121094.40000000001</v>
      </c>
      <c r="G326" s="195">
        <f t="shared" ref="G326:G334" si="253">E326*D326*31</f>
        <v>17707.2</v>
      </c>
      <c r="H326" s="196">
        <f>E326*D326*28</f>
        <v>15993.600000000002</v>
      </c>
      <c r="I326" s="195">
        <f>E326*D326*31</f>
        <v>17707.2</v>
      </c>
      <c r="J326" s="195">
        <f>E326*D326*30</f>
        <v>17136</v>
      </c>
      <c r="K326" s="195">
        <f>E326*D326*31</f>
        <v>17707.2</v>
      </c>
      <c r="L326" s="195">
        <f>E326*D326*30</f>
        <v>17136</v>
      </c>
      <c r="M326" s="195">
        <f>E326*D326*31</f>
        <v>17707.2</v>
      </c>
      <c r="N326" s="195">
        <v>0</v>
      </c>
      <c r="O326" s="195">
        <v>0</v>
      </c>
      <c r="P326" s="195">
        <v>0</v>
      </c>
      <c r="Q326" s="195">
        <v>0</v>
      </c>
      <c r="R326" s="197">
        <v>0</v>
      </c>
      <c r="S326" s="198">
        <v>212</v>
      </c>
      <c r="T326"/>
    </row>
    <row r="327" spans="1:20" s="13" customFormat="1">
      <c r="A327" s="190"/>
      <c r="B327" s="310">
        <v>1</v>
      </c>
      <c r="C327" s="352" t="s">
        <v>35</v>
      </c>
      <c r="D327" s="244">
        <v>71.400000000000006</v>
      </c>
      <c r="E327" s="245">
        <v>1</v>
      </c>
      <c r="F327" s="246">
        <f t="shared" si="252"/>
        <v>0</v>
      </c>
      <c r="G327" s="195">
        <v>0</v>
      </c>
      <c r="H327" s="196">
        <v>0</v>
      </c>
      <c r="I327" s="195">
        <v>0</v>
      </c>
      <c r="J327" s="195">
        <v>0</v>
      </c>
      <c r="K327" s="195">
        <v>0</v>
      </c>
      <c r="L327" s="195">
        <v>0</v>
      </c>
      <c r="M327" s="195">
        <v>0</v>
      </c>
      <c r="N327" s="195">
        <v>0</v>
      </c>
      <c r="O327" s="195">
        <v>0</v>
      </c>
      <c r="P327" s="195">
        <v>0</v>
      </c>
      <c r="Q327" s="195">
        <v>0</v>
      </c>
      <c r="R327" s="197">
        <v>0</v>
      </c>
      <c r="S327" s="198">
        <v>0</v>
      </c>
      <c r="T327"/>
    </row>
    <row r="328" spans="1:20">
      <c r="A328" s="59"/>
      <c r="B328" s="134">
        <v>2</v>
      </c>
      <c r="C328" s="135" t="s">
        <v>67</v>
      </c>
      <c r="D328" s="136">
        <v>73.59</v>
      </c>
      <c r="E328" s="32">
        <v>1</v>
      </c>
      <c r="F328" s="137">
        <f t="shared" si="252"/>
        <v>15601.08</v>
      </c>
      <c r="G328" s="195">
        <f t="shared" si="253"/>
        <v>2281.29</v>
      </c>
      <c r="H328" s="196">
        <f t="shared" ref="H328:H334" si="254">E328*D328*28</f>
        <v>2060.52</v>
      </c>
      <c r="I328" s="195">
        <f t="shared" ref="I328:I334" si="255">E328*D328*31</f>
        <v>2281.29</v>
      </c>
      <c r="J328" s="195">
        <f t="shared" ref="J328:J334" si="256">E328*D328*30</f>
        <v>2207.7000000000003</v>
      </c>
      <c r="K328" s="195">
        <f t="shared" ref="K328:K334" si="257">E328*D328*31</f>
        <v>2281.29</v>
      </c>
      <c r="L328" s="195">
        <f t="shared" ref="L328:L334" si="258">E328*D328*30</f>
        <v>2207.7000000000003</v>
      </c>
      <c r="M328" s="195">
        <f t="shared" ref="M328:M334" si="259">E328*D328*31</f>
        <v>2281.29</v>
      </c>
      <c r="N328" s="195">
        <v>0</v>
      </c>
      <c r="O328" s="195">
        <v>0</v>
      </c>
      <c r="P328" s="195">
        <v>0</v>
      </c>
      <c r="Q328" s="195">
        <v>0</v>
      </c>
      <c r="R328" s="197">
        <v>0</v>
      </c>
      <c r="S328" s="141">
        <v>212</v>
      </c>
    </row>
    <row r="329" spans="1:20">
      <c r="A329" s="59"/>
      <c r="B329" s="134">
        <v>3</v>
      </c>
      <c r="C329" s="135" t="s">
        <v>50</v>
      </c>
      <c r="D329" s="136">
        <v>74.63</v>
      </c>
      <c r="E329" s="32">
        <v>1</v>
      </c>
      <c r="F329" s="137">
        <f t="shared" si="252"/>
        <v>15821.56</v>
      </c>
      <c r="G329" s="195">
        <f t="shared" si="253"/>
        <v>2313.5299999999997</v>
      </c>
      <c r="H329" s="196">
        <f t="shared" si="254"/>
        <v>2089.64</v>
      </c>
      <c r="I329" s="195">
        <f t="shared" si="255"/>
        <v>2313.5299999999997</v>
      </c>
      <c r="J329" s="195">
        <f t="shared" si="256"/>
        <v>2238.8999999999996</v>
      </c>
      <c r="K329" s="195">
        <f t="shared" si="257"/>
        <v>2313.5299999999997</v>
      </c>
      <c r="L329" s="195">
        <f t="shared" si="258"/>
        <v>2238.8999999999996</v>
      </c>
      <c r="M329" s="195">
        <f t="shared" si="259"/>
        <v>2313.5299999999997</v>
      </c>
      <c r="N329" s="195">
        <v>0</v>
      </c>
      <c r="O329" s="195">
        <v>0</v>
      </c>
      <c r="P329" s="195">
        <v>0</v>
      </c>
      <c r="Q329" s="195">
        <v>0</v>
      </c>
      <c r="R329" s="197">
        <v>0</v>
      </c>
      <c r="S329" s="141">
        <v>212</v>
      </c>
    </row>
    <row r="330" spans="1:20" s="13" customFormat="1">
      <c r="A330" s="190"/>
      <c r="B330" s="310">
        <v>4</v>
      </c>
      <c r="C330" s="192" t="s">
        <v>38</v>
      </c>
      <c r="D330" s="193">
        <v>71.400000000000006</v>
      </c>
      <c r="E330" s="32">
        <v>7</v>
      </c>
      <c r="F330" s="194">
        <f t="shared" si="252"/>
        <v>105957.6</v>
      </c>
      <c r="G330" s="195">
        <f t="shared" si="253"/>
        <v>15493.800000000003</v>
      </c>
      <c r="H330" s="196">
        <f t="shared" si="254"/>
        <v>13994.400000000001</v>
      </c>
      <c r="I330" s="195">
        <f t="shared" si="255"/>
        <v>15493.800000000003</v>
      </c>
      <c r="J330" s="195">
        <f t="shared" si="256"/>
        <v>14994.000000000002</v>
      </c>
      <c r="K330" s="195">
        <f t="shared" si="257"/>
        <v>15493.800000000003</v>
      </c>
      <c r="L330" s="195">
        <f t="shared" si="258"/>
        <v>14994.000000000002</v>
      </c>
      <c r="M330" s="195">
        <f t="shared" si="259"/>
        <v>15493.800000000003</v>
      </c>
      <c r="N330" s="195">
        <v>0</v>
      </c>
      <c r="O330" s="195">
        <v>0</v>
      </c>
      <c r="P330" s="195">
        <v>0</v>
      </c>
      <c r="Q330" s="195">
        <v>0</v>
      </c>
      <c r="R330" s="197">
        <v>0</v>
      </c>
      <c r="S330" s="198">
        <v>212</v>
      </c>
      <c r="T330"/>
    </row>
    <row r="331" spans="1:20" ht="15.75" customHeight="1">
      <c r="A331" s="59"/>
      <c r="B331" s="134">
        <v>5</v>
      </c>
      <c r="C331" s="135" t="s">
        <v>68</v>
      </c>
      <c r="D331" s="136">
        <v>72.540000000000006</v>
      </c>
      <c r="E331" s="32">
        <v>2</v>
      </c>
      <c r="F331" s="137">
        <f t="shared" si="252"/>
        <v>30756.960000000003</v>
      </c>
      <c r="G331" s="195">
        <f t="shared" si="253"/>
        <v>4497.4800000000005</v>
      </c>
      <c r="H331" s="196">
        <f t="shared" si="254"/>
        <v>4062.2400000000002</v>
      </c>
      <c r="I331" s="195">
        <f t="shared" si="255"/>
        <v>4497.4800000000005</v>
      </c>
      <c r="J331" s="195">
        <f t="shared" si="256"/>
        <v>4352.4000000000005</v>
      </c>
      <c r="K331" s="195">
        <f t="shared" si="257"/>
        <v>4497.4800000000005</v>
      </c>
      <c r="L331" s="195">
        <f t="shared" si="258"/>
        <v>4352.4000000000005</v>
      </c>
      <c r="M331" s="195">
        <f t="shared" si="259"/>
        <v>4497.4800000000005</v>
      </c>
      <c r="N331" s="195">
        <v>0</v>
      </c>
      <c r="O331" s="195">
        <v>0</v>
      </c>
      <c r="P331" s="195">
        <v>0</v>
      </c>
      <c r="Q331" s="195">
        <v>0</v>
      </c>
      <c r="R331" s="197">
        <v>0</v>
      </c>
      <c r="S331" s="141">
        <v>212</v>
      </c>
    </row>
    <row r="332" spans="1:20">
      <c r="A332" s="59"/>
      <c r="B332" s="134">
        <v>6</v>
      </c>
      <c r="C332" s="135" t="s">
        <v>39</v>
      </c>
      <c r="D332" s="136">
        <v>78.25</v>
      </c>
      <c r="E332" s="32">
        <v>2</v>
      </c>
      <c r="F332" s="137">
        <f t="shared" si="252"/>
        <v>33178</v>
      </c>
      <c r="G332" s="195">
        <f t="shared" si="253"/>
        <v>4851.5</v>
      </c>
      <c r="H332" s="196">
        <f t="shared" si="254"/>
        <v>4382</v>
      </c>
      <c r="I332" s="195">
        <f t="shared" si="255"/>
        <v>4851.5</v>
      </c>
      <c r="J332" s="195">
        <f t="shared" si="256"/>
        <v>4695</v>
      </c>
      <c r="K332" s="195">
        <f t="shared" si="257"/>
        <v>4851.5</v>
      </c>
      <c r="L332" s="195">
        <f t="shared" si="258"/>
        <v>4695</v>
      </c>
      <c r="M332" s="195">
        <f t="shared" si="259"/>
        <v>4851.5</v>
      </c>
      <c r="N332" s="195">
        <v>0</v>
      </c>
      <c r="O332" s="195">
        <v>0</v>
      </c>
      <c r="P332" s="195">
        <v>0</v>
      </c>
      <c r="Q332" s="195">
        <v>0</v>
      </c>
      <c r="R332" s="197">
        <v>0</v>
      </c>
      <c r="S332" s="141">
        <v>212</v>
      </c>
    </row>
    <row r="333" spans="1:20">
      <c r="A333" s="59"/>
      <c r="B333" s="310">
        <v>7</v>
      </c>
      <c r="C333" s="135" t="s">
        <v>31</v>
      </c>
      <c r="D333" s="136">
        <v>72.540000000000006</v>
      </c>
      <c r="E333" s="32">
        <v>1</v>
      </c>
      <c r="F333" s="137">
        <f t="shared" si="252"/>
        <v>15378.480000000001</v>
      </c>
      <c r="G333" s="195">
        <f t="shared" si="253"/>
        <v>2248.7400000000002</v>
      </c>
      <c r="H333" s="196">
        <f t="shared" si="254"/>
        <v>2031.1200000000001</v>
      </c>
      <c r="I333" s="195">
        <f t="shared" si="255"/>
        <v>2248.7400000000002</v>
      </c>
      <c r="J333" s="195">
        <f t="shared" si="256"/>
        <v>2176.2000000000003</v>
      </c>
      <c r="K333" s="195">
        <f t="shared" si="257"/>
        <v>2248.7400000000002</v>
      </c>
      <c r="L333" s="195">
        <f t="shared" si="258"/>
        <v>2176.2000000000003</v>
      </c>
      <c r="M333" s="195">
        <f t="shared" si="259"/>
        <v>2248.7400000000002</v>
      </c>
      <c r="N333" s="195">
        <v>0</v>
      </c>
      <c r="O333" s="195">
        <v>0</v>
      </c>
      <c r="P333" s="195">
        <v>0</v>
      </c>
      <c r="Q333" s="195">
        <v>0</v>
      </c>
      <c r="R333" s="197">
        <v>0</v>
      </c>
      <c r="S333" s="141">
        <v>212</v>
      </c>
    </row>
    <row r="334" spans="1:20">
      <c r="A334" s="59"/>
      <c r="B334" s="134">
        <v>8</v>
      </c>
      <c r="C334" s="135" t="s">
        <v>69</v>
      </c>
      <c r="D334" s="136">
        <v>71.400000000000006</v>
      </c>
      <c r="E334" s="32">
        <v>4</v>
      </c>
      <c r="F334" s="137">
        <f t="shared" si="252"/>
        <v>60547.200000000004</v>
      </c>
      <c r="G334" s="195">
        <f t="shared" si="253"/>
        <v>8853.6</v>
      </c>
      <c r="H334" s="196">
        <f t="shared" si="254"/>
        <v>7996.8000000000011</v>
      </c>
      <c r="I334" s="195">
        <f t="shared" si="255"/>
        <v>8853.6</v>
      </c>
      <c r="J334" s="195">
        <f t="shared" si="256"/>
        <v>8568</v>
      </c>
      <c r="K334" s="195">
        <f t="shared" si="257"/>
        <v>8853.6</v>
      </c>
      <c r="L334" s="195">
        <f t="shared" si="258"/>
        <v>8568</v>
      </c>
      <c r="M334" s="195">
        <f t="shared" si="259"/>
        <v>8853.6</v>
      </c>
      <c r="N334" s="195">
        <v>0</v>
      </c>
      <c r="O334" s="195">
        <v>0</v>
      </c>
      <c r="P334" s="195">
        <v>0</v>
      </c>
      <c r="Q334" s="195">
        <v>0</v>
      </c>
      <c r="R334" s="197">
        <v>0</v>
      </c>
      <c r="S334" s="141">
        <v>212</v>
      </c>
    </row>
    <row r="335" spans="1:20">
      <c r="A335" s="59"/>
      <c r="B335" s="134">
        <v>5</v>
      </c>
      <c r="C335" s="135" t="s">
        <v>37</v>
      </c>
      <c r="D335" s="136">
        <v>80.86</v>
      </c>
      <c r="E335" s="32">
        <v>5</v>
      </c>
      <c r="F335" s="137">
        <f t="shared" si="252"/>
        <v>29918.2</v>
      </c>
      <c r="G335" s="138">
        <v>0</v>
      </c>
      <c r="H335" s="139">
        <f>E335*D335*28+D335*E335*15</f>
        <v>17384.900000000001</v>
      </c>
      <c r="I335" s="138">
        <f>E335*D335*31</f>
        <v>12533.300000000001</v>
      </c>
      <c r="J335" s="138">
        <v>0</v>
      </c>
      <c r="K335" s="138">
        <v>0</v>
      </c>
      <c r="L335" s="138">
        <v>0</v>
      </c>
      <c r="M335" s="138">
        <v>0</v>
      </c>
      <c r="N335" s="138">
        <v>0</v>
      </c>
      <c r="O335" s="138"/>
      <c r="P335" s="138">
        <v>0</v>
      </c>
      <c r="Q335" s="138">
        <v>0</v>
      </c>
      <c r="R335" s="140">
        <v>0</v>
      </c>
      <c r="S335" s="141">
        <f>15+28+31</f>
        <v>74</v>
      </c>
    </row>
    <row r="336" spans="1:20" s="13" customFormat="1">
      <c r="A336" s="190"/>
      <c r="B336" s="191">
        <v>10</v>
      </c>
      <c r="C336" s="192" t="s">
        <v>37</v>
      </c>
      <c r="D336" s="193">
        <v>80.86</v>
      </c>
      <c r="E336" s="32">
        <v>5</v>
      </c>
      <c r="F336" s="194">
        <f t="shared" si="252"/>
        <v>36791.300000000003</v>
      </c>
      <c r="G336" s="195">
        <v>0</v>
      </c>
      <c r="H336" s="196">
        <v>0</v>
      </c>
      <c r="I336" s="195">
        <v>0</v>
      </c>
      <c r="J336" s="195">
        <f>E336*D336*30</f>
        <v>12129</v>
      </c>
      <c r="K336" s="195">
        <f t="shared" ref="K336" si="260">E336*D336*31</f>
        <v>12533.300000000001</v>
      </c>
      <c r="L336" s="195">
        <f t="shared" ref="L336" si="261">E336*D336*30</f>
        <v>12129</v>
      </c>
      <c r="M336" s="195">
        <v>0</v>
      </c>
      <c r="N336" s="195">
        <v>0</v>
      </c>
      <c r="O336" s="195">
        <v>0</v>
      </c>
      <c r="P336" s="195">
        <v>0</v>
      </c>
      <c r="Q336" s="195">
        <v>0</v>
      </c>
      <c r="R336" s="197">
        <v>0</v>
      </c>
      <c r="S336" s="198">
        <f>30+31+30</f>
        <v>91</v>
      </c>
    </row>
    <row r="337" spans="1:20" s="7" customFormat="1">
      <c r="A337" s="128"/>
      <c r="B337" s="129">
        <v>11</v>
      </c>
      <c r="C337" s="30" t="s">
        <v>37</v>
      </c>
      <c r="D337" s="31">
        <v>80.86</v>
      </c>
      <c r="E337" s="33">
        <v>4</v>
      </c>
      <c r="F337" s="130">
        <f t="shared" si="252"/>
        <v>29756.48</v>
      </c>
      <c r="G337" s="47">
        <v>0</v>
      </c>
      <c r="H337" s="131"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f>+D337*E337*31</f>
        <v>10026.64</v>
      </c>
      <c r="N337" s="47">
        <f>+D337*E337*31</f>
        <v>10026.64</v>
      </c>
      <c r="O337" s="47">
        <f>+D337*E337*30</f>
        <v>9703.2000000000007</v>
      </c>
      <c r="P337" s="47">
        <v>0</v>
      </c>
      <c r="Q337" s="47">
        <v>0</v>
      </c>
      <c r="R337" s="132">
        <v>0</v>
      </c>
      <c r="S337" s="133">
        <f>31+31+30</f>
        <v>92</v>
      </c>
    </row>
    <row r="338" spans="1:20" s="7" customFormat="1">
      <c r="A338" s="128"/>
      <c r="B338" s="129">
        <v>11</v>
      </c>
      <c r="C338" s="30" t="s">
        <v>37</v>
      </c>
      <c r="D338" s="31">
        <v>80.86</v>
      </c>
      <c r="E338" s="33">
        <v>1</v>
      </c>
      <c r="F338" s="130">
        <f t="shared" si="252"/>
        <v>5498.48</v>
      </c>
      <c r="G338" s="47">
        <v>0</v>
      </c>
      <c r="H338" s="131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f>+D338*E338*31</f>
        <v>2506.66</v>
      </c>
      <c r="N338" s="47">
        <f>+D338*E338*7</f>
        <v>566.02</v>
      </c>
      <c r="O338" s="47">
        <f>+D338*E338*30</f>
        <v>2425.8000000000002</v>
      </c>
      <c r="P338" s="47">
        <v>0</v>
      </c>
      <c r="Q338" s="47">
        <v>0</v>
      </c>
      <c r="R338" s="132">
        <v>0</v>
      </c>
      <c r="S338" s="133">
        <f>7+31+30</f>
        <v>68</v>
      </c>
    </row>
    <row r="339" spans="1:20" s="7" customFormat="1" ht="14.25" customHeight="1">
      <c r="A339" s="128"/>
      <c r="B339" s="129">
        <v>9</v>
      </c>
      <c r="C339" s="30" t="s">
        <v>37</v>
      </c>
      <c r="D339" s="31">
        <v>80.86</v>
      </c>
      <c r="E339" s="33">
        <v>1</v>
      </c>
      <c r="F339" s="130">
        <f>+E339*S339*D339</f>
        <v>17142.32</v>
      </c>
      <c r="G339" s="47">
        <f>E339*D339*31</f>
        <v>2506.66</v>
      </c>
      <c r="H339" s="131">
        <f>E339*D339*28</f>
        <v>2264.08</v>
      </c>
      <c r="I339" s="47">
        <f>E339*D339*31</f>
        <v>2506.66</v>
      </c>
      <c r="J339" s="47">
        <f>E339*D339*30</f>
        <v>2425.8000000000002</v>
      </c>
      <c r="K339" s="47">
        <f>E339*D339*31</f>
        <v>2506.66</v>
      </c>
      <c r="L339" s="47">
        <f>E339*D339*30</f>
        <v>2425.8000000000002</v>
      </c>
      <c r="M339" s="47">
        <f>E339*D339*31</f>
        <v>2506.66</v>
      </c>
      <c r="N339" s="47">
        <v>0</v>
      </c>
      <c r="O339" s="47">
        <v>0</v>
      </c>
      <c r="P339" s="47">
        <v>0</v>
      </c>
      <c r="Q339" s="47">
        <v>0</v>
      </c>
      <c r="R339" s="132">
        <v>0</v>
      </c>
      <c r="S339" s="133">
        <v>212</v>
      </c>
    </row>
    <row r="340" spans="1:20" s="7" customFormat="1">
      <c r="A340" s="128"/>
      <c r="B340" s="233">
        <v>1</v>
      </c>
      <c r="C340" s="274" t="s">
        <v>35</v>
      </c>
      <c r="D340" s="275">
        <v>71.400000000000006</v>
      </c>
      <c r="E340" s="276">
        <v>1</v>
      </c>
      <c r="F340" s="277">
        <f t="shared" ref="F340:F348" si="262">+E340*S340*D340</f>
        <v>5355</v>
      </c>
      <c r="G340" s="47">
        <v>0</v>
      </c>
      <c r="H340" s="47">
        <v>0</v>
      </c>
      <c r="I340" s="47">
        <v>0</v>
      </c>
      <c r="J340" s="47">
        <v>0</v>
      </c>
      <c r="K340" s="47">
        <v>0</v>
      </c>
      <c r="L340" s="47">
        <v>0</v>
      </c>
      <c r="M340" s="47">
        <v>0</v>
      </c>
      <c r="N340" s="47">
        <v>0</v>
      </c>
      <c r="O340" s="47">
        <f>+D340*E340*75</f>
        <v>5355</v>
      </c>
      <c r="P340" s="47">
        <v>0</v>
      </c>
      <c r="Q340" s="47">
        <v>0</v>
      </c>
      <c r="R340" s="132">
        <v>0</v>
      </c>
      <c r="S340" s="133">
        <f>14+31+30</f>
        <v>75</v>
      </c>
    </row>
    <row r="341" spans="1:20" s="7" customFormat="1">
      <c r="A341" s="128"/>
      <c r="B341" s="233">
        <v>1</v>
      </c>
      <c r="C341" s="274" t="s">
        <v>35</v>
      </c>
      <c r="D341" s="275">
        <v>71.400000000000006</v>
      </c>
      <c r="E341" s="276">
        <v>8</v>
      </c>
      <c r="F341" s="277">
        <f t="shared" si="262"/>
        <v>87393.600000000006</v>
      </c>
      <c r="G341" s="47">
        <v>0</v>
      </c>
      <c r="H341" s="47">
        <v>0</v>
      </c>
      <c r="I341" s="47">
        <v>0</v>
      </c>
      <c r="J341" s="47">
        <v>0</v>
      </c>
      <c r="K341" s="47">
        <v>0</v>
      </c>
      <c r="L341" s="47">
        <v>0</v>
      </c>
      <c r="M341" s="47">
        <v>0</v>
      </c>
      <c r="N341" s="47">
        <f t="shared" ref="N341:N349" si="263">+D341*E341*31</f>
        <v>17707.2</v>
      </c>
      <c r="O341" s="47">
        <f t="shared" ref="O341:O349" si="264">+D341*E341*30</f>
        <v>17136</v>
      </c>
      <c r="P341" s="47">
        <f t="shared" ref="P341:P349" si="265">+D341*E341*31</f>
        <v>17707.2</v>
      </c>
      <c r="Q341" s="47">
        <f t="shared" ref="Q341:Q349" si="266">+D341*E341*30</f>
        <v>17136</v>
      </c>
      <c r="R341" s="132">
        <f t="shared" ref="R341:R349" si="267">+D341*E341*31</f>
        <v>17707.2</v>
      </c>
      <c r="S341" s="133">
        <f t="shared" ref="S341:S349" si="268">31+30+31+30+31</f>
        <v>153</v>
      </c>
    </row>
    <row r="342" spans="1:20" s="7" customFormat="1">
      <c r="A342" s="128"/>
      <c r="B342" s="129">
        <v>2</v>
      </c>
      <c r="C342" s="30" t="s">
        <v>67</v>
      </c>
      <c r="D342" s="31">
        <v>73.59</v>
      </c>
      <c r="E342" s="33">
        <v>1</v>
      </c>
      <c r="F342" s="130">
        <f t="shared" si="262"/>
        <v>11259.27</v>
      </c>
      <c r="G342" s="47">
        <v>0</v>
      </c>
      <c r="H342" s="47">
        <v>0</v>
      </c>
      <c r="I342" s="47">
        <v>0</v>
      </c>
      <c r="J342" s="47">
        <v>0</v>
      </c>
      <c r="K342" s="47">
        <v>0</v>
      </c>
      <c r="L342" s="47">
        <v>0</v>
      </c>
      <c r="M342" s="47">
        <v>0</v>
      </c>
      <c r="N342" s="47">
        <f t="shared" si="263"/>
        <v>2281.29</v>
      </c>
      <c r="O342" s="47">
        <f t="shared" si="264"/>
        <v>2207.7000000000003</v>
      </c>
      <c r="P342" s="47">
        <f t="shared" si="265"/>
        <v>2281.29</v>
      </c>
      <c r="Q342" s="47">
        <f t="shared" si="266"/>
        <v>2207.7000000000003</v>
      </c>
      <c r="R342" s="132">
        <f t="shared" si="267"/>
        <v>2281.29</v>
      </c>
      <c r="S342" s="133">
        <f t="shared" si="268"/>
        <v>153</v>
      </c>
    </row>
    <row r="343" spans="1:20" s="7" customFormat="1">
      <c r="A343" s="128"/>
      <c r="B343" s="129">
        <v>3</v>
      </c>
      <c r="C343" s="30" t="s">
        <v>50</v>
      </c>
      <c r="D343" s="31">
        <v>74.63</v>
      </c>
      <c r="E343" s="33">
        <v>1</v>
      </c>
      <c r="F343" s="130">
        <f t="shared" si="262"/>
        <v>11418.39</v>
      </c>
      <c r="G343" s="47">
        <v>0</v>
      </c>
      <c r="H343" s="47">
        <v>0</v>
      </c>
      <c r="I343" s="47">
        <v>0</v>
      </c>
      <c r="J343" s="47">
        <v>0</v>
      </c>
      <c r="K343" s="47">
        <v>0</v>
      </c>
      <c r="L343" s="47">
        <v>0</v>
      </c>
      <c r="M343" s="47">
        <v>0</v>
      </c>
      <c r="N343" s="47">
        <f t="shared" si="263"/>
        <v>2313.5299999999997</v>
      </c>
      <c r="O343" s="47">
        <f t="shared" si="264"/>
        <v>2238.8999999999996</v>
      </c>
      <c r="P343" s="47">
        <f t="shared" si="265"/>
        <v>2313.5299999999997</v>
      </c>
      <c r="Q343" s="47">
        <f t="shared" si="266"/>
        <v>2238.8999999999996</v>
      </c>
      <c r="R343" s="132">
        <f t="shared" si="267"/>
        <v>2313.5299999999997</v>
      </c>
      <c r="S343" s="133">
        <f t="shared" si="268"/>
        <v>153</v>
      </c>
    </row>
    <row r="344" spans="1:20" s="7" customFormat="1">
      <c r="A344" s="128"/>
      <c r="B344" s="233">
        <v>4</v>
      </c>
      <c r="C344" s="30" t="s">
        <v>38</v>
      </c>
      <c r="D344" s="31">
        <v>71.400000000000006</v>
      </c>
      <c r="E344" s="33">
        <v>7</v>
      </c>
      <c r="F344" s="130">
        <f t="shared" si="262"/>
        <v>76469.400000000009</v>
      </c>
      <c r="G344" s="47">
        <v>0</v>
      </c>
      <c r="H344" s="47">
        <v>0</v>
      </c>
      <c r="I344" s="47">
        <v>0</v>
      </c>
      <c r="J344" s="47">
        <v>0</v>
      </c>
      <c r="K344" s="47">
        <v>0</v>
      </c>
      <c r="L344" s="47">
        <v>0</v>
      </c>
      <c r="M344" s="47">
        <v>0</v>
      </c>
      <c r="N344" s="47">
        <f t="shared" si="263"/>
        <v>15493.800000000003</v>
      </c>
      <c r="O344" s="47">
        <f t="shared" si="264"/>
        <v>14994.000000000002</v>
      </c>
      <c r="P344" s="47">
        <f t="shared" si="265"/>
        <v>15493.800000000003</v>
      </c>
      <c r="Q344" s="47">
        <f t="shared" si="266"/>
        <v>14994.000000000002</v>
      </c>
      <c r="R344" s="132">
        <f t="shared" si="267"/>
        <v>15493.800000000003</v>
      </c>
      <c r="S344" s="133">
        <f t="shared" si="268"/>
        <v>153</v>
      </c>
    </row>
    <row r="345" spans="1:20" s="7" customFormat="1" ht="15.75" customHeight="1">
      <c r="A345" s="128"/>
      <c r="B345" s="129">
        <v>5</v>
      </c>
      <c r="C345" s="30" t="s">
        <v>68</v>
      </c>
      <c r="D345" s="31">
        <v>72.540000000000006</v>
      </c>
      <c r="E345" s="33">
        <v>2</v>
      </c>
      <c r="F345" s="130">
        <f t="shared" si="262"/>
        <v>22197.24</v>
      </c>
      <c r="G345" s="47">
        <v>0</v>
      </c>
      <c r="H345" s="47">
        <v>0</v>
      </c>
      <c r="I345" s="47">
        <v>0</v>
      </c>
      <c r="J345" s="47">
        <v>0</v>
      </c>
      <c r="K345" s="47">
        <v>0</v>
      </c>
      <c r="L345" s="47">
        <v>0</v>
      </c>
      <c r="M345" s="47">
        <v>0</v>
      </c>
      <c r="N345" s="47">
        <f t="shared" si="263"/>
        <v>4497.4800000000005</v>
      </c>
      <c r="O345" s="47">
        <f t="shared" si="264"/>
        <v>4352.4000000000005</v>
      </c>
      <c r="P345" s="47">
        <f t="shared" si="265"/>
        <v>4497.4800000000005</v>
      </c>
      <c r="Q345" s="47">
        <f t="shared" si="266"/>
        <v>4352.4000000000005</v>
      </c>
      <c r="R345" s="132">
        <f t="shared" si="267"/>
        <v>4497.4800000000005</v>
      </c>
      <c r="S345" s="133">
        <f t="shared" si="268"/>
        <v>153</v>
      </c>
    </row>
    <row r="346" spans="1:20" s="7" customFormat="1">
      <c r="A346" s="128"/>
      <c r="B346" s="129">
        <v>6</v>
      </c>
      <c r="C346" s="30" t="s">
        <v>39</v>
      </c>
      <c r="D346" s="31">
        <v>78.25</v>
      </c>
      <c r="E346" s="33">
        <v>2</v>
      </c>
      <c r="F346" s="130">
        <f t="shared" si="262"/>
        <v>23944.5</v>
      </c>
      <c r="G346" s="47">
        <v>0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f t="shared" si="263"/>
        <v>4851.5</v>
      </c>
      <c r="O346" s="47">
        <f t="shared" si="264"/>
        <v>4695</v>
      </c>
      <c r="P346" s="47">
        <f t="shared" si="265"/>
        <v>4851.5</v>
      </c>
      <c r="Q346" s="47">
        <f t="shared" si="266"/>
        <v>4695</v>
      </c>
      <c r="R346" s="132">
        <f t="shared" si="267"/>
        <v>4851.5</v>
      </c>
      <c r="S346" s="133">
        <f t="shared" si="268"/>
        <v>153</v>
      </c>
    </row>
    <row r="347" spans="1:20" s="7" customFormat="1">
      <c r="A347" s="128"/>
      <c r="B347" s="233">
        <v>7</v>
      </c>
      <c r="C347" s="30" t="s">
        <v>31</v>
      </c>
      <c r="D347" s="31">
        <v>72.540000000000006</v>
      </c>
      <c r="E347" s="33">
        <v>1</v>
      </c>
      <c r="F347" s="130">
        <f t="shared" si="262"/>
        <v>11098.62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f t="shared" si="263"/>
        <v>2248.7400000000002</v>
      </c>
      <c r="O347" s="47">
        <f t="shared" si="264"/>
        <v>2176.2000000000003</v>
      </c>
      <c r="P347" s="47">
        <f t="shared" si="265"/>
        <v>2248.7400000000002</v>
      </c>
      <c r="Q347" s="47">
        <f t="shared" si="266"/>
        <v>2176.2000000000003</v>
      </c>
      <c r="R347" s="132">
        <f t="shared" si="267"/>
        <v>2248.7400000000002</v>
      </c>
      <c r="S347" s="133">
        <f t="shared" si="268"/>
        <v>153</v>
      </c>
    </row>
    <row r="348" spans="1:20" s="7" customFormat="1">
      <c r="A348" s="128"/>
      <c r="B348" s="129">
        <v>8</v>
      </c>
      <c r="C348" s="30" t="s">
        <v>69</v>
      </c>
      <c r="D348" s="31">
        <v>71.400000000000006</v>
      </c>
      <c r="E348" s="33">
        <v>4</v>
      </c>
      <c r="F348" s="130">
        <f t="shared" si="262"/>
        <v>43696.800000000003</v>
      </c>
      <c r="G348" s="47">
        <v>0</v>
      </c>
      <c r="H348" s="47">
        <v>0</v>
      </c>
      <c r="I348" s="47">
        <v>0</v>
      </c>
      <c r="J348" s="47">
        <v>0</v>
      </c>
      <c r="K348" s="47">
        <v>0</v>
      </c>
      <c r="L348" s="47">
        <v>0</v>
      </c>
      <c r="M348" s="47">
        <v>0</v>
      </c>
      <c r="N348" s="47">
        <f t="shared" si="263"/>
        <v>8853.6</v>
      </c>
      <c r="O348" s="47">
        <f t="shared" si="264"/>
        <v>8568</v>
      </c>
      <c r="P348" s="47">
        <f t="shared" si="265"/>
        <v>8853.6</v>
      </c>
      <c r="Q348" s="47">
        <f t="shared" si="266"/>
        <v>8568</v>
      </c>
      <c r="R348" s="132">
        <f t="shared" si="267"/>
        <v>8853.6</v>
      </c>
      <c r="S348" s="133">
        <f t="shared" si="268"/>
        <v>153</v>
      </c>
    </row>
    <row r="349" spans="1:20" s="7" customFormat="1" ht="14.25" customHeight="1">
      <c r="A349" s="128"/>
      <c r="B349" s="129">
        <v>9</v>
      </c>
      <c r="C349" s="30" t="s">
        <v>37</v>
      </c>
      <c r="D349" s="31">
        <v>80.86</v>
      </c>
      <c r="E349" s="33">
        <v>1</v>
      </c>
      <c r="F349" s="130">
        <f>+E349*S349*D349</f>
        <v>12371.58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7">
        <f t="shared" si="263"/>
        <v>2506.66</v>
      </c>
      <c r="O349" s="47">
        <f t="shared" si="264"/>
        <v>2425.8000000000002</v>
      </c>
      <c r="P349" s="47">
        <f t="shared" si="265"/>
        <v>2506.66</v>
      </c>
      <c r="Q349" s="47">
        <f t="shared" si="266"/>
        <v>2425.8000000000002</v>
      </c>
      <c r="R349" s="132">
        <f t="shared" si="267"/>
        <v>2506.66</v>
      </c>
      <c r="S349" s="133">
        <f t="shared" si="268"/>
        <v>153</v>
      </c>
    </row>
    <row r="350" spans="1:20" ht="15" customHeight="1" thickBot="1">
      <c r="A350" s="59"/>
      <c r="B350" s="199"/>
      <c r="C350" s="333" t="s">
        <v>125</v>
      </c>
      <c r="D350" s="200"/>
      <c r="E350" s="201"/>
      <c r="F350" s="202">
        <f>741393-SUM(F326:F349)+147569</f>
        <v>66315.539999999921</v>
      </c>
      <c r="G350" s="353"/>
      <c r="H350" s="204"/>
      <c r="I350" s="353"/>
      <c r="J350" s="203"/>
      <c r="K350" s="205"/>
      <c r="L350" s="205"/>
      <c r="M350" s="205"/>
      <c r="N350" s="205"/>
      <c r="O350" s="205"/>
      <c r="P350" s="205"/>
      <c r="Q350" s="205"/>
      <c r="R350" s="211">
        <f>F350</f>
        <v>66315.539999999921</v>
      </c>
      <c r="T350" s="22"/>
    </row>
    <row r="351" spans="1:20" ht="26.25" customHeight="1">
      <c r="A351" s="59"/>
      <c r="B351" s="354"/>
      <c r="C351" s="746" t="s">
        <v>81</v>
      </c>
      <c r="D351" s="747"/>
      <c r="E351" s="334"/>
      <c r="F351" s="335"/>
      <c r="G351" s="337"/>
      <c r="H351" s="337"/>
      <c r="I351" s="336"/>
      <c r="J351" s="336"/>
      <c r="K351" s="336"/>
      <c r="L351" s="336"/>
      <c r="M351" s="336"/>
      <c r="N351" s="336"/>
      <c r="O351" s="336"/>
      <c r="P351" s="336"/>
      <c r="Q351" s="336"/>
      <c r="R351" s="338"/>
      <c r="T351" s="22"/>
    </row>
    <row r="352" spans="1:20" ht="26.25" customHeight="1">
      <c r="A352" s="59"/>
      <c r="B352" s="61"/>
      <c r="C352" s="756" t="s">
        <v>140</v>
      </c>
      <c r="D352" s="757"/>
      <c r="E352" s="355">
        <f>SUM(E354:E354)</f>
        <v>0</v>
      </c>
      <c r="F352" s="356">
        <f>SUM(F354:F355)</f>
        <v>0</v>
      </c>
      <c r="G352" s="357">
        <f t="shared" ref="G352:Q352" si="269">SUM(G354:G354)</f>
        <v>0</v>
      </c>
      <c r="H352" s="357">
        <f t="shared" si="269"/>
        <v>0</v>
      </c>
      <c r="I352" s="357">
        <f t="shared" si="269"/>
        <v>0</v>
      </c>
      <c r="J352" s="357">
        <f t="shared" si="269"/>
        <v>0</v>
      </c>
      <c r="K352" s="357">
        <f t="shared" si="269"/>
        <v>0</v>
      </c>
      <c r="L352" s="357">
        <f t="shared" si="269"/>
        <v>0</v>
      </c>
      <c r="M352" s="357">
        <f t="shared" si="269"/>
        <v>0</v>
      </c>
      <c r="N352" s="357">
        <f t="shared" si="269"/>
        <v>0</v>
      </c>
      <c r="O352" s="357">
        <f t="shared" si="269"/>
        <v>0</v>
      </c>
      <c r="P352" s="357">
        <f t="shared" si="269"/>
        <v>0</v>
      </c>
      <c r="Q352" s="357">
        <f t="shared" si="269"/>
        <v>0</v>
      </c>
      <c r="R352" s="358">
        <f>SUM(R354:R355)</f>
        <v>0</v>
      </c>
      <c r="S352" s="22">
        <f>F352-SUM(G352:R352)</f>
        <v>0</v>
      </c>
      <c r="T352" s="22"/>
    </row>
    <row r="353" spans="1:20" ht="15" customHeight="1">
      <c r="A353" s="59"/>
      <c r="B353" s="217"/>
      <c r="C353" s="359"/>
      <c r="D353" s="359"/>
      <c r="E353" s="360"/>
      <c r="F353" s="356">
        <f>SUM(F354:F354)</f>
        <v>0</v>
      </c>
      <c r="G353" s="361"/>
      <c r="H353" s="361"/>
      <c r="I353" s="361"/>
      <c r="J353" s="361"/>
      <c r="K353" s="361"/>
      <c r="L353" s="361"/>
      <c r="M353" s="361"/>
      <c r="N353" s="361"/>
      <c r="O353" s="361"/>
      <c r="P353" s="361"/>
      <c r="Q353" s="361"/>
      <c r="R353" s="362"/>
      <c r="T353" s="22"/>
    </row>
    <row r="354" spans="1:20" ht="15" customHeight="1">
      <c r="A354" s="59"/>
      <c r="B354" s="129"/>
      <c r="C354" s="30"/>
      <c r="D354" s="31"/>
      <c r="E354" s="33">
        <v>0</v>
      </c>
      <c r="F354" s="130">
        <f>+E354*S354*D354</f>
        <v>0</v>
      </c>
      <c r="G354" s="47">
        <f t="shared" ref="G354" si="270">E354*D354*31</f>
        <v>0</v>
      </c>
      <c r="H354" s="131">
        <f t="shared" ref="H354" si="271">E354*D354*28</f>
        <v>0</v>
      </c>
      <c r="I354" s="47">
        <f t="shared" ref="I354" si="272">E354*D354*31</f>
        <v>0</v>
      </c>
      <c r="J354" s="47">
        <f t="shared" ref="J354" si="273">E354*D354*30</f>
        <v>0</v>
      </c>
      <c r="K354" s="47">
        <f t="shared" ref="K354" si="274">E354*D354*31</f>
        <v>0</v>
      </c>
      <c r="L354" s="47">
        <f t="shared" ref="L354" si="275">E354*D354*30</f>
        <v>0</v>
      </c>
      <c r="M354" s="47">
        <f t="shared" ref="M354" si="276">E354*D354*31</f>
        <v>0</v>
      </c>
      <c r="N354" s="47">
        <v>0</v>
      </c>
      <c r="O354" s="47">
        <v>0</v>
      </c>
      <c r="P354" s="47">
        <v>0</v>
      </c>
      <c r="Q354" s="47">
        <v>0</v>
      </c>
      <c r="R354" s="132">
        <v>0</v>
      </c>
      <c r="T354" s="22"/>
    </row>
    <row r="355" spans="1:20" ht="15" customHeight="1" thickBot="1">
      <c r="A355" s="59"/>
      <c r="B355" s="199"/>
      <c r="C355" s="333" t="s">
        <v>125</v>
      </c>
      <c r="D355" s="200"/>
      <c r="E355" s="201"/>
      <c r="F355" s="202">
        <f>SUM(F354:F354)</f>
        <v>0</v>
      </c>
      <c r="G355" s="203"/>
      <c r="H355" s="204"/>
      <c r="I355" s="205"/>
      <c r="J355" s="205"/>
      <c r="K355" s="205"/>
      <c r="L355" s="205"/>
      <c r="M355" s="205"/>
      <c r="N355" s="205"/>
      <c r="O355" s="205"/>
      <c r="P355" s="205"/>
      <c r="Q355" s="205"/>
      <c r="R355" s="363">
        <f>F355</f>
        <v>0</v>
      </c>
      <c r="T355" s="22"/>
    </row>
    <row r="356" spans="1:20" ht="30.75" customHeight="1">
      <c r="A356" s="59"/>
      <c r="B356" s="291"/>
      <c r="C356" s="746" t="s">
        <v>70</v>
      </c>
      <c r="D356" s="747"/>
      <c r="E356" s="334"/>
      <c r="F356" s="335"/>
      <c r="G356" s="336"/>
      <c r="H356" s="337"/>
      <c r="I356" s="336"/>
      <c r="J356" s="336"/>
      <c r="K356" s="336"/>
      <c r="L356" s="336"/>
      <c r="M356" s="336"/>
      <c r="N356" s="336"/>
      <c r="O356" s="336"/>
      <c r="P356" s="336"/>
      <c r="Q356" s="336"/>
      <c r="R356" s="338"/>
    </row>
    <row r="357" spans="1:20" ht="29.25" customHeight="1">
      <c r="A357" s="59"/>
      <c r="B357" s="163"/>
      <c r="C357" s="748" t="s">
        <v>141</v>
      </c>
      <c r="D357" s="748"/>
      <c r="E357" s="339">
        <f>SUM(E360:E425)</f>
        <v>247</v>
      </c>
      <c r="F357" s="165">
        <f>SUM(F360:F426)</f>
        <v>3142404</v>
      </c>
      <c r="G357" s="166">
        <f t="shared" ref="G357:Q357" si="277">SUM(G360:G425)</f>
        <v>246897.32999999993</v>
      </c>
      <c r="H357" s="166">
        <f t="shared" si="277"/>
        <v>233364.60000000003</v>
      </c>
      <c r="I357" s="166">
        <f t="shared" si="277"/>
        <v>254252.24999999991</v>
      </c>
      <c r="J357" s="166">
        <f t="shared" si="277"/>
        <v>246147.30000000008</v>
      </c>
      <c r="K357" s="166">
        <f t="shared" si="277"/>
        <v>279877.40999999992</v>
      </c>
      <c r="L357" s="166">
        <f t="shared" si="277"/>
        <v>257989.14000000007</v>
      </c>
      <c r="M357" s="166">
        <f t="shared" si="277"/>
        <v>262426.46999999997</v>
      </c>
      <c r="N357" s="166">
        <f t="shared" si="277"/>
        <v>244985.48999999993</v>
      </c>
      <c r="O357" s="166">
        <f t="shared" si="277"/>
        <v>238867.20000000004</v>
      </c>
      <c r="P357" s="166">
        <f t="shared" si="277"/>
        <v>217913.87999999995</v>
      </c>
      <c r="Q357" s="166">
        <f t="shared" si="277"/>
        <v>210884.40000000005</v>
      </c>
      <c r="R357" s="167">
        <f>SUM(R360:R426)</f>
        <v>448798.52999999939</v>
      </c>
      <c r="S357" s="22">
        <f>F357-SUM(G357:R357)</f>
        <v>0</v>
      </c>
    </row>
    <row r="358" spans="1:20">
      <c r="A358" s="59"/>
      <c r="B358" s="364"/>
      <c r="C358" s="365"/>
      <c r="D358" s="366"/>
      <c r="E358" s="339"/>
      <c r="F358" s="165">
        <f>SUM(F360:F425)</f>
        <v>2911519.3500000006</v>
      </c>
      <c r="G358" s="166"/>
      <c r="H358" s="166"/>
      <c r="I358" s="166"/>
      <c r="J358" s="166"/>
      <c r="K358" s="166"/>
      <c r="L358" s="166"/>
      <c r="M358" s="166"/>
      <c r="N358" s="357"/>
      <c r="O358" s="367"/>
      <c r="P358" s="357"/>
      <c r="Q358" s="357"/>
      <c r="R358" s="167"/>
    </row>
    <row r="359" spans="1:20">
      <c r="A359" s="59"/>
      <c r="B359" s="134"/>
      <c r="C359" s="208"/>
      <c r="D359" s="345"/>
      <c r="E359" s="346" t="s">
        <v>124</v>
      </c>
      <c r="F359" s="347">
        <v>0</v>
      </c>
      <c r="G359" s="348"/>
      <c r="H359" s="348"/>
      <c r="I359" s="348"/>
      <c r="J359" s="348"/>
      <c r="K359" s="348"/>
      <c r="L359" s="348"/>
      <c r="M359" s="348"/>
      <c r="N359" s="348"/>
      <c r="O359" s="348"/>
      <c r="P359" s="348"/>
      <c r="Q359" s="348"/>
      <c r="R359" s="351"/>
    </row>
    <row r="360" spans="1:20" s="7" customFormat="1">
      <c r="A360" s="128"/>
      <c r="B360" s="233">
        <v>1</v>
      </c>
      <c r="C360" s="368" t="s">
        <v>44</v>
      </c>
      <c r="D360" s="275">
        <v>72.540000000000006</v>
      </c>
      <c r="E360" s="34">
        <v>30</v>
      </c>
      <c r="F360" s="277">
        <f t="shared" ref="F360:F424" si="278">+E360*S360*D360</f>
        <v>461354.4</v>
      </c>
      <c r="G360" s="47">
        <f>E360*D360*31</f>
        <v>67462.200000000012</v>
      </c>
      <c r="H360" s="131">
        <f>E360*D360*28</f>
        <v>60933.600000000006</v>
      </c>
      <c r="I360" s="47">
        <f t="shared" ref="I360:I389" si="279">E360*D360*31</f>
        <v>67462.200000000012</v>
      </c>
      <c r="J360" s="47">
        <f t="shared" ref="J360:J383" si="280">E360*D360*30</f>
        <v>65286.000000000007</v>
      </c>
      <c r="K360" s="47">
        <f t="shared" ref="K360:K383" si="281">E360*D360*31</f>
        <v>67462.200000000012</v>
      </c>
      <c r="L360" s="47">
        <f t="shared" ref="L360:L383" si="282">E360*D360*30</f>
        <v>65286.000000000007</v>
      </c>
      <c r="M360" s="47">
        <f t="shared" ref="M360:M383" si="283">E360*D360*31</f>
        <v>67462.200000000012</v>
      </c>
      <c r="N360" s="47">
        <v>0</v>
      </c>
      <c r="O360" s="47">
        <v>0</v>
      </c>
      <c r="P360" s="47">
        <v>0</v>
      </c>
      <c r="Q360" s="47">
        <v>0</v>
      </c>
      <c r="R360" s="132">
        <v>0</v>
      </c>
      <c r="S360" s="133">
        <v>212</v>
      </c>
    </row>
    <row r="361" spans="1:20" s="7" customFormat="1">
      <c r="A361" s="128"/>
      <c r="B361" s="233">
        <v>1</v>
      </c>
      <c r="C361" s="368" t="s">
        <v>44</v>
      </c>
      <c r="D361" s="275">
        <v>72.540000000000006</v>
      </c>
      <c r="E361" s="34">
        <v>1</v>
      </c>
      <c r="F361" s="277">
        <f t="shared" si="278"/>
        <v>2248.7400000000002</v>
      </c>
      <c r="G361" s="47">
        <f>E361*D361*31</f>
        <v>2248.7400000000002</v>
      </c>
      <c r="H361" s="131">
        <v>0</v>
      </c>
      <c r="I361" s="47">
        <v>0</v>
      </c>
      <c r="J361" s="47">
        <v>0</v>
      </c>
      <c r="K361" s="47">
        <v>0</v>
      </c>
      <c r="L361" s="47">
        <v>0</v>
      </c>
      <c r="M361" s="47">
        <v>0</v>
      </c>
      <c r="N361" s="47">
        <v>0</v>
      </c>
      <c r="O361" s="47">
        <v>0</v>
      </c>
      <c r="P361" s="47">
        <v>0</v>
      </c>
      <c r="Q361" s="47">
        <v>0</v>
      </c>
      <c r="R361" s="132">
        <v>0</v>
      </c>
      <c r="S361" s="133">
        <f>31</f>
        <v>31</v>
      </c>
    </row>
    <row r="362" spans="1:20" s="7" customFormat="1">
      <c r="A362" s="128"/>
      <c r="B362" s="233">
        <v>1</v>
      </c>
      <c r="C362" s="368" t="s">
        <v>44</v>
      </c>
      <c r="D362" s="275">
        <v>72.540000000000006</v>
      </c>
      <c r="E362" s="34">
        <v>1</v>
      </c>
      <c r="F362" s="277">
        <f t="shared" si="278"/>
        <v>2248.7400000000002</v>
      </c>
      <c r="G362" s="47">
        <f>E362*D362*31</f>
        <v>2248.7400000000002</v>
      </c>
      <c r="H362" s="131">
        <v>0</v>
      </c>
      <c r="I362" s="47">
        <v>0</v>
      </c>
      <c r="J362" s="47">
        <v>0</v>
      </c>
      <c r="K362" s="47">
        <v>0</v>
      </c>
      <c r="L362" s="47">
        <v>0</v>
      </c>
      <c r="M362" s="47">
        <v>0</v>
      </c>
      <c r="N362" s="47">
        <v>0</v>
      </c>
      <c r="O362" s="47">
        <v>0</v>
      </c>
      <c r="P362" s="47">
        <v>0</v>
      </c>
      <c r="Q362" s="47">
        <v>0</v>
      </c>
      <c r="R362" s="132">
        <v>0</v>
      </c>
      <c r="S362" s="133">
        <v>31</v>
      </c>
    </row>
    <row r="363" spans="1:20" s="7" customFormat="1">
      <c r="A363" s="128"/>
      <c r="B363" s="233">
        <v>1</v>
      </c>
      <c r="C363" s="368" t="s">
        <v>44</v>
      </c>
      <c r="D363" s="275">
        <v>72.540000000000006</v>
      </c>
      <c r="E363" s="34">
        <v>2</v>
      </c>
      <c r="F363" s="277">
        <f t="shared" si="278"/>
        <v>0</v>
      </c>
      <c r="G363" s="47">
        <v>0</v>
      </c>
      <c r="H363" s="131">
        <v>0</v>
      </c>
      <c r="I363" s="47">
        <v>0</v>
      </c>
      <c r="J363" s="47">
        <v>0</v>
      </c>
      <c r="K363" s="47">
        <v>0</v>
      </c>
      <c r="L363" s="47">
        <v>0</v>
      </c>
      <c r="M363" s="47">
        <v>0</v>
      </c>
      <c r="N363" s="47">
        <v>0</v>
      </c>
      <c r="O363" s="47">
        <v>0</v>
      </c>
      <c r="P363" s="47">
        <v>0</v>
      </c>
      <c r="Q363" s="47">
        <v>0</v>
      </c>
      <c r="R363" s="132">
        <v>0</v>
      </c>
      <c r="S363" s="133">
        <v>0</v>
      </c>
    </row>
    <row r="364" spans="1:20" s="7" customFormat="1">
      <c r="A364" s="128"/>
      <c r="B364" s="129">
        <v>2</v>
      </c>
      <c r="C364" s="369" t="s">
        <v>71</v>
      </c>
      <c r="D364" s="31">
        <v>73.59</v>
      </c>
      <c r="E364" s="33">
        <v>2</v>
      </c>
      <c r="F364" s="130">
        <f t="shared" si="278"/>
        <v>31202.16</v>
      </c>
      <c r="G364" s="47">
        <f t="shared" ref="G364:G383" si="284">E364*D364*31</f>
        <v>4562.58</v>
      </c>
      <c r="H364" s="131">
        <f t="shared" ref="H364:H383" si="285">E364*D364*28</f>
        <v>4121.04</v>
      </c>
      <c r="I364" s="47">
        <f t="shared" si="279"/>
        <v>4562.58</v>
      </c>
      <c r="J364" s="47">
        <f t="shared" si="280"/>
        <v>4415.4000000000005</v>
      </c>
      <c r="K364" s="47">
        <f t="shared" si="281"/>
        <v>4562.58</v>
      </c>
      <c r="L364" s="47">
        <f t="shared" si="282"/>
        <v>4415.4000000000005</v>
      </c>
      <c r="M364" s="47">
        <f t="shared" si="283"/>
        <v>4562.58</v>
      </c>
      <c r="N364" s="47">
        <v>0</v>
      </c>
      <c r="O364" s="47">
        <v>0</v>
      </c>
      <c r="P364" s="47">
        <v>0</v>
      </c>
      <c r="Q364" s="47">
        <v>0</v>
      </c>
      <c r="R364" s="132">
        <v>0</v>
      </c>
      <c r="S364" s="133">
        <v>212</v>
      </c>
    </row>
    <row r="365" spans="1:20" s="7" customFormat="1">
      <c r="A365" s="128"/>
      <c r="B365" s="129">
        <v>3</v>
      </c>
      <c r="C365" s="369" t="s">
        <v>72</v>
      </c>
      <c r="D365" s="31">
        <v>71.400000000000006</v>
      </c>
      <c r="E365" s="33">
        <v>28</v>
      </c>
      <c r="F365" s="130">
        <f t="shared" si="278"/>
        <v>423830.4</v>
      </c>
      <c r="G365" s="47">
        <f t="shared" si="284"/>
        <v>61975.200000000012</v>
      </c>
      <c r="H365" s="131">
        <f t="shared" si="285"/>
        <v>55977.600000000006</v>
      </c>
      <c r="I365" s="47">
        <f t="shared" si="279"/>
        <v>61975.200000000012</v>
      </c>
      <c r="J365" s="47">
        <f t="shared" si="280"/>
        <v>59976.000000000007</v>
      </c>
      <c r="K365" s="47">
        <f t="shared" si="281"/>
        <v>61975.200000000012</v>
      </c>
      <c r="L365" s="47">
        <f t="shared" si="282"/>
        <v>59976.000000000007</v>
      </c>
      <c r="M365" s="47">
        <f t="shared" si="283"/>
        <v>61975.200000000012</v>
      </c>
      <c r="N365" s="47">
        <v>0</v>
      </c>
      <c r="O365" s="47">
        <v>0</v>
      </c>
      <c r="P365" s="47">
        <v>0</v>
      </c>
      <c r="Q365" s="47">
        <v>0</v>
      </c>
      <c r="R365" s="132">
        <v>0</v>
      </c>
      <c r="S365" s="133">
        <v>212</v>
      </c>
    </row>
    <row r="366" spans="1:20" s="7" customFormat="1">
      <c r="A366" s="128"/>
      <c r="B366" s="129">
        <v>3</v>
      </c>
      <c r="C366" s="369" t="s">
        <v>72</v>
      </c>
      <c r="D366" s="31">
        <v>71.400000000000006</v>
      </c>
      <c r="E366" s="33">
        <v>1</v>
      </c>
      <c r="F366" s="130">
        <f t="shared" si="278"/>
        <v>0</v>
      </c>
      <c r="G366" s="47">
        <v>0</v>
      </c>
      <c r="H366" s="131">
        <v>0</v>
      </c>
      <c r="I366" s="47">
        <v>0</v>
      </c>
      <c r="J366" s="47">
        <v>0</v>
      </c>
      <c r="K366" s="47">
        <v>0</v>
      </c>
      <c r="L366" s="47">
        <v>0</v>
      </c>
      <c r="M366" s="47">
        <v>0</v>
      </c>
      <c r="N366" s="47">
        <v>0</v>
      </c>
      <c r="O366" s="47">
        <v>0</v>
      </c>
      <c r="P366" s="47">
        <v>0</v>
      </c>
      <c r="Q366" s="47">
        <v>0</v>
      </c>
      <c r="R366" s="132">
        <v>0</v>
      </c>
      <c r="S366" s="133">
        <v>0</v>
      </c>
    </row>
    <row r="367" spans="1:20" s="7" customFormat="1">
      <c r="A367" s="128"/>
      <c r="B367" s="233">
        <v>4</v>
      </c>
      <c r="C367" s="370" t="s">
        <v>48</v>
      </c>
      <c r="D367" s="31">
        <v>71.400000000000006</v>
      </c>
      <c r="E367" s="33">
        <v>2</v>
      </c>
      <c r="F367" s="130">
        <f t="shared" si="278"/>
        <v>30273.600000000002</v>
      </c>
      <c r="G367" s="47">
        <f>E367*D367*31</f>
        <v>4426.8</v>
      </c>
      <c r="H367" s="131">
        <f>E367*D367*28</f>
        <v>3998.4000000000005</v>
      </c>
      <c r="I367" s="47">
        <f>E367*D367*31</f>
        <v>4426.8</v>
      </c>
      <c r="J367" s="47">
        <f>E367*D367*30</f>
        <v>4284</v>
      </c>
      <c r="K367" s="47">
        <f>E367*D367*31</f>
        <v>4426.8</v>
      </c>
      <c r="L367" s="47">
        <f>E367*D367*30</f>
        <v>4284</v>
      </c>
      <c r="M367" s="47">
        <f>E367*D367*31</f>
        <v>4426.8</v>
      </c>
      <c r="N367" s="47">
        <v>0</v>
      </c>
      <c r="O367" s="47">
        <v>0</v>
      </c>
      <c r="P367" s="47">
        <v>0</v>
      </c>
      <c r="Q367" s="47">
        <v>0</v>
      </c>
      <c r="R367" s="132">
        <v>0</v>
      </c>
      <c r="S367" s="133">
        <v>212</v>
      </c>
    </row>
    <row r="368" spans="1:20" s="7" customFormat="1">
      <c r="A368" s="128"/>
      <c r="B368" s="129">
        <v>5</v>
      </c>
      <c r="C368" s="369" t="s">
        <v>73</v>
      </c>
      <c r="D368" s="31">
        <v>71.400000000000006</v>
      </c>
      <c r="E368" s="33">
        <v>1</v>
      </c>
      <c r="F368" s="130">
        <f t="shared" si="278"/>
        <v>15136.800000000001</v>
      </c>
      <c r="G368" s="47">
        <f t="shared" si="284"/>
        <v>2213.4</v>
      </c>
      <c r="H368" s="131">
        <f t="shared" si="285"/>
        <v>1999.2000000000003</v>
      </c>
      <c r="I368" s="47">
        <f t="shared" si="279"/>
        <v>2213.4</v>
      </c>
      <c r="J368" s="47">
        <f t="shared" si="280"/>
        <v>2142</v>
      </c>
      <c r="K368" s="47">
        <f t="shared" si="281"/>
        <v>2213.4</v>
      </c>
      <c r="L368" s="47">
        <f t="shared" si="282"/>
        <v>2142</v>
      </c>
      <c r="M368" s="47">
        <f t="shared" si="283"/>
        <v>2213.4</v>
      </c>
      <c r="N368" s="47">
        <v>0</v>
      </c>
      <c r="O368" s="47">
        <v>0</v>
      </c>
      <c r="P368" s="47">
        <v>0</v>
      </c>
      <c r="Q368" s="47">
        <v>0</v>
      </c>
      <c r="R368" s="132">
        <v>0</v>
      </c>
      <c r="S368" s="133">
        <v>212</v>
      </c>
    </row>
    <row r="369" spans="1:19" s="7" customFormat="1">
      <c r="A369" s="128"/>
      <c r="B369" s="129">
        <v>6</v>
      </c>
      <c r="C369" s="369" t="s">
        <v>74</v>
      </c>
      <c r="D369" s="31">
        <v>71.400000000000006</v>
      </c>
      <c r="E369" s="33">
        <v>1</v>
      </c>
      <c r="F369" s="130">
        <f t="shared" si="278"/>
        <v>15136.800000000001</v>
      </c>
      <c r="G369" s="47">
        <f t="shared" si="284"/>
        <v>2213.4</v>
      </c>
      <c r="H369" s="131">
        <f t="shared" si="285"/>
        <v>1999.2000000000003</v>
      </c>
      <c r="I369" s="47">
        <f t="shared" si="279"/>
        <v>2213.4</v>
      </c>
      <c r="J369" s="47">
        <f t="shared" si="280"/>
        <v>2142</v>
      </c>
      <c r="K369" s="47">
        <f t="shared" si="281"/>
        <v>2213.4</v>
      </c>
      <c r="L369" s="47">
        <f t="shared" si="282"/>
        <v>2142</v>
      </c>
      <c r="M369" s="47">
        <f t="shared" si="283"/>
        <v>2213.4</v>
      </c>
      <c r="N369" s="47">
        <v>0</v>
      </c>
      <c r="O369" s="47">
        <v>0</v>
      </c>
      <c r="P369" s="47">
        <v>0</v>
      </c>
      <c r="Q369" s="47">
        <v>0</v>
      </c>
      <c r="R369" s="132">
        <v>0</v>
      </c>
      <c r="S369" s="133">
        <v>212</v>
      </c>
    </row>
    <row r="370" spans="1:19" s="7" customFormat="1">
      <c r="A370" s="128"/>
      <c r="B370" s="233">
        <v>7</v>
      </c>
      <c r="C370" s="369" t="s">
        <v>35</v>
      </c>
      <c r="D370" s="31">
        <v>71.400000000000006</v>
      </c>
      <c r="E370" s="33">
        <v>7</v>
      </c>
      <c r="F370" s="130">
        <f t="shared" si="278"/>
        <v>105957.6</v>
      </c>
      <c r="G370" s="47">
        <f t="shared" si="284"/>
        <v>15493.800000000003</v>
      </c>
      <c r="H370" s="131">
        <f t="shared" si="285"/>
        <v>13994.400000000001</v>
      </c>
      <c r="I370" s="47">
        <f t="shared" si="279"/>
        <v>15493.800000000003</v>
      </c>
      <c r="J370" s="47">
        <f t="shared" si="280"/>
        <v>14994.000000000002</v>
      </c>
      <c r="K370" s="47">
        <f t="shared" si="281"/>
        <v>15493.800000000003</v>
      </c>
      <c r="L370" s="47">
        <f t="shared" si="282"/>
        <v>14994.000000000002</v>
      </c>
      <c r="M370" s="47">
        <f t="shared" si="283"/>
        <v>15493.800000000003</v>
      </c>
      <c r="N370" s="47">
        <v>0</v>
      </c>
      <c r="O370" s="47">
        <v>0</v>
      </c>
      <c r="P370" s="47">
        <v>0</v>
      </c>
      <c r="Q370" s="47">
        <v>0</v>
      </c>
      <c r="R370" s="132">
        <v>0</v>
      </c>
      <c r="S370" s="133">
        <v>212</v>
      </c>
    </row>
    <row r="371" spans="1:19" s="7" customFormat="1">
      <c r="A371" s="128"/>
      <c r="B371" s="233">
        <v>19</v>
      </c>
      <c r="C371" s="369" t="s">
        <v>35</v>
      </c>
      <c r="D371" s="31">
        <v>71.400000000000006</v>
      </c>
      <c r="E371" s="33">
        <v>1</v>
      </c>
      <c r="F371" s="130">
        <f t="shared" si="278"/>
        <v>12923.400000000001</v>
      </c>
      <c r="G371" s="47">
        <f t="shared" si="284"/>
        <v>2213.4</v>
      </c>
      <c r="H371" s="131">
        <f t="shared" si="285"/>
        <v>1999.2000000000003</v>
      </c>
      <c r="I371" s="47">
        <f t="shared" si="279"/>
        <v>2213.4</v>
      </c>
      <c r="J371" s="47">
        <f t="shared" si="280"/>
        <v>2142</v>
      </c>
      <c r="K371" s="47">
        <f t="shared" si="281"/>
        <v>2213.4</v>
      </c>
      <c r="L371" s="47">
        <f t="shared" si="282"/>
        <v>2142</v>
      </c>
      <c r="M371" s="47">
        <v>0</v>
      </c>
      <c r="N371" s="47">
        <v>0</v>
      </c>
      <c r="O371" s="47">
        <v>0</v>
      </c>
      <c r="P371" s="47">
        <v>0</v>
      </c>
      <c r="Q371" s="47">
        <v>0</v>
      </c>
      <c r="R371" s="132">
        <v>0</v>
      </c>
      <c r="S371" s="133">
        <f>212-31</f>
        <v>181</v>
      </c>
    </row>
    <row r="372" spans="1:19" s="7" customFormat="1">
      <c r="A372" s="128"/>
      <c r="B372" s="233">
        <v>7</v>
      </c>
      <c r="C372" s="369" t="s">
        <v>35</v>
      </c>
      <c r="D372" s="31">
        <v>71.400000000000006</v>
      </c>
      <c r="E372" s="33">
        <v>1</v>
      </c>
      <c r="F372" s="130">
        <f t="shared" si="278"/>
        <v>3284.4</v>
      </c>
      <c r="G372" s="47">
        <f t="shared" si="284"/>
        <v>2213.4</v>
      </c>
      <c r="H372" s="131">
        <v>0</v>
      </c>
      <c r="I372" s="47">
        <f>E372*D372*15</f>
        <v>1071</v>
      </c>
      <c r="J372" s="47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0</v>
      </c>
      <c r="Q372" s="47">
        <v>0</v>
      </c>
      <c r="R372" s="132">
        <v>0</v>
      </c>
      <c r="S372" s="133">
        <f>31+15</f>
        <v>46</v>
      </c>
    </row>
    <row r="373" spans="1:19" s="7" customFormat="1">
      <c r="A373" s="128"/>
      <c r="B373" s="129">
        <v>8</v>
      </c>
      <c r="C373" s="369" t="s">
        <v>52</v>
      </c>
      <c r="D373" s="31">
        <v>72.540000000000006</v>
      </c>
      <c r="E373" s="33">
        <v>3</v>
      </c>
      <c r="F373" s="130">
        <f t="shared" si="278"/>
        <v>46135.44</v>
      </c>
      <c r="G373" s="47">
        <f t="shared" si="284"/>
        <v>6746.22</v>
      </c>
      <c r="H373" s="131">
        <f t="shared" si="285"/>
        <v>6093.3600000000006</v>
      </c>
      <c r="I373" s="47">
        <f t="shared" si="279"/>
        <v>6746.22</v>
      </c>
      <c r="J373" s="47">
        <f t="shared" si="280"/>
        <v>6528.6</v>
      </c>
      <c r="K373" s="47">
        <f t="shared" si="281"/>
        <v>6746.22</v>
      </c>
      <c r="L373" s="47">
        <f t="shared" si="282"/>
        <v>6528.6</v>
      </c>
      <c r="M373" s="47">
        <f t="shared" si="283"/>
        <v>6746.22</v>
      </c>
      <c r="N373" s="47">
        <v>0</v>
      </c>
      <c r="O373" s="47">
        <v>0</v>
      </c>
      <c r="P373" s="47">
        <v>0</v>
      </c>
      <c r="Q373" s="47">
        <v>0</v>
      </c>
      <c r="R373" s="132">
        <v>0</v>
      </c>
      <c r="S373" s="133">
        <v>212</v>
      </c>
    </row>
    <row r="374" spans="1:19" s="7" customFormat="1">
      <c r="A374" s="128"/>
      <c r="B374" s="129">
        <v>8</v>
      </c>
      <c r="C374" s="369" t="s">
        <v>52</v>
      </c>
      <c r="D374" s="31">
        <v>72.540000000000006</v>
      </c>
      <c r="E374" s="33">
        <v>1</v>
      </c>
      <c r="F374" s="130">
        <f t="shared" si="278"/>
        <v>12839.580000000002</v>
      </c>
      <c r="G374" s="47">
        <f t="shared" si="284"/>
        <v>2248.7400000000002</v>
      </c>
      <c r="H374" s="131">
        <f t="shared" si="285"/>
        <v>2031.1200000000001</v>
      </c>
      <c r="I374" s="47">
        <f t="shared" si="279"/>
        <v>2248.7400000000002</v>
      </c>
      <c r="J374" s="47">
        <f t="shared" si="280"/>
        <v>2176.2000000000003</v>
      </c>
      <c r="K374" s="47">
        <f t="shared" si="281"/>
        <v>2248.7400000000002</v>
      </c>
      <c r="L374" s="47">
        <f>E374*D374*26</f>
        <v>1886.0400000000002</v>
      </c>
      <c r="M374" s="47">
        <v>0</v>
      </c>
      <c r="N374" s="47">
        <v>0</v>
      </c>
      <c r="O374" s="47">
        <v>0</v>
      </c>
      <c r="P374" s="47">
        <v>0</v>
      </c>
      <c r="Q374" s="47">
        <v>0</v>
      </c>
      <c r="R374" s="132">
        <v>0</v>
      </c>
      <c r="S374" s="133">
        <f>31+28+31+30+31+26+31-31</f>
        <v>177</v>
      </c>
    </row>
    <row r="375" spans="1:19" s="7" customFormat="1">
      <c r="A375" s="128"/>
      <c r="B375" s="129">
        <v>9</v>
      </c>
      <c r="C375" s="369" t="s">
        <v>61</v>
      </c>
      <c r="D375" s="31">
        <v>77.59</v>
      </c>
      <c r="E375" s="33">
        <v>1</v>
      </c>
      <c r="F375" s="130">
        <f t="shared" si="278"/>
        <v>16449.080000000002</v>
      </c>
      <c r="G375" s="47">
        <f t="shared" si="284"/>
        <v>2405.29</v>
      </c>
      <c r="H375" s="131">
        <f t="shared" si="285"/>
        <v>2172.52</v>
      </c>
      <c r="I375" s="47">
        <f t="shared" si="279"/>
        <v>2405.29</v>
      </c>
      <c r="J375" s="47">
        <f t="shared" si="280"/>
        <v>2327.7000000000003</v>
      </c>
      <c r="K375" s="47">
        <f t="shared" si="281"/>
        <v>2405.29</v>
      </c>
      <c r="L375" s="47">
        <f t="shared" si="282"/>
        <v>2327.7000000000003</v>
      </c>
      <c r="M375" s="47">
        <f t="shared" si="283"/>
        <v>2405.29</v>
      </c>
      <c r="N375" s="47">
        <v>0</v>
      </c>
      <c r="O375" s="47">
        <v>0</v>
      </c>
      <c r="P375" s="47">
        <v>0</v>
      </c>
      <c r="Q375" s="47">
        <v>0</v>
      </c>
      <c r="R375" s="132">
        <v>0</v>
      </c>
      <c r="S375" s="133">
        <v>212</v>
      </c>
    </row>
    <row r="376" spans="1:19" s="7" customFormat="1">
      <c r="A376" s="128"/>
      <c r="B376" s="233">
        <v>10</v>
      </c>
      <c r="C376" s="369" t="s">
        <v>38</v>
      </c>
      <c r="D376" s="31">
        <v>71.400000000000006</v>
      </c>
      <c r="E376" s="33">
        <v>6</v>
      </c>
      <c r="F376" s="130">
        <f t="shared" si="278"/>
        <v>90820.800000000003</v>
      </c>
      <c r="G376" s="47">
        <f t="shared" si="284"/>
        <v>13280.400000000001</v>
      </c>
      <c r="H376" s="131">
        <f t="shared" si="285"/>
        <v>11995.2</v>
      </c>
      <c r="I376" s="47">
        <f t="shared" si="279"/>
        <v>13280.400000000001</v>
      </c>
      <c r="J376" s="47">
        <f t="shared" si="280"/>
        <v>12852.000000000002</v>
      </c>
      <c r="K376" s="47">
        <f t="shared" si="281"/>
        <v>13280.400000000001</v>
      </c>
      <c r="L376" s="47">
        <f t="shared" si="282"/>
        <v>12852.000000000002</v>
      </c>
      <c r="M376" s="47">
        <f t="shared" si="283"/>
        <v>13280.400000000001</v>
      </c>
      <c r="N376" s="47">
        <v>0</v>
      </c>
      <c r="O376" s="47">
        <v>0</v>
      </c>
      <c r="P376" s="47">
        <v>0</v>
      </c>
      <c r="Q376" s="47">
        <v>0</v>
      </c>
      <c r="R376" s="132">
        <v>0</v>
      </c>
      <c r="S376" s="133">
        <v>212</v>
      </c>
    </row>
    <row r="377" spans="1:19" s="7" customFormat="1">
      <c r="A377" s="128"/>
      <c r="B377" s="233">
        <v>10</v>
      </c>
      <c r="C377" s="369" t="s">
        <v>38</v>
      </c>
      <c r="D377" s="31">
        <v>71.400000000000006</v>
      </c>
      <c r="E377" s="33">
        <v>1</v>
      </c>
      <c r="F377" s="130">
        <f t="shared" si="278"/>
        <v>13708.800000000001</v>
      </c>
      <c r="G377" s="47">
        <f t="shared" si="284"/>
        <v>2213.4</v>
      </c>
      <c r="H377" s="131">
        <v>0</v>
      </c>
      <c r="I377" s="47">
        <f>E377*D377*31-D377*4</f>
        <v>1927.8000000000002</v>
      </c>
      <c r="J377" s="47">
        <f>E377*D377*30+D377*E377*12</f>
        <v>2998.8</v>
      </c>
      <c r="K377" s="47">
        <f t="shared" si="281"/>
        <v>2213.4</v>
      </c>
      <c r="L377" s="47">
        <f t="shared" si="282"/>
        <v>2142</v>
      </c>
      <c r="M377" s="47">
        <f t="shared" si="283"/>
        <v>2213.4</v>
      </c>
      <c r="N377" s="47">
        <v>0</v>
      </c>
      <c r="O377" s="47">
        <v>0</v>
      </c>
      <c r="P377" s="47">
        <v>0</v>
      </c>
      <c r="Q377" s="47">
        <v>0</v>
      </c>
      <c r="R377" s="132">
        <v>0</v>
      </c>
      <c r="S377" s="133">
        <f>212-28-4+12</f>
        <v>192</v>
      </c>
    </row>
    <row r="378" spans="1:19" s="7" customFormat="1">
      <c r="A378" s="128"/>
      <c r="B378" s="129">
        <v>11</v>
      </c>
      <c r="C378" s="369" t="s">
        <v>75</v>
      </c>
      <c r="D378" s="31">
        <v>73.59</v>
      </c>
      <c r="E378" s="33">
        <v>1</v>
      </c>
      <c r="F378" s="130">
        <f t="shared" si="278"/>
        <v>15601.08</v>
      </c>
      <c r="G378" s="47">
        <f>E378*D378*31</f>
        <v>2281.29</v>
      </c>
      <c r="H378" s="131">
        <f>E378*D378*28</f>
        <v>2060.52</v>
      </c>
      <c r="I378" s="47">
        <f>E378*D378*31</f>
        <v>2281.29</v>
      </c>
      <c r="J378" s="47">
        <f>E378*D378*30</f>
        <v>2207.7000000000003</v>
      </c>
      <c r="K378" s="47">
        <f>E378*D378*31</f>
        <v>2281.29</v>
      </c>
      <c r="L378" s="47">
        <f>E378*D378*30</f>
        <v>2207.7000000000003</v>
      </c>
      <c r="M378" s="47">
        <f>E378*D378*31</f>
        <v>2281.29</v>
      </c>
      <c r="N378" s="47">
        <v>0</v>
      </c>
      <c r="O378" s="47">
        <v>0</v>
      </c>
      <c r="P378" s="47">
        <v>0</v>
      </c>
      <c r="Q378" s="47">
        <v>0</v>
      </c>
      <c r="R378" s="132">
        <v>0</v>
      </c>
      <c r="S378" s="133">
        <v>212</v>
      </c>
    </row>
    <row r="379" spans="1:19" s="7" customFormat="1" ht="15.75" customHeight="1">
      <c r="A379" s="128"/>
      <c r="B379" s="129">
        <v>12</v>
      </c>
      <c r="C379" s="369" t="s">
        <v>62</v>
      </c>
      <c r="D379" s="31">
        <v>75.64</v>
      </c>
      <c r="E379" s="35">
        <v>1</v>
      </c>
      <c r="F379" s="130">
        <f t="shared" si="278"/>
        <v>16035.68</v>
      </c>
      <c r="G379" s="47">
        <f>E379*D379*31</f>
        <v>2344.84</v>
      </c>
      <c r="H379" s="131">
        <f>E379*D379*28</f>
        <v>2117.92</v>
      </c>
      <c r="I379" s="47">
        <f>E379*D379*31</f>
        <v>2344.84</v>
      </c>
      <c r="J379" s="47">
        <f>E379*D379*30</f>
        <v>2269.1999999999998</v>
      </c>
      <c r="K379" s="47">
        <f>E379*D379*31</f>
        <v>2344.84</v>
      </c>
      <c r="L379" s="47">
        <f>E379*D379*30</f>
        <v>2269.1999999999998</v>
      </c>
      <c r="M379" s="47">
        <f>E379*D379*31</f>
        <v>2344.84</v>
      </c>
      <c r="N379" s="47">
        <v>0</v>
      </c>
      <c r="O379" s="47">
        <v>0</v>
      </c>
      <c r="P379" s="47">
        <v>0</v>
      </c>
      <c r="Q379" s="47">
        <v>0</v>
      </c>
      <c r="R379" s="132">
        <v>0</v>
      </c>
      <c r="S379" s="133">
        <v>212</v>
      </c>
    </row>
    <row r="380" spans="1:19" s="7" customFormat="1">
      <c r="A380" s="128"/>
      <c r="B380" s="233">
        <v>13</v>
      </c>
      <c r="C380" s="369" t="s">
        <v>64</v>
      </c>
      <c r="D380" s="31">
        <v>71.400000000000006</v>
      </c>
      <c r="E380" s="33">
        <v>1</v>
      </c>
      <c r="F380" s="130">
        <f t="shared" si="278"/>
        <v>15136.800000000001</v>
      </c>
      <c r="G380" s="47">
        <f>E380*D380*31</f>
        <v>2213.4</v>
      </c>
      <c r="H380" s="131">
        <f>E380*D380*28</f>
        <v>1999.2000000000003</v>
      </c>
      <c r="I380" s="47">
        <f>E380*D380*31</f>
        <v>2213.4</v>
      </c>
      <c r="J380" s="47">
        <f>E380*D380*30</f>
        <v>2142</v>
      </c>
      <c r="K380" s="47">
        <f>E380*D380*31</f>
        <v>2213.4</v>
      </c>
      <c r="L380" s="47">
        <f>E380*D380*30</f>
        <v>2142</v>
      </c>
      <c r="M380" s="47">
        <f>E380*D380*31</f>
        <v>2213.4</v>
      </c>
      <c r="N380" s="47">
        <v>0</v>
      </c>
      <c r="O380" s="47">
        <v>0</v>
      </c>
      <c r="P380" s="47">
        <v>0</v>
      </c>
      <c r="Q380" s="47">
        <v>0</v>
      </c>
      <c r="R380" s="132">
        <v>0</v>
      </c>
      <c r="S380" s="133">
        <v>212</v>
      </c>
    </row>
    <row r="381" spans="1:19" s="7" customFormat="1">
      <c r="A381" s="128"/>
      <c r="B381" s="129">
        <v>14</v>
      </c>
      <c r="C381" s="369" t="s">
        <v>39</v>
      </c>
      <c r="D381" s="31">
        <v>78.25</v>
      </c>
      <c r="E381" s="33">
        <v>9</v>
      </c>
      <c r="F381" s="130">
        <f t="shared" si="278"/>
        <v>149301</v>
      </c>
      <c r="G381" s="47">
        <f>E381*D381*31</f>
        <v>21831.75</v>
      </c>
      <c r="H381" s="131">
        <f>E381*D381*28</f>
        <v>19719</v>
      </c>
      <c r="I381" s="47">
        <f>E381*D381*31</f>
        <v>21831.75</v>
      </c>
      <c r="J381" s="47">
        <f>E381*D381*30</f>
        <v>21127.5</v>
      </c>
      <c r="K381" s="47">
        <f>E381*D381*31</f>
        <v>21831.75</v>
      </c>
      <c r="L381" s="47">
        <f>E381*D381*30</f>
        <v>21127.5</v>
      </c>
      <c r="M381" s="47">
        <f>E381*D381*31</f>
        <v>21831.75</v>
      </c>
      <c r="N381" s="47">
        <v>0</v>
      </c>
      <c r="O381" s="47">
        <v>0</v>
      </c>
      <c r="P381" s="47">
        <v>0</v>
      </c>
      <c r="Q381" s="47">
        <v>0</v>
      </c>
      <c r="R381" s="132">
        <v>0</v>
      </c>
      <c r="S381" s="133">
        <v>212</v>
      </c>
    </row>
    <row r="382" spans="1:19" s="7" customFormat="1">
      <c r="A382" s="128"/>
      <c r="B382" s="129">
        <v>15</v>
      </c>
      <c r="C382" s="369" t="s">
        <v>31</v>
      </c>
      <c r="D382" s="31">
        <v>72.540000000000006</v>
      </c>
      <c r="E382" s="33">
        <v>1</v>
      </c>
      <c r="F382" s="130">
        <f t="shared" si="278"/>
        <v>15378.480000000001</v>
      </c>
      <c r="G382" s="47">
        <f t="shared" si="284"/>
        <v>2248.7400000000002</v>
      </c>
      <c r="H382" s="131">
        <f t="shared" si="285"/>
        <v>2031.1200000000001</v>
      </c>
      <c r="I382" s="47">
        <f t="shared" si="279"/>
        <v>2248.7400000000002</v>
      </c>
      <c r="J382" s="47">
        <f t="shared" si="280"/>
        <v>2176.2000000000003</v>
      </c>
      <c r="K382" s="47">
        <f t="shared" si="281"/>
        <v>2248.7400000000002</v>
      </c>
      <c r="L382" s="47">
        <f t="shared" si="282"/>
        <v>2176.2000000000003</v>
      </c>
      <c r="M382" s="47">
        <f t="shared" si="283"/>
        <v>2248.7400000000002</v>
      </c>
      <c r="N382" s="47">
        <v>0</v>
      </c>
      <c r="O382" s="47">
        <v>0</v>
      </c>
      <c r="P382" s="47">
        <v>0</v>
      </c>
      <c r="Q382" s="47">
        <v>0</v>
      </c>
      <c r="R382" s="132">
        <v>0</v>
      </c>
      <c r="S382" s="133">
        <v>212</v>
      </c>
    </row>
    <row r="383" spans="1:19" s="7" customFormat="1">
      <c r="A383" s="128"/>
      <c r="B383" s="233">
        <v>16</v>
      </c>
      <c r="C383" s="369" t="s">
        <v>54</v>
      </c>
      <c r="D383" s="31">
        <v>71.400000000000006</v>
      </c>
      <c r="E383" s="33">
        <v>2</v>
      </c>
      <c r="F383" s="130">
        <f t="shared" si="278"/>
        <v>30273.600000000002</v>
      </c>
      <c r="G383" s="47">
        <f t="shared" si="284"/>
        <v>4426.8</v>
      </c>
      <c r="H383" s="131">
        <f t="shared" si="285"/>
        <v>3998.4000000000005</v>
      </c>
      <c r="I383" s="47">
        <f t="shared" si="279"/>
        <v>4426.8</v>
      </c>
      <c r="J383" s="47">
        <f t="shared" si="280"/>
        <v>4284</v>
      </c>
      <c r="K383" s="47">
        <f t="shared" si="281"/>
        <v>4426.8</v>
      </c>
      <c r="L383" s="47">
        <f t="shared" si="282"/>
        <v>4284</v>
      </c>
      <c r="M383" s="47">
        <f t="shared" si="283"/>
        <v>4426.8</v>
      </c>
      <c r="N383" s="47">
        <v>0</v>
      </c>
      <c r="O383" s="47">
        <v>0</v>
      </c>
      <c r="P383" s="47">
        <v>0</v>
      </c>
      <c r="Q383" s="47">
        <v>0</v>
      </c>
      <c r="R383" s="132">
        <v>0</v>
      </c>
      <c r="S383" s="133">
        <v>212</v>
      </c>
    </row>
    <row r="384" spans="1:19" s="7" customFormat="1">
      <c r="A384" s="128"/>
      <c r="B384" s="371">
        <v>17</v>
      </c>
      <c r="C384" s="372" t="s">
        <v>42</v>
      </c>
      <c r="D384" s="31">
        <v>75.64</v>
      </c>
      <c r="E384" s="33">
        <v>1</v>
      </c>
      <c r="F384" s="130">
        <f t="shared" si="278"/>
        <v>16035.68</v>
      </c>
      <c r="G384" s="47">
        <f>E384*D384*31</f>
        <v>2344.84</v>
      </c>
      <c r="H384" s="131">
        <f>E384*D384*28</f>
        <v>2117.92</v>
      </c>
      <c r="I384" s="47">
        <f t="shared" si="279"/>
        <v>2344.84</v>
      </c>
      <c r="J384" s="47">
        <f>E384*D384*30</f>
        <v>2269.1999999999998</v>
      </c>
      <c r="K384" s="47">
        <f>E384*D384*31</f>
        <v>2344.84</v>
      </c>
      <c r="L384" s="47">
        <f>E384*D384*30</f>
        <v>2269.1999999999998</v>
      </c>
      <c r="M384" s="47">
        <f>E384*D384*31</f>
        <v>2344.84</v>
      </c>
      <c r="N384" s="47">
        <v>0</v>
      </c>
      <c r="O384" s="47">
        <v>0</v>
      </c>
      <c r="P384" s="47">
        <v>0</v>
      </c>
      <c r="Q384" s="47">
        <v>0</v>
      </c>
      <c r="R384" s="132">
        <v>0</v>
      </c>
      <c r="S384" s="133">
        <v>212</v>
      </c>
    </row>
    <row r="385" spans="1:19" s="7" customFormat="1">
      <c r="A385" s="128"/>
      <c r="B385" s="233">
        <v>18</v>
      </c>
      <c r="C385" s="369" t="s">
        <v>37</v>
      </c>
      <c r="D385" s="31">
        <v>80.86</v>
      </c>
      <c r="E385" s="33">
        <v>6</v>
      </c>
      <c r="F385" s="130">
        <f t="shared" si="278"/>
        <v>102853.92</v>
      </c>
      <c r="G385" s="47">
        <f>E385*D385*31</f>
        <v>15039.96</v>
      </c>
      <c r="H385" s="131">
        <f>E385*D385*28</f>
        <v>13584.48</v>
      </c>
      <c r="I385" s="47">
        <f t="shared" si="279"/>
        <v>15039.96</v>
      </c>
      <c r="J385" s="47">
        <f>E385*D385*30</f>
        <v>14554.8</v>
      </c>
      <c r="K385" s="47">
        <f>E385*D385*31</f>
        <v>15039.96</v>
      </c>
      <c r="L385" s="47">
        <f>E385*D385*30</f>
        <v>14554.8</v>
      </c>
      <c r="M385" s="47">
        <f>E385*D385*31</f>
        <v>15039.96</v>
      </c>
      <c r="N385" s="47">
        <v>0</v>
      </c>
      <c r="O385" s="47">
        <v>0</v>
      </c>
      <c r="P385" s="47">
        <v>0</v>
      </c>
      <c r="Q385" s="47">
        <v>0</v>
      </c>
      <c r="R385" s="132">
        <v>0</v>
      </c>
      <c r="S385" s="133">
        <v>212</v>
      </c>
    </row>
    <row r="386" spans="1:19">
      <c r="A386" s="59"/>
      <c r="B386" s="207">
        <v>19</v>
      </c>
      <c r="C386" s="373" t="s">
        <v>72</v>
      </c>
      <c r="D386" s="136">
        <v>71.400000000000006</v>
      </c>
      <c r="E386" s="32">
        <v>2</v>
      </c>
      <c r="F386" s="194">
        <f t="shared" si="278"/>
        <v>10567.2</v>
      </c>
      <c r="G386" s="195">
        <v>0</v>
      </c>
      <c r="H386" s="196">
        <f t="shared" ref="H386:H389" si="286">E386*D386*28+D386*E386*15</f>
        <v>6140.4000000000005</v>
      </c>
      <c r="I386" s="195">
        <f t="shared" si="279"/>
        <v>4426.8</v>
      </c>
      <c r="J386" s="195">
        <v>0</v>
      </c>
      <c r="K386" s="195">
        <v>0</v>
      </c>
      <c r="L386" s="195">
        <v>0</v>
      </c>
      <c r="M386" s="195">
        <v>0</v>
      </c>
      <c r="N386" s="195">
        <v>0</v>
      </c>
      <c r="O386" s="195">
        <v>0</v>
      </c>
      <c r="P386" s="195">
        <v>0</v>
      </c>
      <c r="Q386" s="195">
        <v>0</v>
      </c>
      <c r="R386" s="197">
        <v>0</v>
      </c>
      <c r="S386" s="141">
        <f>15+28+31</f>
        <v>74</v>
      </c>
    </row>
    <row r="387" spans="1:19">
      <c r="A387" s="59"/>
      <c r="B387" s="207">
        <v>20</v>
      </c>
      <c r="C387" s="374" t="s">
        <v>73</v>
      </c>
      <c r="D387" s="193">
        <v>71.400000000000006</v>
      </c>
      <c r="E387" s="32">
        <v>2</v>
      </c>
      <c r="F387" s="194">
        <f t="shared" si="278"/>
        <v>10567.2</v>
      </c>
      <c r="G387" s="195">
        <v>0</v>
      </c>
      <c r="H387" s="196">
        <f t="shared" si="286"/>
        <v>6140.4000000000005</v>
      </c>
      <c r="I387" s="195">
        <f t="shared" si="279"/>
        <v>4426.8</v>
      </c>
      <c r="J387" s="195">
        <v>0</v>
      </c>
      <c r="K387" s="195">
        <v>0</v>
      </c>
      <c r="L387" s="195">
        <v>0</v>
      </c>
      <c r="M387" s="195">
        <v>0</v>
      </c>
      <c r="N387" s="195">
        <v>0</v>
      </c>
      <c r="O387" s="195">
        <v>0</v>
      </c>
      <c r="P387" s="195">
        <v>0</v>
      </c>
      <c r="Q387" s="195">
        <v>0</v>
      </c>
      <c r="R387" s="197">
        <v>0</v>
      </c>
      <c r="S387" s="141">
        <f t="shared" ref="S387:S389" si="287">15+28+31</f>
        <v>74</v>
      </c>
    </row>
    <row r="388" spans="1:19">
      <c r="A388" s="59"/>
      <c r="B388" s="134">
        <v>21</v>
      </c>
      <c r="C388" s="192" t="s">
        <v>32</v>
      </c>
      <c r="D388" s="193">
        <v>71.400000000000006</v>
      </c>
      <c r="E388" s="32">
        <v>1</v>
      </c>
      <c r="F388" s="194">
        <f t="shared" si="278"/>
        <v>5283.6</v>
      </c>
      <c r="G388" s="195">
        <v>0</v>
      </c>
      <c r="H388" s="196">
        <f t="shared" si="286"/>
        <v>3070.2000000000003</v>
      </c>
      <c r="I388" s="195">
        <f t="shared" si="279"/>
        <v>2213.4</v>
      </c>
      <c r="J388" s="195">
        <v>0</v>
      </c>
      <c r="K388" s="195">
        <v>0</v>
      </c>
      <c r="L388" s="195">
        <v>0</v>
      </c>
      <c r="M388" s="195">
        <v>0</v>
      </c>
      <c r="N388" s="195">
        <v>0</v>
      </c>
      <c r="O388" s="195">
        <v>0</v>
      </c>
      <c r="P388" s="195">
        <v>0</v>
      </c>
      <c r="Q388" s="195">
        <v>0</v>
      </c>
      <c r="R388" s="197">
        <v>0</v>
      </c>
      <c r="S388" s="141">
        <f t="shared" si="287"/>
        <v>74</v>
      </c>
    </row>
    <row r="389" spans="1:19" ht="15.75" thickBot="1">
      <c r="A389" s="59"/>
      <c r="B389" s="199">
        <v>22</v>
      </c>
      <c r="C389" s="375" t="s">
        <v>35</v>
      </c>
      <c r="D389" s="376">
        <v>71.400000000000006</v>
      </c>
      <c r="E389" s="377">
        <v>1</v>
      </c>
      <c r="F389" s="378">
        <f t="shared" si="278"/>
        <v>5283.6</v>
      </c>
      <c r="G389" s="379">
        <v>0</v>
      </c>
      <c r="H389" s="380">
        <f t="shared" si="286"/>
        <v>3070.2000000000003</v>
      </c>
      <c r="I389" s="379">
        <f t="shared" si="279"/>
        <v>2213.4</v>
      </c>
      <c r="J389" s="379">
        <v>0</v>
      </c>
      <c r="K389" s="379">
        <v>0</v>
      </c>
      <c r="L389" s="379">
        <v>0</v>
      </c>
      <c r="M389" s="379">
        <v>0</v>
      </c>
      <c r="N389" s="379">
        <v>0</v>
      </c>
      <c r="O389" s="379">
        <v>0</v>
      </c>
      <c r="P389" s="379">
        <v>0</v>
      </c>
      <c r="Q389" s="379">
        <v>0</v>
      </c>
      <c r="R389" s="363">
        <v>0</v>
      </c>
      <c r="S389" s="141">
        <f t="shared" si="287"/>
        <v>74</v>
      </c>
    </row>
    <row r="390" spans="1:19" s="13" customFormat="1">
      <c r="A390" s="190"/>
      <c r="B390" s="310">
        <v>23</v>
      </c>
      <c r="C390" s="381" t="s">
        <v>72</v>
      </c>
      <c r="D390" s="244">
        <v>71.400000000000006</v>
      </c>
      <c r="E390" s="245">
        <v>2</v>
      </c>
      <c r="F390" s="246">
        <f t="shared" si="278"/>
        <v>12994.800000000001</v>
      </c>
      <c r="G390" s="382">
        <v>0</v>
      </c>
      <c r="H390" s="383">
        <v>0</v>
      </c>
      <c r="I390" s="382">
        <v>0</v>
      </c>
      <c r="J390" s="247">
        <f>E390*D390*30</f>
        <v>4284</v>
      </c>
      <c r="K390" s="247">
        <f t="shared" ref="K390" si="288">E390*D390*31</f>
        <v>4426.8</v>
      </c>
      <c r="L390" s="247">
        <f t="shared" ref="L390" si="289">E390*D390*30</f>
        <v>4284</v>
      </c>
      <c r="M390" s="247">
        <v>0</v>
      </c>
      <c r="N390" s="247">
        <v>0</v>
      </c>
      <c r="O390" s="247">
        <v>0</v>
      </c>
      <c r="P390" s="247">
        <v>0</v>
      </c>
      <c r="Q390" s="247">
        <v>0</v>
      </c>
      <c r="R390" s="384">
        <v>0</v>
      </c>
      <c r="S390" s="198">
        <f t="shared" ref="S390:S392" si="290">30+31+30</f>
        <v>91</v>
      </c>
    </row>
    <row r="391" spans="1:19" s="7" customFormat="1">
      <c r="A391" s="128"/>
      <c r="B391" s="129">
        <v>24</v>
      </c>
      <c r="C391" s="369" t="s">
        <v>73</v>
      </c>
      <c r="D391" s="31">
        <v>71.400000000000006</v>
      </c>
      <c r="E391" s="33">
        <v>2</v>
      </c>
      <c r="F391" s="130">
        <f>+E391*S391*D391</f>
        <v>12994.800000000001</v>
      </c>
      <c r="G391" s="385">
        <v>0</v>
      </c>
      <c r="H391" s="386">
        <v>0</v>
      </c>
      <c r="I391" s="385">
        <v>0</v>
      </c>
      <c r="J391" s="47">
        <f>E391*D391*30</f>
        <v>4284</v>
      </c>
      <c r="K391" s="47">
        <f>E391*D391*31</f>
        <v>4426.8</v>
      </c>
      <c r="L391" s="47">
        <f>E391*D391*30</f>
        <v>4284</v>
      </c>
      <c r="M391" s="47">
        <v>0</v>
      </c>
      <c r="N391" s="47">
        <v>0</v>
      </c>
      <c r="O391" s="47">
        <v>0</v>
      </c>
      <c r="P391" s="47">
        <v>0</v>
      </c>
      <c r="Q391" s="47">
        <v>0</v>
      </c>
      <c r="R391" s="132">
        <v>0</v>
      </c>
      <c r="S391" s="133">
        <f t="shared" si="290"/>
        <v>91</v>
      </c>
    </row>
    <row r="392" spans="1:19" s="7" customFormat="1">
      <c r="A392" s="128"/>
      <c r="B392" s="129">
        <v>25</v>
      </c>
      <c r="C392" s="30" t="s">
        <v>32</v>
      </c>
      <c r="D392" s="31">
        <v>71.400000000000006</v>
      </c>
      <c r="E392" s="33">
        <v>1</v>
      </c>
      <c r="F392" s="130">
        <f>+E392*S392*D392</f>
        <v>6497.4000000000005</v>
      </c>
      <c r="G392" s="385">
        <v>0</v>
      </c>
      <c r="H392" s="386">
        <v>0</v>
      </c>
      <c r="I392" s="385">
        <v>0</v>
      </c>
      <c r="J392" s="47">
        <f>E392*D392*30</f>
        <v>2142</v>
      </c>
      <c r="K392" s="47">
        <f>E392*D392*31</f>
        <v>2213.4</v>
      </c>
      <c r="L392" s="47">
        <f>E392*D392*30</f>
        <v>2142</v>
      </c>
      <c r="M392" s="47">
        <v>0</v>
      </c>
      <c r="N392" s="47">
        <v>0</v>
      </c>
      <c r="O392" s="47">
        <v>0</v>
      </c>
      <c r="P392" s="47">
        <v>0</v>
      </c>
      <c r="Q392" s="47">
        <v>0</v>
      </c>
      <c r="R392" s="132">
        <v>0</v>
      </c>
      <c r="S392" s="133">
        <f t="shared" si="290"/>
        <v>91</v>
      </c>
    </row>
    <row r="393" spans="1:19" s="7" customFormat="1">
      <c r="A393" s="128"/>
      <c r="B393" s="129">
        <v>26</v>
      </c>
      <c r="C393" s="369" t="s">
        <v>72</v>
      </c>
      <c r="D393" s="31">
        <v>71.400000000000006</v>
      </c>
      <c r="E393" s="33">
        <v>2</v>
      </c>
      <c r="F393" s="130">
        <f>+E393*S393*D393</f>
        <v>12994.800000000001</v>
      </c>
      <c r="G393" s="385">
        <v>0</v>
      </c>
      <c r="H393" s="386">
        <v>0</v>
      </c>
      <c r="I393" s="385">
        <v>0</v>
      </c>
      <c r="J393" s="47">
        <v>0</v>
      </c>
      <c r="K393" s="47">
        <f>+D393*E393*30+D393*E393*31</f>
        <v>8710.7999999999993</v>
      </c>
      <c r="L393" s="47">
        <f>E393*D393*30</f>
        <v>4284</v>
      </c>
      <c r="M393" s="47">
        <v>0</v>
      </c>
      <c r="N393" s="47">
        <v>0</v>
      </c>
      <c r="O393" s="47">
        <v>0</v>
      </c>
      <c r="P393" s="47">
        <v>0</v>
      </c>
      <c r="Q393" s="47">
        <v>0</v>
      </c>
      <c r="R393" s="132">
        <v>0</v>
      </c>
      <c r="S393" s="133">
        <f>30+31+30</f>
        <v>91</v>
      </c>
    </row>
    <row r="394" spans="1:19" s="7" customFormat="1">
      <c r="A394" s="128"/>
      <c r="B394" s="129">
        <v>27</v>
      </c>
      <c r="C394" s="369" t="s">
        <v>44</v>
      </c>
      <c r="D394" s="31">
        <v>72.540000000000006</v>
      </c>
      <c r="E394" s="33">
        <v>4</v>
      </c>
      <c r="F394" s="130">
        <f>+E394*S394*D394</f>
        <v>26404.560000000001</v>
      </c>
      <c r="G394" s="385">
        <v>0</v>
      </c>
      <c r="H394" s="386">
        <v>0</v>
      </c>
      <c r="I394" s="385">
        <v>0</v>
      </c>
      <c r="J394" s="47">
        <v>0</v>
      </c>
      <c r="K394" s="47">
        <f>+D394*E394*30+D394*E394*31</f>
        <v>17699.760000000002</v>
      </c>
      <c r="L394" s="47">
        <f t="shared" ref="L394" si="291">E394*D394*30</f>
        <v>8704.8000000000011</v>
      </c>
      <c r="M394" s="47">
        <v>0</v>
      </c>
      <c r="N394" s="47">
        <v>0</v>
      </c>
      <c r="O394" s="47">
        <v>0</v>
      </c>
      <c r="P394" s="47">
        <v>0</v>
      </c>
      <c r="Q394" s="47">
        <v>0</v>
      </c>
      <c r="R394" s="132">
        <v>0</v>
      </c>
      <c r="S394" s="133">
        <f>30+31+30</f>
        <v>91</v>
      </c>
    </row>
    <row r="395" spans="1:19" s="7" customFormat="1">
      <c r="A395" s="128"/>
      <c r="B395" s="129">
        <v>31</v>
      </c>
      <c r="C395" s="369" t="s">
        <v>35</v>
      </c>
      <c r="D395" s="31">
        <v>71.400000000000006</v>
      </c>
      <c r="E395" s="33">
        <v>1</v>
      </c>
      <c r="F395" s="130">
        <f>+E395*S395*D395</f>
        <v>6497.4000000000005</v>
      </c>
      <c r="G395" s="385">
        <v>0</v>
      </c>
      <c r="H395" s="386">
        <v>0</v>
      </c>
      <c r="I395" s="385">
        <v>0</v>
      </c>
      <c r="J395" s="47">
        <f t="shared" ref="J395" si="292">E395*D395*30</f>
        <v>2142</v>
      </c>
      <c r="K395" s="47">
        <f>E395*D395*31</f>
        <v>2213.4</v>
      </c>
      <c r="L395" s="47">
        <f>E395*D395*30</f>
        <v>2142</v>
      </c>
      <c r="M395" s="47">
        <v>0</v>
      </c>
      <c r="N395" s="47">
        <v>0</v>
      </c>
      <c r="O395" s="47">
        <v>0</v>
      </c>
      <c r="P395" s="47">
        <v>0</v>
      </c>
      <c r="Q395" s="47">
        <v>0</v>
      </c>
      <c r="R395" s="132">
        <v>0</v>
      </c>
      <c r="S395" s="133">
        <f>30+31+30</f>
        <v>91</v>
      </c>
    </row>
    <row r="396" spans="1:19" s="7" customFormat="1">
      <c r="A396" s="128"/>
      <c r="B396" s="233">
        <v>1</v>
      </c>
      <c r="C396" s="368" t="s">
        <v>44</v>
      </c>
      <c r="D396" s="275">
        <v>72.540000000000006</v>
      </c>
      <c r="E396" s="34">
        <v>28</v>
      </c>
      <c r="F396" s="277">
        <f t="shared" ref="F396:F420" si="293">+E396*S396*D396</f>
        <v>310761.36000000004</v>
      </c>
      <c r="G396" s="47">
        <v>0</v>
      </c>
      <c r="H396" s="47">
        <v>0</v>
      </c>
      <c r="I396" s="47">
        <v>0</v>
      </c>
      <c r="J396" s="47">
        <v>0</v>
      </c>
      <c r="K396" s="47">
        <v>0</v>
      </c>
      <c r="L396" s="47">
        <v>0</v>
      </c>
      <c r="M396" s="47">
        <v>0</v>
      </c>
      <c r="N396" s="47">
        <f t="shared" ref="N396:N420" si="294">+D396*E396*31</f>
        <v>62964.72</v>
      </c>
      <c r="O396" s="47">
        <f t="shared" ref="O396:O420" si="295">+D396*E396*30</f>
        <v>60933.600000000006</v>
      </c>
      <c r="P396" s="47">
        <f t="shared" ref="P396:P420" si="296">+D396*E396*31</f>
        <v>62964.72</v>
      </c>
      <c r="Q396" s="47">
        <f t="shared" ref="Q396:Q420" si="297">+D396*E396*30</f>
        <v>60933.600000000006</v>
      </c>
      <c r="R396" s="132">
        <f t="shared" ref="R396:R420" si="298">+D396*E396*31</f>
        <v>62964.72</v>
      </c>
      <c r="S396" s="133">
        <f t="shared" ref="S396:S420" si="299">31+30+31+30+31</f>
        <v>153</v>
      </c>
    </row>
    <row r="397" spans="1:19" s="7" customFormat="1">
      <c r="A397" s="128"/>
      <c r="B397" s="233">
        <v>1</v>
      </c>
      <c r="C397" s="368" t="s">
        <v>44</v>
      </c>
      <c r="D397" s="275">
        <v>72.540000000000006</v>
      </c>
      <c r="E397" s="34">
        <v>2</v>
      </c>
      <c r="F397" s="277">
        <f t="shared" si="293"/>
        <v>0</v>
      </c>
      <c r="G397" s="47">
        <v>0</v>
      </c>
      <c r="H397" s="47">
        <v>0</v>
      </c>
      <c r="I397" s="47">
        <v>0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0</v>
      </c>
      <c r="R397" s="132">
        <v>0</v>
      </c>
      <c r="S397" s="133">
        <v>0</v>
      </c>
    </row>
    <row r="398" spans="1:19" s="7" customFormat="1">
      <c r="A398" s="128"/>
      <c r="B398" s="129">
        <v>2</v>
      </c>
      <c r="C398" s="369" t="s">
        <v>71</v>
      </c>
      <c r="D398" s="31">
        <v>73.59</v>
      </c>
      <c r="E398" s="33">
        <v>1</v>
      </c>
      <c r="F398" s="130">
        <f t="shared" si="293"/>
        <v>11259.27</v>
      </c>
      <c r="G398" s="47">
        <v>0</v>
      </c>
      <c r="H398" s="47">
        <v>0</v>
      </c>
      <c r="I398" s="47">
        <v>0</v>
      </c>
      <c r="J398" s="47">
        <v>0</v>
      </c>
      <c r="K398" s="47">
        <v>0</v>
      </c>
      <c r="L398" s="47">
        <v>0</v>
      </c>
      <c r="M398" s="47">
        <v>0</v>
      </c>
      <c r="N398" s="47">
        <f t="shared" si="294"/>
        <v>2281.29</v>
      </c>
      <c r="O398" s="47">
        <f t="shared" si="295"/>
        <v>2207.7000000000003</v>
      </c>
      <c r="P398" s="47">
        <f t="shared" si="296"/>
        <v>2281.29</v>
      </c>
      <c r="Q398" s="47">
        <f t="shared" si="297"/>
        <v>2207.7000000000003</v>
      </c>
      <c r="R398" s="132">
        <f t="shared" si="298"/>
        <v>2281.29</v>
      </c>
      <c r="S398" s="133">
        <f t="shared" si="299"/>
        <v>153</v>
      </c>
    </row>
    <row r="399" spans="1:19" s="7" customFormat="1">
      <c r="A399" s="128"/>
      <c r="B399" s="129">
        <v>2</v>
      </c>
      <c r="C399" s="369" t="s">
        <v>71</v>
      </c>
      <c r="D399" s="31">
        <v>73.59</v>
      </c>
      <c r="E399" s="33">
        <v>1</v>
      </c>
      <c r="F399" s="130">
        <f t="shared" si="293"/>
        <v>9125.16</v>
      </c>
      <c r="G399" s="47">
        <v>0</v>
      </c>
      <c r="H399" s="47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0</v>
      </c>
      <c r="N399" s="47">
        <f>+D399*E399*2</f>
        <v>147.18</v>
      </c>
      <c r="O399" s="47">
        <f t="shared" si="295"/>
        <v>2207.7000000000003</v>
      </c>
      <c r="P399" s="47">
        <f t="shared" si="296"/>
        <v>2281.29</v>
      </c>
      <c r="Q399" s="47">
        <f t="shared" si="297"/>
        <v>2207.7000000000003</v>
      </c>
      <c r="R399" s="132">
        <f t="shared" si="298"/>
        <v>2281.29</v>
      </c>
      <c r="S399" s="133">
        <f>2+30+31+30+31</f>
        <v>124</v>
      </c>
    </row>
    <row r="400" spans="1:19" s="7" customFormat="1">
      <c r="A400" s="128"/>
      <c r="B400" s="129">
        <v>3</v>
      </c>
      <c r="C400" s="369" t="s">
        <v>72</v>
      </c>
      <c r="D400" s="31">
        <v>71.400000000000006</v>
      </c>
      <c r="E400" s="33">
        <v>26</v>
      </c>
      <c r="F400" s="130">
        <f t="shared" si="293"/>
        <v>284029.2</v>
      </c>
      <c r="G400" s="47">
        <v>0</v>
      </c>
      <c r="H400" s="47">
        <v>0</v>
      </c>
      <c r="I400" s="47">
        <v>0</v>
      </c>
      <c r="J400" s="47">
        <v>0</v>
      </c>
      <c r="K400" s="47">
        <v>0</v>
      </c>
      <c r="L400" s="47">
        <v>0</v>
      </c>
      <c r="M400" s="47">
        <v>0</v>
      </c>
      <c r="N400" s="47">
        <f t="shared" si="294"/>
        <v>57548.4</v>
      </c>
      <c r="O400" s="47">
        <f t="shared" si="295"/>
        <v>55692</v>
      </c>
      <c r="P400" s="47">
        <f t="shared" si="296"/>
        <v>57548.4</v>
      </c>
      <c r="Q400" s="47">
        <f t="shared" si="297"/>
        <v>55692</v>
      </c>
      <c r="R400" s="132">
        <f t="shared" si="298"/>
        <v>57548.4</v>
      </c>
      <c r="S400" s="133">
        <f t="shared" si="299"/>
        <v>153</v>
      </c>
    </row>
    <row r="401" spans="1:19" s="7" customFormat="1">
      <c r="A401" s="128"/>
      <c r="B401" s="129">
        <v>3</v>
      </c>
      <c r="C401" s="369" t="s">
        <v>72</v>
      </c>
      <c r="D401" s="31">
        <v>71.400000000000006</v>
      </c>
      <c r="E401" s="33">
        <v>2</v>
      </c>
      <c r="F401" s="130">
        <f t="shared" si="293"/>
        <v>0</v>
      </c>
      <c r="G401" s="47">
        <v>0</v>
      </c>
      <c r="H401" s="47">
        <v>0</v>
      </c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0</v>
      </c>
      <c r="Q401" s="47">
        <v>0</v>
      </c>
      <c r="R401" s="132">
        <v>0</v>
      </c>
      <c r="S401" s="133">
        <v>0</v>
      </c>
    </row>
    <row r="402" spans="1:19" s="7" customFormat="1">
      <c r="A402" s="128"/>
      <c r="B402" s="233">
        <v>4</v>
      </c>
      <c r="C402" s="370" t="s">
        <v>48</v>
      </c>
      <c r="D402" s="31">
        <v>71.400000000000006</v>
      </c>
      <c r="E402" s="33">
        <v>1</v>
      </c>
      <c r="F402" s="130">
        <f t="shared" si="293"/>
        <v>10924.2</v>
      </c>
      <c r="G402" s="47">
        <v>0</v>
      </c>
      <c r="H402" s="47">
        <v>0</v>
      </c>
      <c r="I402" s="47">
        <v>0</v>
      </c>
      <c r="J402" s="47">
        <v>0</v>
      </c>
      <c r="K402" s="47">
        <v>0</v>
      </c>
      <c r="L402" s="47">
        <v>0</v>
      </c>
      <c r="M402" s="47">
        <v>0</v>
      </c>
      <c r="N402" s="47">
        <f t="shared" si="294"/>
        <v>2213.4</v>
      </c>
      <c r="O402" s="47">
        <f t="shared" si="295"/>
        <v>2142</v>
      </c>
      <c r="P402" s="47">
        <f t="shared" si="296"/>
        <v>2213.4</v>
      </c>
      <c r="Q402" s="47">
        <f t="shared" si="297"/>
        <v>2142</v>
      </c>
      <c r="R402" s="132">
        <f t="shared" si="298"/>
        <v>2213.4</v>
      </c>
      <c r="S402" s="133">
        <f t="shared" si="299"/>
        <v>153</v>
      </c>
    </row>
    <row r="403" spans="1:19" s="7" customFormat="1">
      <c r="A403" s="128"/>
      <c r="B403" s="233">
        <v>4</v>
      </c>
      <c r="C403" s="370" t="s">
        <v>48</v>
      </c>
      <c r="D403" s="31">
        <v>71.400000000000006</v>
      </c>
      <c r="E403" s="33">
        <v>1</v>
      </c>
      <c r="F403" s="130">
        <f t="shared" si="293"/>
        <v>0</v>
      </c>
      <c r="G403" s="47">
        <v>0</v>
      </c>
      <c r="H403" s="47">
        <v>0</v>
      </c>
      <c r="I403" s="47">
        <v>0</v>
      </c>
      <c r="J403" s="47">
        <v>0</v>
      </c>
      <c r="K403" s="47">
        <v>0</v>
      </c>
      <c r="L403" s="47">
        <v>0</v>
      </c>
      <c r="M403" s="47">
        <v>0</v>
      </c>
      <c r="N403" s="47">
        <v>0</v>
      </c>
      <c r="O403" s="47">
        <v>0</v>
      </c>
      <c r="P403" s="47">
        <v>0</v>
      </c>
      <c r="Q403" s="47">
        <v>0</v>
      </c>
      <c r="R403" s="132">
        <v>0</v>
      </c>
      <c r="S403" s="133">
        <v>0</v>
      </c>
    </row>
    <row r="404" spans="1:19" s="7" customFormat="1">
      <c r="A404" s="128"/>
      <c r="B404" s="129">
        <v>5</v>
      </c>
      <c r="C404" s="369" t="s">
        <v>73</v>
      </c>
      <c r="D404" s="31">
        <v>71.400000000000006</v>
      </c>
      <c r="E404" s="33">
        <v>1</v>
      </c>
      <c r="F404" s="130">
        <f t="shared" si="293"/>
        <v>10924.2</v>
      </c>
      <c r="G404" s="47">
        <v>0</v>
      </c>
      <c r="H404" s="47">
        <v>0</v>
      </c>
      <c r="I404" s="47">
        <v>0</v>
      </c>
      <c r="J404" s="47">
        <v>0</v>
      </c>
      <c r="K404" s="47">
        <v>0</v>
      </c>
      <c r="L404" s="47">
        <v>0</v>
      </c>
      <c r="M404" s="47">
        <v>0</v>
      </c>
      <c r="N404" s="47">
        <f t="shared" si="294"/>
        <v>2213.4</v>
      </c>
      <c r="O404" s="47">
        <f t="shared" si="295"/>
        <v>2142</v>
      </c>
      <c r="P404" s="47">
        <f t="shared" si="296"/>
        <v>2213.4</v>
      </c>
      <c r="Q404" s="47">
        <f t="shared" si="297"/>
        <v>2142</v>
      </c>
      <c r="R404" s="132">
        <f t="shared" si="298"/>
        <v>2213.4</v>
      </c>
      <c r="S404" s="133">
        <f t="shared" si="299"/>
        <v>153</v>
      </c>
    </row>
    <row r="405" spans="1:19" s="7" customFormat="1">
      <c r="A405" s="128"/>
      <c r="B405" s="129">
        <v>6</v>
      </c>
      <c r="C405" s="369" t="s">
        <v>74</v>
      </c>
      <c r="D405" s="31">
        <v>71.400000000000006</v>
      </c>
      <c r="E405" s="33">
        <v>1</v>
      </c>
      <c r="F405" s="130">
        <f t="shared" si="293"/>
        <v>10924.2</v>
      </c>
      <c r="G405" s="47">
        <v>0</v>
      </c>
      <c r="H405" s="47">
        <v>0</v>
      </c>
      <c r="I405" s="47">
        <v>0</v>
      </c>
      <c r="J405" s="47">
        <v>0</v>
      </c>
      <c r="K405" s="47">
        <v>0</v>
      </c>
      <c r="L405" s="47">
        <v>0</v>
      </c>
      <c r="M405" s="47">
        <v>0</v>
      </c>
      <c r="N405" s="47">
        <f t="shared" si="294"/>
        <v>2213.4</v>
      </c>
      <c r="O405" s="47">
        <f t="shared" si="295"/>
        <v>2142</v>
      </c>
      <c r="P405" s="47">
        <f t="shared" si="296"/>
        <v>2213.4</v>
      </c>
      <c r="Q405" s="47">
        <f t="shared" si="297"/>
        <v>2142</v>
      </c>
      <c r="R405" s="132">
        <f t="shared" si="298"/>
        <v>2213.4</v>
      </c>
      <c r="S405" s="133">
        <f t="shared" si="299"/>
        <v>153</v>
      </c>
    </row>
    <row r="406" spans="1:19" s="7" customFormat="1">
      <c r="A406" s="128"/>
      <c r="B406" s="233">
        <v>7</v>
      </c>
      <c r="C406" s="369" t="s">
        <v>35</v>
      </c>
      <c r="D406" s="31">
        <v>71.400000000000006</v>
      </c>
      <c r="E406" s="33">
        <v>6</v>
      </c>
      <c r="F406" s="130">
        <f t="shared" si="293"/>
        <v>65545.200000000012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f t="shared" si="294"/>
        <v>13280.400000000001</v>
      </c>
      <c r="O406" s="47">
        <f t="shared" si="295"/>
        <v>12852.000000000002</v>
      </c>
      <c r="P406" s="47">
        <f t="shared" si="296"/>
        <v>13280.400000000001</v>
      </c>
      <c r="Q406" s="47">
        <f t="shared" si="297"/>
        <v>12852.000000000002</v>
      </c>
      <c r="R406" s="132">
        <f t="shared" si="298"/>
        <v>13280.400000000001</v>
      </c>
      <c r="S406" s="133">
        <f t="shared" si="299"/>
        <v>153</v>
      </c>
    </row>
    <row r="407" spans="1:19" s="7" customFormat="1">
      <c r="A407" s="128"/>
      <c r="B407" s="233">
        <v>7</v>
      </c>
      <c r="C407" s="369" t="s">
        <v>35</v>
      </c>
      <c r="D407" s="31">
        <v>71.400000000000006</v>
      </c>
      <c r="E407" s="33">
        <v>1</v>
      </c>
      <c r="F407" s="130">
        <f t="shared" si="293"/>
        <v>4355.4000000000005</v>
      </c>
      <c r="G407" s="47">
        <v>0</v>
      </c>
      <c r="H407" s="47">
        <v>0</v>
      </c>
      <c r="I407" s="47">
        <v>0</v>
      </c>
      <c r="J407" s="47">
        <v>0</v>
      </c>
      <c r="K407" s="47">
        <v>0</v>
      </c>
      <c r="L407" s="47">
        <v>0</v>
      </c>
      <c r="M407" s="47">
        <v>0</v>
      </c>
      <c r="N407" s="47">
        <f t="shared" si="294"/>
        <v>2213.4</v>
      </c>
      <c r="O407" s="47">
        <f t="shared" si="295"/>
        <v>2142</v>
      </c>
      <c r="P407" s="47">
        <v>0</v>
      </c>
      <c r="Q407" s="47">
        <v>0</v>
      </c>
      <c r="R407" s="132">
        <v>0</v>
      </c>
      <c r="S407" s="133">
        <f>31+30</f>
        <v>61</v>
      </c>
    </row>
    <row r="408" spans="1:19" s="7" customFormat="1">
      <c r="A408" s="128"/>
      <c r="B408" s="129">
        <v>8</v>
      </c>
      <c r="C408" s="369" t="s">
        <v>52</v>
      </c>
      <c r="D408" s="31">
        <v>72.540000000000006</v>
      </c>
      <c r="E408" s="33">
        <v>3</v>
      </c>
      <c r="F408" s="130">
        <f t="shared" si="293"/>
        <v>33295.86</v>
      </c>
      <c r="G408" s="47">
        <v>0</v>
      </c>
      <c r="H408" s="47">
        <v>0</v>
      </c>
      <c r="I408" s="47">
        <v>0</v>
      </c>
      <c r="J408" s="47">
        <v>0</v>
      </c>
      <c r="K408" s="47">
        <v>0</v>
      </c>
      <c r="L408" s="47">
        <v>0</v>
      </c>
      <c r="M408" s="47">
        <v>0</v>
      </c>
      <c r="N408" s="47">
        <f t="shared" si="294"/>
        <v>6746.22</v>
      </c>
      <c r="O408" s="47">
        <f t="shared" si="295"/>
        <v>6528.6</v>
      </c>
      <c r="P408" s="47">
        <f t="shared" si="296"/>
        <v>6746.22</v>
      </c>
      <c r="Q408" s="47">
        <f t="shared" si="297"/>
        <v>6528.6</v>
      </c>
      <c r="R408" s="132">
        <f t="shared" si="298"/>
        <v>6746.22</v>
      </c>
      <c r="S408" s="133">
        <f t="shared" si="299"/>
        <v>153</v>
      </c>
    </row>
    <row r="409" spans="1:19" s="7" customFormat="1">
      <c r="A409" s="128"/>
      <c r="B409" s="129">
        <v>8</v>
      </c>
      <c r="C409" s="369" t="s">
        <v>52</v>
      </c>
      <c r="D409" s="31">
        <v>72.540000000000006</v>
      </c>
      <c r="E409" s="33">
        <v>1</v>
      </c>
      <c r="F409" s="130">
        <f t="shared" si="293"/>
        <v>11388.78</v>
      </c>
      <c r="G409" s="47">
        <v>0</v>
      </c>
      <c r="H409" s="47">
        <v>0</v>
      </c>
      <c r="I409" s="47">
        <v>0</v>
      </c>
      <c r="J409" s="47">
        <v>0</v>
      </c>
      <c r="K409" s="47">
        <v>0</v>
      </c>
      <c r="L409" s="47">
        <v>0</v>
      </c>
      <c r="M409" s="47">
        <v>0</v>
      </c>
      <c r="N409" s="47">
        <f>+D409*E409*35</f>
        <v>2538.9</v>
      </c>
      <c r="O409" s="47">
        <f t="shared" si="295"/>
        <v>2176.2000000000003</v>
      </c>
      <c r="P409" s="47">
        <f t="shared" si="296"/>
        <v>2248.7400000000002</v>
      </c>
      <c r="Q409" s="47">
        <f t="shared" si="297"/>
        <v>2176.2000000000003</v>
      </c>
      <c r="R409" s="132">
        <f t="shared" si="298"/>
        <v>2248.7400000000002</v>
      </c>
      <c r="S409" s="133">
        <f>35+30+31+30+31</f>
        <v>157</v>
      </c>
    </row>
    <row r="410" spans="1:19" s="7" customFormat="1">
      <c r="A410" s="128"/>
      <c r="B410" s="129">
        <v>9</v>
      </c>
      <c r="C410" s="369" t="s">
        <v>61</v>
      </c>
      <c r="D410" s="31">
        <v>77.59</v>
      </c>
      <c r="E410" s="33">
        <v>1</v>
      </c>
      <c r="F410" s="130">
        <f t="shared" si="293"/>
        <v>11871.27</v>
      </c>
      <c r="G410" s="47">
        <v>0</v>
      </c>
      <c r="H410" s="47">
        <v>0</v>
      </c>
      <c r="I410" s="47">
        <v>0</v>
      </c>
      <c r="J410" s="47">
        <v>0</v>
      </c>
      <c r="K410" s="47">
        <v>0</v>
      </c>
      <c r="L410" s="47">
        <v>0</v>
      </c>
      <c r="M410" s="47">
        <v>0</v>
      </c>
      <c r="N410" s="47">
        <f t="shared" si="294"/>
        <v>2405.29</v>
      </c>
      <c r="O410" s="47">
        <f t="shared" si="295"/>
        <v>2327.7000000000003</v>
      </c>
      <c r="P410" s="47">
        <f t="shared" si="296"/>
        <v>2405.29</v>
      </c>
      <c r="Q410" s="47">
        <f t="shared" si="297"/>
        <v>2327.7000000000003</v>
      </c>
      <c r="R410" s="132">
        <f t="shared" si="298"/>
        <v>2405.29</v>
      </c>
      <c r="S410" s="133">
        <f t="shared" si="299"/>
        <v>153</v>
      </c>
    </row>
    <row r="411" spans="1:19" s="7" customFormat="1">
      <c r="A411" s="128"/>
      <c r="B411" s="233">
        <v>10</v>
      </c>
      <c r="C411" s="369" t="s">
        <v>38</v>
      </c>
      <c r="D411" s="31">
        <v>71.400000000000006</v>
      </c>
      <c r="E411" s="33">
        <v>7</v>
      </c>
      <c r="F411" s="130">
        <f t="shared" si="293"/>
        <v>76469.400000000009</v>
      </c>
      <c r="G411" s="47">
        <v>0</v>
      </c>
      <c r="H411" s="47">
        <v>0</v>
      </c>
      <c r="I411" s="47">
        <v>0</v>
      </c>
      <c r="J411" s="47">
        <v>0</v>
      </c>
      <c r="K411" s="47">
        <v>0</v>
      </c>
      <c r="L411" s="47">
        <v>0</v>
      </c>
      <c r="M411" s="47">
        <v>0</v>
      </c>
      <c r="N411" s="47">
        <f t="shared" si="294"/>
        <v>15493.800000000003</v>
      </c>
      <c r="O411" s="47">
        <f t="shared" si="295"/>
        <v>14994.000000000002</v>
      </c>
      <c r="P411" s="47">
        <f t="shared" si="296"/>
        <v>15493.800000000003</v>
      </c>
      <c r="Q411" s="47">
        <f t="shared" si="297"/>
        <v>14994.000000000002</v>
      </c>
      <c r="R411" s="132">
        <f t="shared" si="298"/>
        <v>15493.800000000003</v>
      </c>
      <c r="S411" s="133">
        <f t="shared" si="299"/>
        <v>153</v>
      </c>
    </row>
    <row r="412" spans="1:19" s="7" customFormat="1">
      <c r="A412" s="128"/>
      <c r="B412" s="129">
        <v>11</v>
      </c>
      <c r="C412" s="369" t="s">
        <v>75</v>
      </c>
      <c r="D412" s="31">
        <v>73.59</v>
      </c>
      <c r="E412" s="33">
        <v>1</v>
      </c>
      <c r="F412" s="130">
        <f t="shared" si="293"/>
        <v>0</v>
      </c>
      <c r="G412" s="47">
        <v>0</v>
      </c>
      <c r="H412" s="47">
        <v>0</v>
      </c>
      <c r="I412" s="47">
        <v>0</v>
      </c>
      <c r="J412" s="47">
        <v>0</v>
      </c>
      <c r="K412" s="47">
        <v>0</v>
      </c>
      <c r="L412" s="47">
        <v>0</v>
      </c>
      <c r="M412" s="47">
        <v>0</v>
      </c>
      <c r="N412" s="47">
        <v>0</v>
      </c>
      <c r="O412" s="47">
        <v>0</v>
      </c>
      <c r="P412" s="47">
        <v>0</v>
      </c>
      <c r="Q412" s="47">
        <v>0</v>
      </c>
      <c r="R412" s="132">
        <v>0</v>
      </c>
      <c r="S412" s="133">
        <v>0</v>
      </c>
    </row>
    <row r="413" spans="1:19" s="7" customFormat="1" ht="15.75" customHeight="1">
      <c r="A413" s="128"/>
      <c r="B413" s="129">
        <v>12</v>
      </c>
      <c r="C413" s="369" t="s">
        <v>62</v>
      </c>
      <c r="D413" s="31">
        <v>75.64</v>
      </c>
      <c r="E413" s="35">
        <v>1</v>
      </c>
      <c r="F413" s="130">
        <f t="shared" si="293"/>
        <v>11572.92</v>
      </c>
      <c r="G413" s="47">
        <v>0</v>
      </c>
      <c r="H413" s="47">
        <v>0</v>
      </c>
      <c r="I413" s="47">
        <v>0</v>
      </c>
      <c r="J413" s="47">
        <v>0</v>
      </c>
      <c r="K413" s="47">
        <v>0</v>
      </c>
      <c r="L413" s="47">
        <v>0</v>
      </c>
      <c r="M413" s="47">
        <v>0</v>
      </c>
      <c r="N413" s="47">
        <f t="shared" si="294"/>
        <v>2344.84</v>
      </c>
      <c r="O413" s="47">
        <f t="shared" si="295"/>
        <v>2269.1999999999998</v>
      </c>
      <c r="P413" s="47">
        <f t="shared" si="296"/>
        <v>2344.84</v>
      </c>
      <c r="Q413" s="47">
        <f t="shared" si="297"/>
        <v>2269.1999999999998</v>
      </c>
      <c r="R413" s="132">
        <f t="shared" si="298"/>
        <v>2344.84</v>
      </c>
      <c r="S413" s="133">
        <f t="shared" si="299"/>
        <v>153</v>
      </c>
    </row>
    <row r="414" spans="1:19" s="7" customFormat="1">
      <c r="A414" s="128"/>
      <c r="B414" s="233">
        <v>13</v>
      </c>
      <c r="C414" s="369" t="s">
        <v>64</v>
      </c>
      <c r="D414" s="31">
        <v>71.400000000000006</v>
      </c>
      <c r="E414" s="33">
        <v>1</v>
      </c>
      <c r="F414" s="130">
        <f t="shared" si="293"/>
        <v>0</v>
      </c>
      <c r="G414" s="47">
        <v>0</v>
      </c>
      <c r="H414" s="47">
        <v>0</v>
      </c>
      <c r="I414" s="47">
        <v>0</v>
      </c>
      <c r="J414" s="47">
        <v>0</v>
      </c>
      <c r="K414" s="47">
        <v>0</v>
      </c>
      <c r="L414" s="47">
        <v>0</v>
      </c>
      <c r="M414" s="47">
        <v>0</v>
      </c>
      <c r="N414" s="47">
        <v>0</v>
      </c>
      <c r="O414" s="47">
        <v>0</v>
      </c>
      <c r="P414" s="47">
        <v>0</v>
      </c>
      <c r="Q414" s="47">
        <v>0</v>
      </c>
      <c r="R414" s="132">
        <v>0</v>
      </c>
      <c r="S414" s="133">
        <v>0</v>
      </c>
    </row>
    <row r="415" spans="1:19" s="7" customFormat="1">
      <c r="A415" s="128"/>
      <c r="B415" s="129">
        <v>14</v>
      </c>
      <c r="C415" s="369" t="s">
        <v>39</v>
      </c>
      <c r="D415" s="31">
        <v>78.25</v>
      </c>
      <c r="E415" s="33">
        <v>9</v>
      </c>
      <c r="F415" s="130">
        <f t="shared" si="293"/>
        <v>107750.25</v>
      </c>
      <c r="G415" s="47">
        <v>0</v>
      </c>
      <c r="H415" s="47">
        <v>0</v>
      </c>
      <c r="I415" s="47">
        <v>0</v>
      </c>
      <c r="J415" s="47">
        <v>0</v>
      </c>
      <c r="K415" s="47">
        <v>0</v>
      </c>
      <c r="L415" s="47">
        <v>0</v>
      </c>
      <c r="M415" s="47">
        <v>0</v>
      </c>
      <c r="N415" s="47">
        <f t="shared" si="294"/>
        <v>21831.75</v>
      </c>
      <c r="O415" s="47">
        <f t="shared" si="295"/>
        <v>21127.5</v>
      </c>
      <c r="P415" s="47">
        <f t="shared" si="296"/>
        <v>21831.75</v>
      </c>
      <c r="Q415" s="47">
        <f t="shared" si="297"/>
        <v>21127.5</v>
      </c>
      <c r="R415" s="132">
        <f t="shared" si="298"/>
        <v>21831.75</v>
      </c>
      <c r="S415" s="133">
        <f t="shared" si="299"/>
        <v>153</v>
      </c>
    </row>
    <row r="416" spans="1:19" s="7" customFormat="1">
      <c r="A416" s="128"/>
      <c r="B416" s="129">
        <v>15</v>
      </c>
      <c r="C416" s="369" t="s">
        <v>31</v>
      </c>
      <c r="D416" s="31">
        <v>72.540000000000006</v>
      </c>
      <c r="E416" s="33">
        <v>1</v>
      </c>
      <c r="F416" s="130">
        <f t="shared" si="293"/>
        <v>11098.62</v>
      </c>
      <c r="G416" s="47">
        <v>0</v>
      </c>
      <c r="H416" s="47">
        <v>0</v>
      </c>
      <c r="I416" s="47">
        <v>0</v>
      </c>
      <c r="J416" s="47">
        <v>0</v>
      </c>
      <c r="K416" s="47">
        <v>0</v>
      </c>
      <c r="L416" s="47">
        <v>0</v>
      </c>
      <c r="M416" s="47">
        <v>0</v>
      </c>
      <c r="N416" s="47">
        <f t="shared" si="294"/>
        <v>2248.7400000000002</v>
      </c>
      <c r="O416" s="47">
        <f t="shared" si="295"/>
        <v>2176.2000000000003</v>
      </c>
      <c r="P416" s="47">
        <f t="shared" si="296"/>
        <v>2248.7400000000002</v>
      </c>
      <c r="Q416" s="47">
        <f t="shared" si="297"/>
        <v>2176.2000000000003</v>
      </c>
      <c r="R416" s="132">
        <f t="shared" si="298"/>
        <v>2248.7400000000002</v>
      </c>
      <c r="S416" s="133">
        <f t="shared" si="299"/>
        <v>153</v>
      </c>
    </row>
    <row r="417" spans="1:19" s="7" customFormat="1">
      <c r="A417" s="128"/>
      <c r="B417" s="233">
        <v>16</v>
      </c>
      <c r="C417" s="369" t="s">
        <v>54</v>
      </c>
      <c r="D417" s="31">
        <v>71.400000000000006</v>
      </c>
      <c r="E417" s="33">
        <v>1</v>
      </c>
      <c r="F417" s="130">
        <f t="shared" si="293"/>
        <v>10924.2</v>
      </c>
      <c r="G417" s="47">
        <v>0</v>
      </c>
      <c r="H417" s="47">
        <v>0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7">
        <f t="shared" si="294"/>
        <v>2213.4</v>
      </c>
      <c r="O417" s="47">
        <f t="shared" si="295"/>
        <v>2142</v>
      </c>
      <c r="P417" s="47">
        <f t="shared" si="296"/>
        <v>2213.4</v>
      </c>
      <c r="Q417" s="47">
        <f t="shared" si="297"/>
        <v>2142</v>
      </c>
      <c r="R417" s="132">
        <f t="shared" si="298"/>
        <v>2213.4</v>
      </c>
      <c r="S417" s="133">
        <f t="shared" si="299"/>
        <v>153</v>
      </c>
    </row>
    <row r="418" spans="1:19" s="7" customFormat="1">
      <c r="A418" s="128"/>
      <c r="B418" s="233">
        <v>16</v>
      </c>
      <c r="C418" s="369" t="s">
        <v>54</v>
      </c>
      <c r="D418" s="31">
        <v>71.400000000000006</v>
      </c>
      <c r="E418" s="33">
        <v>1</v>
      </c>
      <c r="F418" s="130">
        <f t="shared" si="293"/>
        <v>0</v>
      </c>
      <c r="G418" s="47">
        <v>0</v>
      </c>
      <c r="H418" s="47">
        <v>0</v>
      </c>
      <c r="I418" s="47">
        <v>0</v>
      </c>
      <c r="J418" s="47">
        <v>0</v>
      </c>
      <c r="K418" s="47">
        <v>0</v>
      </c>
      <c r="L418" s="47">
        <v>0</v>
      </c>
      <c r="M418" s="47">
        <v>0</v>
      </c>
      <c r="N418" s="47">
        <v>0</v>
      </c>
      <c r="O418" s="47">
        <v>0</v>
      </c>
      <c r="P418" s="47">
        <v>0</v>
      </c>
      <c r="Q418" s="47">
        <v>0</v>
      </c>
      <c r="R418" s="132">
        <v>0</v>
      </c>
      <c r="S418" s="133">
        <v>0</v>
      </c>
    </row>
    <row r="419" spans="1:19" s="7" customFormat="1">
      <c r="A419" s="128"/>
      <c r="B419" s="371">
        <v>17</v>
      </c>
      <c r="C419" s="372" t="s">
        <v>42</v>
      </c>
      <c r="D419" s="31">
        <v>75.64</v>
      </c>
      <c r="E419" s="33">
        <v>1</v>
      </c>
      <c r="F419" s="130">
        <f t="shared" si="293"/>
        <v>11572.92</v>
      </c>
      <c r="G419" s="47">
        <v>0</v>
      </c>
      <c r="H419" s="47">
        <v>0</v>
      </c>
      <c r="I419" s="47">
        <v>0</v>
      </c>
      <c r="J419" s="47">
        <v>0</v>
      </c>
      <c r="K419" s="47">
        <v>0</v>
      </c>
      <c r="L419" s="47">
        <v>0</v>
      </c>
      <c r="M419" s="47">
        <v>0</v>
      </c>
      <c r="N419" s="47">
        <f t="shared" si="294"/>
        <v>2344.84</v>
      </c>
      <c r="O419" s="47">
        <f t="shared" si="295"/>
        <v>2269.1999999999998</v>
      </c>
      <c r="P419" s="47">
        <f t="shared" si="296"/>
        <v>2344.84</v>
      </c>
      <c r="Q419" s="47">
        <f t="shared" si="297"/>
        <v>2269.1999999999998</v>
      </c>
      <c r="R419" s="132">
        <f t="shared" si="298"/>
        <v>2344.84</v>
      </c>
      <c r="S419" s="133">
        <f t="shared" si="299"/>
        <v>153</v>
      </c>
    </row>
    <row r="420" spans="1:19" s="7" customFormat="1">
      <c r="A420" s="128"/>
      <c r="B420" s="233">
        <v>18</v>
      </c>
      <c r="C420" s="369" t="s">
        <v>37</v>
      </c>
      <c r="D420" s="31">
        <v>80.86</v>
      </c>
      <c r="E420" s="33">
        <v>6</v>
      </c>
      <c r="F420" s="130">
        <f t="shared" si="293"/>
        <v>74229.48</v>
      </c>
      <c r="G420" s="47">
        <v>0</v>
      </c>
      <c r="H420" s="47">
        <v>0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7">
        <f t="shared" si="294"/>
        <v>15039.96</v>
      </c>
      <c r="O420" s="47">
        <f t="shared" si="295"/>
        <v>14554.8</v>
      </c>
      <c r="P420" s="47">
        <f t="shared" si="296"/>
        <v>15039.96</v>
      </c>
      <c r="Q420" s="47">
        <f t="shared" si="297"/>
        <v>14554.8</v>
      </c>
      <c r="R420" s="132">
        <f t="shared" si="298"/>
        <v>15039.96</v>
      </c>
      <c r="S420" s="133">
        <f t="shared" si="299"/>
        <v>153</v>
      </c>
    </row>
    <row r="421" spans="1:19" s="7" customFormat="1">
      <c r="A421" s="128"/>
      <c r="B421" s="129">
        <v>28</v>
      </c>
      <c r="C421" s="369" t="s">
        <v>72</v>
      </c>
      <c r="D421" s="31">
        <v>71.400000000000006</v>
      </c>
      <c r="E421" s="33">
        <v>4</v>
      </c>
      <c r="F421" s="130">
        <f t="shared" si="278"/>
        <v>26275.200000000001</v>
      </c>
      <c r="G421" s="385">
        <v>0</v>
      </c>
      <c r="H421" s="386">
        <v>0</v>
      </c>
      <c r="I421" s="385">
        <v>0</v>
      </c>
      <c r="J421" s="47">
        <v>0</v>
      </c>
      <c r="K421" s="47">
        <v>0</v>
      </c>
      <c r="L421" s="47">
        <v>0</v>
      </c>
      <c r="M421" s="47">
        <f>+D421*E421*31</f>
        <v>8853.6</v>
      </c>
      <c r="N421" s="47">
        <f>+D421*E421*31</f>
        <v>8853.6</v>
      </c>
      <c r="O421" s="47">
        <f>+D421*E421*30</f>
        <v>8568</v>
      </c>
      <c r="P421" s="47">
        <v>0</v>
      </c>
      <c r="Q421" s="47">
        <v>0</v>
      </c>
      <c r="R421" s="132">
        <v>0</v>
      </c>
      <c r="S421" s="133">
        <f t="shared" ref="S421:S424" si="300">31+31+30</f>
        <v>92</v>
      </c>
    </row>
    <row r="422" spans="1:19" s="7" customFormat="1">
      <c r="A422" s="128"/>
      <c r="B422" s="129">
        <v>30</v>
      </c>
      <c r="C422" s="369" t="s">
        <v>73</v>
      </c>
      <c r="D422" s="31">
        <v>71.400000000000006</v>
      </c>
      <c r="E422" s="33">
        <v>2</v>
      </c>
      <c r="F422" s="130">
        <f t="shared" si="278"/>
        <v>13137.6</v>
      </c>
      <c r="G422" s="385">
        <v>0</v>
      </c>
      <c r="H422" s="386">
        <v>0</v>
      </c>
      <c r="I422" s="385">
        <v>0</v>
      </c>
      <c r="J422" s="47">
        <v>0</v>
      </c>
      <c r="K422" s="47">
        <v>0</v>
      </c>
      <c r="L422" s="47">
        <v>0</v>
      </c>
      <c r="M422" s="47">
        <f>+D422*E422*31</f>
        <v>4426.8</v>
      </c>
      <c r="N422" s="47">
        <f>+D422*E422*31</f>
        <v>4426.8</v>
      </c>
      <c r="O422" s="47">
        <f>+D422*E422*30</f>
        <v>4284</v>
      </c>
      <c r="P422" s="47">
        <v>0</v>
      </c>
      <c r="Q422" s="47">
        <v>0</v>
      </c>
      <c r="R422" s="132">
        <v>0</v>
      </c>
      <c r="S422" s="133">
        <f t="shared" si="300"/>
        <v>92</v>
      </c>
    </row>
    <row r="423" spans="1:19" s="7" customFormat="1">
      <c r="A423" s="128"/>
      <c r="B423" s="129">
        <v>33</v>
      </c>
      <c r="C423" s="30" t="s">
        <v>32</v>
      </c>
      <c r="D423" s="31">
        <v>71.400000000000006</v>
      </c>
      <c r="E423" s="33">
        <v>1</v>
      </c>
      <c r="F423" s="130">
        <f t="shared" si="278"/>
        <v>6568.8</v>
      </c>
      <c r="G423" s="385">
        <v>0</v>
      </c>
      <c r="H423" s="386">
        <v>0</v>
      </c>
      <c r="I423" s="385">
        <v>0</v>
      </c>
      <c r="J423" s="47">
        <v>0</v>
      </c>
      <c r="K423" s="47">
        <v>0</v>
      </c>
      <c r="L423" s="47">
        <v>0</v>
      </c>
      <c r="M423" s="47">
        <f>+D423*E423*31</f>
        <v>2213.4</v>
      </c>
      <c r="N423" s="47">
        <f>+D423*E423*31</f>
        <v>2213.4</v>
      </c>
      <c r="O423" s="47">
        <f>+D423*E423*30</f>
        <v>2142</v>
      </c>
      <c r="P423" s="47">
        <v>0</v>
      </c>
      <c r="Q423" s="47">
        <v>0</v>
      </c>
      <c r="R423" s="132">
        <v>0</v>
      </c>
      <c r="S423" s="133">
        <f t="shared" si="300"/>
        <v>92</v>
      </c>
    </row>
    <row r="424" spans="1:19" s="7" customFormat="1">
      <c r="A424" s="128"/>
      <c r="B424" s="129">
        <v>29</v>
      </c>
      <c r="C424" s="369" t="s">
        <v>44</v>
      </c>
      <c r="D424" s="31">
        <v>72.540000000000006</v>
      </c>
      <c r="E424" s="33">
        <v>4</v>
      </c>
      <c r="F424" s="130">
        <f t="shared" si="278"/>
        <v>26694.720000000001</v>
      </c>
      <c r="G424" s="385">
        <v>0</v>
      </c>
      <c r="H424" s="386">
        <v>0</v>
      </c>
      <c r="I424" s="385">
        <v>0</v>
      </c>
      <c r="J424" s="47">
        <v>0</v>
      </c>
      <c r="K424" s="47">
        <v>0</v>
      </c>
      <c r="L424" s="47">
        <v>0</v>
      </c>
      <c r="M424" s="47">
        <f>+D424*E424*31</f>
        <v>8994.9600000000009</v>
      </c>
      <c r="N424" s="47">
        <f>+D424*E424*31</f>
        <v>8994.9600000000009</v>
      </c>
      <c r="O424" s="47">
        <f>+D424*E424*30</f>
        <v>8704.8000000000011</v>
      </c>
      <c r="P424" s="47">
        <v>0</v>
      </c>
      <c r="Q424" s="47">
        <v>0</v>
      </c>
      <c r="R424" s="132">
        <v>0</v>
      </c>
      <c r="S424" s="133">
        <f t="shared" si="300"/>
        <v>92</v>
      </c>
    </row>
    <row r="425" spans="1:19" s="7" customFormat="1">
      <c r="A425" s="128"/>
      <c r="B425" s="129">
        <v>32</v>
      </c>
      <c r="C425" s="369" t="s">
        <v>35</v>
      </c>
      <c r="D425" s="31">
        <v>71.400000000000006</v>
      </c>
      <c r="E425" s="33">
        <v>1</v>
      </c>
      <c r="F425" s="130">
        <f>+E425*S425*D425</f>
        <v>6568.8</v>
      </c>
      <c r="G425" s="385">
        <v>0</v>
      </c>
      <c r="H425" s="386">
        <v>0</v>
      </c>
      <c r="I425" s="385">
        <v>0</v>
      </c>
      <c r="J425" s="47">
        <v>0</v>
      </c>
      <c r="K425" s="47">
        <v>0</v>
      </c>
      <c r="L425" s="47">
        <v>0</v>
      </c>
      <c r="M425" s="47">
        <f>+D425*E425*31</f>
        <v>2213.4</v>
      </c>
      <c r="N425" s="47">
        <f>+D425*E425*31</f>
        <v>2213.4</v>
      </c>
      <c r="O425" s="47">
        <f>+D425*E425*30</f>
        <v>2142</v>
      </c>
      <c r="P425" s="47">
        <v>0</v>
      </c>
      <c r="Q425" s="47">
        <v>0</v>
      </c>
      <c r="R425" s="132">
        <v>0</v>
      </c>
      <c r="S425" s="133">
        <f>31+31+30</f>
        <v>92</v>
      </c>
    </row>
    <row r="426" spans="1:19" ht="15.75" thickBot="1">
      <c r="A426" s="59"/>
      <c r="B426" s="182"/>
      <c r="C426" s="183" t="s">
        <v>125</v>
      </c>
      <c r="D426" s="184"/>
      <c r="E426" s="209"/>
      <c r="F426" s="387">
        <f>2861116-SUM(F360:F425)+281288</f>
        <v>230884.64999999944</v>
      </c>
      <c r="G426" s="388"/>
      <c r="H426" s="188"/>
      <c r="I426" s="187"/>
      <c r="J426" s="389"/>
      <c r="K426" s="389"/>
      <c r="L426" s="187"/>
      <c r="M426" s="389"/>
      <c r="N426" s="187"/>
      <c r="O426" s="187"/>
      <c r="P426" s="187"/>
      <c r="Q426" s="187"/>
      <c r="R426" s="314">
        <f>F426</f>
        <v>230884.64999999944</v>
      </c>
    </row>
    <row r="427" spans="1:19" ht="30.75" customHeight="1">
      <c r="A427" s="59"/>
      <c r="B427" s="291"/>
      <c r="C427" s="746" t="s">
        <v>76</v>
      </c>
      <c r="D427" s="747"/>
      <c r="E427" s="334"/>
      <c r="F427" s="335"/>
      <c r="G427" s="336"/>
      <c r="H427" s="337"/>
      <c r="I427" s="336"/>
      <c r="J427" s="336"/>
      <c r="K427" s="336"/>
      <c r="L427" s="336"/>
      <c r="M427" s="336"/>
      <c r="N427" s="336"/>
      <c r="O427" s="336"/>
      <c r="P427" s="336"/>
      <c r="Q427" s="336"/>
      <c r="R427" s="338"/>
    </row>
    <row r="428" spans="1:19" ht="29.25" customHeight="1">
      <c r="A428" s="59"/>
      <c r="B428" s="163"/>
      <c r="C428" s="748" t="s">
        <v>142</v>
      </c>
      <c r="D428" s="748"/>
      <c r="E428" s="339">
        <f>SUM(E431:E472)</f>
        <v>316</v>
      </c>
      <c r="F428" s="165">
        <f t="shared" ref="F428:R428" si="301">SUM(F431:F473)</f>
        <v>4195852</v>
      </c>
      <c r="G428" s="166">
        <f t="shared" si="301"/>
        <v>355851.17000000004</v>
      </c>
      <c r="H428" s="166">
        <f t="shared" si="301"/>
        <v>322533.41000000003</v>
      </c>
      <c r="I428" s="166">
        <f t="shared" si="301"/>
        <v>353994.77000000008</v>
      </c>
      <c r="J428" s="166">
        <f t="shared" si="301"/>
        <v>342230.10000000003</v>
      </c>
      <c r="K428" s="166">
        <f t="shared" si="301"/>
        <v>353637.77000000008</v>
      </c>
      <c r="L428" s="166">
        <f t="shared" si="301"/>
        <v>342230.10000000003</v>
      </c>
      <c r="M428" s="166">
        <f t="shared" si="301"/>
        <v>355851.1700000001</v>
      </c>
      <c r="N428" s="357">
        <f t="shared" si="301"/>
        <v>350473.87000000005</v>
      </c>
      <c r="O428" s="357">
        <f t="shared" si="301"/>
        <v>340088.10000000003</v>
      </c>
      <c r="P428" s="357">
        <f t="shared" si="301"/>
        <v>349110.84</v>
      </c>
      <c r="Q428" s="357">
        <f t="shared" si="301"/>
        <v>337849.2</v>
      </c>
      <c r="R428" s="167">
        <f t="shared" si="301"/>
        <v>392001.49999999924</v>
      </c>
      <c r="S428" s="22">
        <f>F428-SUM(G428:R428)</f>
        <v>0</v>
      </c>
    </row>
    <row r="429" spans="1:19">
      <c r="A429" s="59"/>
      <c r="B429" s="364"/>
      <c r="C429" s="365"/>
      <c r="D429" s="366"/>
      <c r="E429" s="339"/>
      <c r="F429" s="165">
        <f>SUM(F431:F472)</f>
        <v>4152961.3400000008</v>
      </c>
      <c r="G429" s="166"/>
      <c r="H429" s="166"/>
      <c r="I429" s="166"/>
      <c r="J429" s="166"/>
      <c r="K429" s="166"/>
      <c r="L429" s="166"/>
      <c r="M429" s="166"/>
      <c r="N429" s="357"/>
      <c r="O429" s="367"/>
      <c r="P429" s="357"/>
      <c r="Q429" s="357"/>
      <c r="R429" s="167"/>
    </row>
    <row r="430" spans="1:19">
      <c r="A430" s="59"/>
      <c r="B430" s="134"/>
      <c r="C430" s="208"/>
      <c r="D430" s="208"/>
      <c r="E430" s="123" t="s">
        <v>124</v>
      </c>
      <c r="F430" s="124">
        <v>0</v>
      </c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351"/>
    </row>
    <row r="431" spans="1:19">
      <c r="A431" s="59"/>
      <c r="B431" s="207">
        <v>1</v>
      </c>
      <c r="C431" s="243" t="s">
        <v>44</v>
      </c>
      <c r="D431" s="136">
        <v>72.540000000000006</v>
      </c>
      <c r="E431" s="32">
        <v>20</v>
      </c>
      <c r="F431" s="194">
        <f t="shared" ref="F431:F450" si="302">+E431*S431*D431</f>
        <v>307569.60000000003</v>
      </c>
      <c r="G431" s="195">
        <f t="shared" ref="G431:G450" si="303">E431*D431*31</f>
        <v>44974.8</v>
      </c>
      <c r="H431" s="196">
        <f t="shared" ref="H431:H450" si="304">E431*D431*28</f>
        <v>40622.400000000009</v>
      </c>
      <c r="I431" s="195">
        <f t="shared" ref="I431:I450" si="305">E431*D431*31</f>
        <v>44974.8</v>
      </c>
      <c r="J431" s="195">
        <f t="shared" ref="J431:J450" si="306">E431*D431*30</f>
        <v>43524.000000000007</v>
      </c>
      <c r="K431" s="195">
        <f t="shared" ref="K431:K450" si="307">E431*D431*31</f>
        <v>44974.8</v>
      </c>
      <c r="L431" s="195">
        <f t="shared" ref="L431:L450" si="308">E431*D431*30</f>
        <v>43524.000000000007</v>
      </c>
      <c r="M431" s="195">
        <f t="shared" ref="M431:M450" si="309">E431*D431*31</f>
        <v>44974.8</v>
      </c>
      <c r="N431" s="195">
        <v>0</v>
      </c>
      <c r="O431" s="195">
        <v>0</v>
      </c>
      <c r="P431" s="195">
        <v>0</v>
      </c>
      <c r="Q431" s="195">
        <v>0</v>
      </c>
      <c r="R431" s="197">
        <v>0</v>
      </c>
      <c r="S431" s="141">
        <v>212</v>
      </c>
    </row>
    <row r="432" spans="1:19">
      <c r="A432" s="59"/>
      <c r="B432" s="134">
        <v>2</v>
      </c>
      <c r="C432" s="135" t="s">
        <v>46</v>
      </c>
      <c r="D432" s="136">
        <v>73.59</v>
      </c>
      <c r="E432" s="32">
        <v>17</v>
      </c>
      <c r="F432" s="194">
        <f t="shared" si="302"/>
        <v>265218.36</v>
      </c>
      <c r="G432" s="195">
        <f t="shared" si="303"/>
        <v>38781.93</v>
      </c>
      <c r="H432" s="196">
        <f t="shared" si="304"/>
        <v>35028.839999999997</v>
      </c>
      <c r="I432" s="195">
        <f t="shared" si="305"/>
        <v>38781.93</v>
      </c>
      <c r="J432" s="195">
        <f t="shared" si="306"/>
        <v>37530.9</v>
      </c>
      <c r="K432" s="195">
        <f t="shared" si="307"/>
        <v>38781.93</v>
      </c>
      <c r="L432" s="195">
        <f t="shared" si="308"/>
        <v>37530.9</v>
      </c>
      <c r="M432" s="195">
        <f t="shared" si="309"/>
        <v>38781.93</v>
      </c>
      <c r="N432" s="195">
        <v>0</v>
      </c>
      <c r="O432" s="195">
        <v>0</v>
      </c>
      <c r="P432" s="195">
        <v>0</v>
      </c>
      <c r="Q432" s="195">
        <v>0</v>
      </c>
      <c r="R432" s="197">
        <v>0</v>
      </c>
      <c r="S432" s="141">
        <v>212</v>
      </c>
    </row>
    <row r="433" spans="1:19">
      <c r="A433" s="59"/>
      <c r="B433" s="134">
        <v>3</v>
      </c>
      <c r="C433" s="135" t="s">
        <v>47</v>
      </c>
      <c r="D433" s="136">
        <v>74.63</v>
      </c>
      <c r="E433" s="32">
        <v>12</v>
      </c>
      <c r="F433" s="194">
        <f t="shared" si="302"/>
        <v>189858.72</v>
      </c>
      <c r="G433" s="195">
        <f t="shared" si="303"/>
        <v>27762.359999999997</v>
      </c>
      <c r="H433" s="196">
        <f t="shared" si="304"/>
        <v>25075.68</v>
      </c>
      <c r="I433" s="195">
        <f t="shared" si="305"/>
        <v>27762.359999999997</v>
      </c>
      <c r="J433" s="195">
        <f t="shared" si="306"/>
        <v>26866.799999999999</v>
      </c>
      <c r="K433" s="195">
        <f t="shared" si="307"/>
        <v>27762.359999999997</v>
      </c>
      <c r="L433" s="195">
        <f t="shared" si="308"/>
        <v>26866.799999999999</v>
      </c>
      <c r="M433" s="195">
        <f t="shared" si="309"/>
        <v>27762.359999999997</v>
      </c>
      <c r="N433" s="195">
        <v>0</v>
      </c>
      <c r="O433" s="195">
        <v>0</v>
      </c>
      <c r="P433" s="195">
        <v>0</v>
      </c>
      <c r="Q433" s="195">
        <v>0</v>
      </c>
      <c r="R433" s="197">
        <v>0</v>
      </c>
      <c r="S433" s="141">
        <v>212</v>
      </c>
    </row>
    <row r="434" spans="1:19" s="13" customFormat="1">
      <c r="A434" s="190"/>
      <c r="B434" s="191">
        <v>3</v>
      </c>
      <c r="C434" s="192" t="s">
        <v>47</v>
      </c>
      <c r="D434" s="193">
        <v>74.63</v>
      </c>
      <c r="E434" s="32">
        <v>1</v>
      </c>
      <c r="F434" s="194">
        <f t="shared" si="302"/>
        <v>2313.5299999999997</v>
      </c>
      <c r="G434" s="195">
        <f t="shared" si="303"/>
        <v>2313.5299999999997</v>
      </c>
      <c r="H434" s="196">
        <v>0</v>
      </c>
      <c r="I434" s="195">
        <v>0</v>
      </c>
      <c r="J434" s="195">
        <v>0</v>
      </c>
      <c r="K434" s="195">
        <v>0</v>
      </c>
      <c r="L434" s="195">
        <v>0</v>
      </c>
      <c r="M434" s="195">
        <v>0</v>
      </c>
      <c r="N434" s="195">
        <v>0</v>
      </c>
      <c r="O434" s="195">
        <v>0</v>
      </c>
      <c r="P434" s="195">
        <v>0</v>
      </c>
      <c r="Q434" s="195">
        <v>0</v>
      </c>
      <c r="R434" s="197">
        <v>0</v>
      </c>
      <c r="S434" s="198">
        <v>31</v>
      </c>
    </row>
    <row r="435" spans="1:19">
      <c r="A435" s="59"/>
      <c r="B435" s="207">
        <v>18</v>
      </c>
      <c r="C435" s="135" t="s">
        <v>47</v>
      </c>
      <c r="D435" s="136">
        <v>74.63</v>
      </c>
      <c r="E435" s="32">
        <v>1</v>
      </c>
      <c r="F435" s="194">
        <f t="shared" si="302"/>
        <v>5522.62</v>
      </c>
      <c r="G435" s="195">
        <v>0</v>
      </c>
      <c r="H435" s="196">
        <f>E435*D435*28+D435*E435*15</f>
        <v>3209.0899999999997</v>
      </c>
      <c r="I435" s="195">
        <f t="shared" si="305"/>
        <v>2313.5299999999997</v>
      </c>
      <c r="J435" s="195">
        <v>0</v>
      </c>
      <c r="K435" s="195">
        <v>0</v>
      </c>
      <c r="L435" s="195">
        <v>0</v>
      </c>
      <c r="M435" s="195">
        <v>0</v>
      </c>
      <c r="N435" s="195">
        <v>0</v>
      </c>
      <c r="O435" s="195">
        <v>0</v>
      </c>
      <c r="P435" s="195">
        <v>0</v>
      </c>
      <c r="Q435" s="195">
        <v>0</v>
      </c>
      <c r="R435" s="197">
        <v>0</v>
      </c>
      <c r="S435" s="141">
        <f>15+28+31</f>
        <v>74</v>
      </c>
    </row>
    <row r="436" spans="1:19" s="13" customFormat="1">
      <c r="A436" s="190"/>
      <c r="B436" s="310">
        <v>19</v>
      </c>
      <c r="C436" s="192" t="s">
        <v>47</v>
      </c>
      <c r="D436" s="193">
        <v>74.63</v>
      </c>
      <c r="E436" s="32">
        <v>1</v>
      </c>
      <c r="F436" s="194">
        <f t="shared" si="302"/>
        <v>6791.33</v>
      </c>
      <c r="G436" s="195">
        <v>0</v>
      </c>
      <c r="H436" s="196">
        <v>0</v>
      </c>
      <c r="I436" s="195">
        <v>0</v>
      </c>
      <c r="J436" s="195">
        <f t="shared" ref="J436" si="310">E436*D436*30</f>
        <v>2238.8999999999996</v>
      </c>
      <c r="K436" s="195">
        <f t="shared" ref="K436" si="311">E436*D436*31</f>
        <v>2313.5299999999997</v>
      </c>
      <c r="L436" s="195">
        <f t="shared" ref="L436" si="312">E436*D436*30</f>
        <v>2238.8999999999996</v>
      </c>
      <c r="M436" s="195">
        <v>0</v>
      </c>
      <c r="N436" s="195">
        <v>0</v>
      </c>
      <c r="O436" s="195">
        <v>0</v>
      </c>
      <c r="P436" s="195">
        <v>0</v>
      </c>
      <c r="Q436" s="195">
        <v>0</v>
      </c>
      <c r="R436" s="197">
        <v>0</v>
      </c>
      <c r="S436" s="198">
        <f>30+31+30</f>
        <v>91</v>
      </c>
    </row>
    <row r="437" spans="1:19">
      <c r="A437" s="59"/>
      <c r="B437" s="207">
        <v>4</v>
      </c>
      <c r="C437" s="135" t="s">
        <v>72</v>
      </c>
      <c r="D437" s="136">
        <v>71.400000000000006</v>
      </c>
      <c r="E437" s="32">
        <v>5</v>
      </c>
      <c r="F437" s="194">
        <f t="shared" si="302"/>
        <v>75684</v>
      </c>
      <c r="G437" s="195">
        <f t="shared" si="303"/>
        <v>11067</v>
      </c>
      <c r="H437" s="196">
        <f t="shared" si="304"/>
        <v>9996</v>
      </c>
      <c r="I437" s="195">
        <f t="shared" si="305"/>
        <v>11067</v>
      </c>
      <c r="J437" s="195">
        <f t="shared" si="306"/>
        <v>10710</v>
      </c>
      <c r="K437" s="195">
        <f t="shared" si="307"/>
        <v>11067</v>
      </c>
      <c r="L437" s="195">
        <f t="shared" si="308"/>
        <v>10710</v>
      </c>
      <c r="M437" s="195">
        <f t="shared" si="309"/>
        <v>11067</v>
      </c>
      <c r="N437" s="195">
        <v>0</v>
      </c>
      <c r="O437" s="195">
        <v>0</v>
      </c>
      <c r="P437" s="195">
        <v>0</v>
      </c>
      <c r="Q437" s="195">
        <v>0</v>
      </c>
      <c r="R437" s="197">
        <v>0</v>
      </c>
      <c r="S437" s="141">
        <v>212</v>
      </c>
    </row>
    <row r="438" spans="1:19">
      <c r="A438" s="59"/>
      <c r="B438" s="134">
        <v>5</v>
      </c>
      <c r="C438" s="135" t="s">
        <v>73</v>
      </c>
      <c r="D438" s="136">
        <v>71.400000000000006</v>
      </c>
      <c r="E438" s="32">
        <v>1</v>
      </c>
      <c r="F438" s="194">
        <f t="shared" si="302"/>
        <v>15136.800000000001</v>
      </c>
      <c r="G438" s="195">
        <f t="shared" si="303"/>
        <v>2213.4</v>
      </c>
      <c r="H438" s="196">
        <f t="shared" si="304"/>
        <v>1999.2000000000003</v>
      </c>
      <c r="I438" s="195">
        <f t="shared" si="305"/>
        <v>2213.4</v>
      </c>
      <c r="J438" s="195">
        <f t="shared" si="306"/>
        <v>2142</v>
      </c>
      <c r="K438" s="195">
        <f t="shared" si="307"/>
        <v>2213.4</v>
      </c>
      <c r="L438" s="195">
        <f t="shared" si="308"/>
        <v>2142</v>
      </c>
      <c r="M438" s="195">
        <f t="shared" si="309"/>
        <v>2213.4</v>
      </c>
      <c r="N438" s="195">
        <v>0</v>
      </c>
      <c r="O438" s="195">
        <v>0</v>
      </c>
      <c r="P438" s="195">
        <v>0</v>
      </c>
      <c r="Q438" s="195">
        <v>0</v>
      </c>
      <c r="R438" s="197">
        <v>0</v>
      </c>
      <c r="S438" s="141">
        <v>212</v>
      </c>
    </row>
    <row r="439" spans="1:19">
      <c r="A439" s="59"/>
      <c r="B439" s="134">
        <v>6</v>
      </c>
      <c r="C439" s="135" t="s">
        <v>35</v>
      </c>
      <c r="D439" s="136">
        <v>71.400000000000006</v>
      </c>
      <c r="E439" s="32">
        <v>4</v>
      </c>
      <c r="F439" s="194">
        <f t="shared" si="302"/>
        <v>60547.200000000004</v>
      </c>
      <c r="G439" s="195">
        <f t="shared" si="303"/>
        <v>8853.6</v>
      </c>
      <c r="H439" s="196">
        <f t="shared" si="304"/>
        <v>7996.8000000000011</v>
      </c>
      <c r="I439" s="195">
        <f t="shared" si="305"/>
        <v>8853.6</v>
      </c>
      <c r="J439" s="195">
        <f t="shared" si="306"/>
        <v>8568</v>
      </c>
      <c r="K439" s="195">
        <f t="shared" si="307"/>
        <v>8853.6</v>
      </c>
      <c r="L439" s="195">
        <f t="shared" si="308"/>
        <v>8568</v>
      </c>
      <c r="M439" s="195">
        <f t="shared" si="309"/>
        <v>8853.6</v>
      </c>
      <c r="N439" s="195">
        <v>0</v>
      </c>
      <c r="O439" s="195">
        <v>0</v>
      </c>
      <c r="P439" s="195">
        <v>0</v>
      </c>
      <c r="Q439" s="195">
        <v>0</v>
      </c>
      <c r="R439" s="197">
        <v>0</v>
      </c>
      <c r="S439" s="141">
        <v>212</v>
      </c>
    </row>
    <row r="440" spans="1:19" ht="15.75" customHeight="1">
      <c r="A440" s="59"/>
      <c r="B440" s="207">
        <v>7</v>
      </c>
      <c r="C440" s="135" t="s">
        <v>67</v>
      </c>
      <c r="D440" s="136">
        <v>73.59</v>
      </c>
      <c r="E440" s="32">
        <v>4</v>
      </c>
      <c r="F440" s="194">
        <f t="shared" si="302"/>
        <v>62404.32</v>
      </c>
      <c r="G440" s="195">
        <f t="shared" si="303"/>
        <v>9125.16</v>
      </c>
      <c r="H440" s="196">
        <f t="shared" si="304"/>
        <v>8242.08</v>
      </c>
      <c r="I440" s="195">
        <f t="shared" si="305"/>
        <v>9125.16</v>
      </c>
      <c r="J440" s="195">
        <f t="shared" si="306"/>
        <v>8830.8000000000011</v>
      </c>
      <c r="K440" s="195">
        <f t="shared" si="307"/>
        <v>9125.16</v>
      </c>
      <c r="L440" s="195">
        <f t="shared" si="308"/>
        <v>8830.8000000000011</v>
      </c>
      <c r="M440" s="195">
        <f t="shared" si="309"/>
        <v>9125.16</v>
      </c>
      <c r="N440" s="195">
        <v>0</v>
      </c>
      <c r="O440" s="195">
        <v>0</v>
      </c>
      <c r="P440" s="195">
        <v>0</v>
      </c>
      <c r="Q440" s="195">
        <v>0</v>
      </c>
      <c r="R440" s="197">
        <v>0</v>
      </c>
      <c r="S440" s="141">
        <v>212</v>
      </c>
    </row>
    <row r="441" spans="1:19">
      <c r="A441" s="59"/>
      <c r="B441" s="134">
        <v>8</v>
      </c>
      <c r="C441" s="135" t="s">
        <v>50</v>
      </c>
      <c r="D441" s="136">
        <v>74.63</v>
      </c>
      <c r="E441" s="32">
        <v>1</v>
      </c>
      <c r="F441" s="194">
        <f t="shared" si="302"/>
        <v>15821.56</v>
      </c>
      <c r="G441" s="195">
        <f t="shared" si="303"/>
        <v>2313.5299999999997</v>
      </c>
      <c r="H441" s="196">
        <f t="shared" si="304"/>
        <v>2089.64</v>
      </c>
      <c r="I441" s="195">
        <f t="shared" si="305"/>
        <v>2313.5299999999997</v>
      </c>
      <c r="J441" s="195">
        <f t="shared" si="306"/>
        <v>2238.8999999999996</v>
      </c>
      <c r="K441" s="195">
        <f t="shared" si="307"/>
        <v>2313.5299999999997</v>
      </c>
      <c r="L441" s="195">
        <f t="shared" si="308"/>
        <v>2238.8999999999996</v>
      </c>
      <c r="M441" s="195">
        <f t="shared" si="309"/>
        <v>2313.5299999999997</v>
      </c>
      <c r="N441" s="195">
        <v>0</v>
      </c>
      <c r="O441" s="195">
        <v>0</v>
      </c>
      <c r="P441" s="195">
        <v>0</v>
      </c>
      <c r="Q441" s="195">
        <v>0</v>
      </c>
      <c r="R441" s="197">
        <v>0</v>
      </c>
      <c r="S441" s="141">
        <v>212</v>
      </c>
    </row>
    <row r="442" spans="1:19">
      <c r="A442" s="59"/>
      <c r="B442" s="134">
        <v>9</v>
      </c>
      <c r="C442" s="135" t="s">
        <v>77</v>
      </c>
      <c r="D442" s="136">
        <v>72.540000000000006</v>
      </c>
      <c r="E442" s="32">
        <v>1</v>
      </c>
      <c r="F442" s="194">
        <f t="shared" si="302"/>
        <v>15378.480000000001</v>
      </c>
      <c r="G442" s="195">
        <f t="shared" si="303"/>
        <v>2248.7400000000002</v>
      </c>
      <c r="H442" s="196">
        <f t="shared" si="304"/>
        <v>2031.1200000000001</v>
      </c>
      <c r="I442" s="195">
        <f t="shared" si="305"/>
        <v>2248.7400000000002</v>
      </c>
      <c r="J442" s="195">
        <f t="shared" si="306"/>
        <v>2176.2000000000003</v>
      </c>
      <c r="K442" s="195">
        <f t="shared" si="307"/>
        <v>2248.7400000000002</v>
      </c>
      <c r="L442" s="195">
        <f t="shared" si="308"/>
        <v>2176.2000000000003</v>
      </c>
      <c r="M442" s="195">
        <f t="shared" si="309"/>
        <v>2248.7400000000002</v>
      </c>
      <c r="N442" s="195">
        <v>0</v>
      </c>
      <c r="O442" s="195">
        <v>0</v>
      </c>
      <c r="P442" s="195">
        <v>0</v>
      </c>
      <c r="Q442" s="195">
        <v>0</v>
      </c>
      <c r="R442" s="197">
        <v>0</v>
      </c>
      <c r="S442" s="141">
        <v>212</v>
      </c>
    </row>
    <row r="443" spans="1:19">
      <c r="A443" s="59"/>
      <c r="B443" s="207">
        <v>10</v>
      </c>
      <c r="C443" s="135" t="s">
        <v>38</v>
      </c>
      <c r="D443" s="136">
        <v>71.400000000000006</v>
      </c>
      <c r="E443" s="32">
        <v>1</v>
      </c>
      <c r="F443" s="194">
        <f t="shared" si="302"/>
        <v>15136.800000000001</v>
      </c>
      <c r="G443" s="195">
        <f t="shared" si="303"/>
        <v>2213.4</v>
      </c>
      <c r="H443" s="196">
        <f t="shared" si="304"/>
        <v>1999.2000000000003</v>
      </c>
      <c r="I443" s="195">
        <f t="shared" si="305"/>
        <v>2213.4</v>
      </c>
      <c r="J443" s="195">
        <f t="shared" si="306"/>
        <v>2142</v>
      </c>
      <c r="K443" s="195">
        <f t="shared" si="307"/>
        <v>2213.4</v>
      </c>
      <c r="L443" s="195">
        <f t="shared" si="308"/>
        <v>2142</v>
      </c>
      <c r="M443" s="195">
        <f t="shared" si="309"/>
        <v>2213.4</v>
      </c>
      <c r="N443" s="195">
        <v>0</v>
      </c>
      <c r="O443" s="195">
        <v>0</v>
      </c>
      <c r="P443" s="195">
        <v>0</v>
      </c>
      <c r="Q443" s="195">
        <v>0</v>
      </c>
      <c r="R443" s="197">
        <v>0</v>
      </c>
      <c r="S443" s="141">
        <v>212</v>
      </c>
    </row>
    <row r="444" spans="1:19" s="7" customFormat="1">
      <c r="A444" s="128"/>
      <c r="B444" s="233">
        <v>18</v>
      </c>
      <c r="C444" s="30" t="s">
        <v>38</v>
      </c>
      <c r="D444" s="31">
        <v>71.400000000000006</v>
      </c>
      <c r="E444" s="33">
        <v>1</v>
      </c>
      <c r="F444" s="130">
        <f t="shared" si="302"/>
        <v>6783.0000000000009</v>
      </c>
      <c r="G444" s="47">
        <f t="shared" si="303"/>
        <v>2213.4</v>
      </c>
      <c r="H444" s="131">
        <f t="shared" si="304"/>
        <v>1999.2000000000003</v>
      </c>
      <c r="I444" s="47">
        <f>E444*D444*5</f>
        <v>357</v>
      </c>
      <c r="J444" s="47">
        <v>0</v>
      </c>
      <c r="K444" s="47">
        <v>0</v>
      </c>
      <c r="L444" s="47">
        <v>0</v>
      </c>
      <c r="M444" s="47">
        <f t="shared" si="309"/>
        <v>2213.4</v>
      </c>
      <c r="N444" s="47">
        <v>0</v>
      </c>
      <c r="O444" s="47">
        <v>0</v>
      </c>
      <c r="P444" s="47">
        <v>0</v>
      </c>
      <c r="Q444" s="47">
        <v>0</v>
      </c>
      <c r="R444" s="132">
        <v>0</v>
      </c>
      <c r="S444" s="133">
        <f>212-26-30-31-30</f>
        <v>95</v>
      </c>
    </row>
    <row r="445" spans="1:19">
      <c r="A445" s="59"/>
      <c r="B445" s="134">
        <v>11</v>
      </c>
      <c r="C445" s="135" t="s">
        <v>63</v>
      </c>
      <c r="D445" s="136">
        <v>80.86</v>
      </c>
      <c r="E445" s="32">
        <v>1</v>
      </c>
      <c r="F445" s="194">
        <f t="shared" si="302"/>
        <v>17142.32</v>
      </c>
      <c r="G445" s="195">
        <f t="shared" si="303"/>
        <v>2506.66</v>
      </c>
      <c r="H445" s="196">
        <f t="shared" si="304"/>
        <v>2264.08</v>
      </c>
      <c r="I445" s="195">
        <f t="shared" si="305"/>
        <v>2506.66</v>
      </c>
      <c r="J445" s="195">
        <f t="shared" si="306"/>
        <v>2425.8000000000002</v>
      </c>
      <c r="K445" s="195">
        <f t="shared" si="307"/>
        <v>2506.66</v>
      </c>
      <c r="L445" s="195">
        <f t="shared" si="308"/>
        <v>2425.8000000000002</v>
      </c>
      <c r="M445" s="195">
        <f t="shared" si="309"/>
        <v>2506.66</v>
      </c>
      <c r="N445" s="195">
        <v>0</v>
      </c>
      <c r="O445" s="195">
        <v>0</v>
      </c>
      <c r="P445" s="195">
        <v>0</v>
      </c>
      <c r="Q445" s="195">
        <v>0</v>
      </c>
      <c r="R445" s="197">
        <v>0</v>
      </c>
      <c r="S445" s="141">
        <v>212</v>
      </c>
    </row>
    <row r="446" spans="1:19">
      <c r="A446" s="59"/>
      <c r="B446" s="134">
        <v>12</v>
      </c>
      <c r="C446" s="135" t="s">
        <v>39</v>
      </c>
      <c r="D446" s="136">
        <v>78.25</v>
      </c>
      <c r="E446" s="32">
        <v>20</v>
      </c>
      <c r="F446" s="194">
        <f t="shared" si="302"/>
        <v>331780</v>
      </c>
      <c r="G446" s="195">
        <f t="shared" si="303"/>
        <v>48515</v>
      </c>
      <c r="H446" s="196">
        <f t="shared" si="304"/>
        <v>43820</v>
      </c>
      <c r="I446" s="195">
        <f t="shared" si="305"/>
        <v>48515</v>
      </c>
      <c r="J446" s="195">
        <f t="shared" si="306"/>
        <v>46950</v>
      </c>
      <c r="K446" s="195">
        <f t="shared" si="307"/>
        <v>48515</v>
      </c>
      <c r="L446" s="195">
        <f t="shared" si="308"/>
        <v>46950</v>
      </c>
      <c r="M446" s="195">
        <f t="shared" si="309"/>
        <v>48515</v>
      </c>
      <c r="N446" s="195">
        <v>0</v>
      </c>
      <c r="O446" s="195">
        <v>0</v>
      </c>
      <c r="P446" s="195">
        <v>0</v>
      </c>
      <c r="Q446" s="195">
        <v>0</v>
      </c>
      <c r="R446" s="197">
        <v>0</v>
      </c>
      <c r="S446" s="141">
        <v>212</v>
      </c>
    </row>
    <row r="447" spans="1:19">
      <c r="A447" s="59"/>
      <c r="B447" s="207">
        <v>13</v>
      </c>
      <c r="C447" s="135" t="s">
        <v>78</v>
      </c>
      <c r="D447" s="136">
        <v>72.540000000000006</v>
      </c>
      <c r="E447" s="32">
        <v>2</v>
      </c>
      <c r="F447" s="194">
        <f t="shared" si="302"/>
        <v>30756.960000000003</v>
      </c>
      <c r="G447" s="195">
        <f t="shared" si="303"/>
        <v>4497.4800000000005</v>
      </c>
      <c r="H447" s="196">
        <f t="shared" si="304"/>
        <v>4062.2400000000002</v>
      </c>
      <c r="I447" s="195">
        <f t="shared" si="305"/>
        <v>4497.4800000000005</v>
      </c>
      <c r="J447" s="195">
        <f t="shared" si="306"/>
        <v>4352.4000000000005</v>
      </c>
      <c r="K447" s="195">
        <f t="shared" si="307"/>
        <v>4497.4800000000005</v>
      </c>
      <c r="L447" s="195">
        <f t="shared" si="308"/>
        <v>4352.4000000000005</v>
      </c>
      <c r="M447" s="195">
        <f t="shared" si="309"/>
        <v>4497.4800000000005</v>
      </c>
      <c r="N447" s="195">
        <v>0</v>
      </c>
      <c r="O447" s="195">
        <v>0</v>
      </c>
      <c r="P447" s="195">
        <v>0</v>
      </c>
      <c r="Q447" s="195">
        <v>0</v>
      </c>
      <c r="R447" s="197">
        <v>0</v>
      </c>
      <c r="S447" s="141">
        <v>212</v>
      </c>
    </row>
    <row r="448" spans="1:19">
      <c r="A448" s="59"/>
      <c r="B448" s="134">
        <v>14</v>
      </c>
      <c r="C448" s="192" t="s">
        <v>32</v>
      </c>
      <c r="D448" s="193">
        <v>71.400000000000006</v>
      </c>
      <c r="E448" s="32">
        <v>38</v>
      </c>
      <c r="F448" s="194">
        <f t="shared" si="302"/>
        <v>575198.4</v>
      </c>
      <c r="G448" s="195">
        <f t="shared" si="303"/>
        <v>84109.200000000012</v>
      </c>
      <c r="H448" s="196">
        <f t="shared" si="304"/>
        <v>75969.600000000006</v>
      </c>
      <c r="I448" s="195">
        <f t="shared" si="305"/>
        <v>84109.200000000012</v>
      </c>
      <c r="J448" s="195">
        <f t="shared" si="306"/>
        <v>81396.000000000015</v>
      </c>
      <c r="K448" s="195">
        <f t="shared" si="307"/>
        <v>84109.200000000012</v>
      </c>
      <c r="L448" s="195">
        <f t="shared" si="308"/>
        <v>81396.000000000015</v>
      </c>
      <c r="M448" s="195">
        <f t="shared" si="309"/>
        <v>84109.200000000012</v>
      </c>
      <c r="N448" s="195">
        <v>0</v>
      </c>
      <c r="O448" s="195">
        <v>0</v>
      </c>
      <c r="P448" s="195">
        <v>0</v>
      </c>
      <c r="Q448" s="195">
        <v>0</v>
      </c>
      <c r="R448" s="197">
        <v>0</v>
      </c>
      <c r="S448" s="141">
        <v>212</v>
      </c>
    </row>
    <row r="449" spans="1:19">
      <c r="A449" s="59"/>
      <c r="B449" s="134">
        <v>15</v>
      </c>
      <c r="C449" s="135" t="s">
        <v>54</v>
      </c>
      <c r="D449" s="136">
        <v>71.400000000000006</v>
      </c>
      <c r="E449" s="32">
        <v>26</v>
      </c>
      <c r="F449" s="194">
        <f t="shared" si="302"/>
        <v>393556.80000000005</v>
      </c>
      <c r="G449" s="195">
        <f t="shared" si="303"/>
        <v>57548.4</v>
      </c>
      <c r="H449" s="196">
        <f t="shared" si="304"/>
        <v>51979.200000000004</v>
      </c>
      <c r="I449" s="195">
        <f t="shared" si="305"/>
        <v>57548.4</v>
      </c>
      <c r="J449" s="195">
        <f t="shared" si="306"/>
        <v>55692</v>
      </c>
      <c r="K449" s="195">
        <f t="shared" si="307"/>
        <v>57548.4</v>
      </c>
      <c r="L449" s="195">
        <f t="shared" si="308"/>
        <v>55692</v>
      </c>
      <c r="M449" s="195">
        <f t="shared" si="309"/>
        <v>57548.4</v>
      </c>
      <c r="N449" s="195">
        <v>0</v>
      </c>
      <c r="O449" s="195">
        <v>0</v>
      </c>
      <c r="P449" s="195">
        <v>0</v>
      </c>
      <c r="Q449" s="195">
        <v>0</v>
      </c>
      <c r="R449" s="197">
        <v>0</v>
      </c>
      <c r="S449" s="141">
        <v>212</v>
      </c>
    </row>
    <row r="450" spans="1:19">
      <c r="A450" s="59"/>
      <c r="B450" s="207">
        <v>16</v>
      </c>
      <c r="C450" s="135" t="s">
        <v>55</v>
      </c>
      <c r="D450" s="136">
        <v>72.540000000000006</v>
      </c>
      <c r="E450" s="32">
        <v>1</v>
      </c>
      <c r="F450" s="194">
        <f t="shared" si="302"/>
        <v>15378.480000000001</v>
      </c>
      <c r="G450" s="195">
        <f t="shared" si="303"/>
        <v>2248.7400000000002</v>
      </c>
      <c r="H450" s="196">
        <f t="shared" si="304"/>
        <v>2031.1200000000001</v>
      </c>
      <c r="I450" s="195">
        <f t="shared" si="305"/>
        <v>2248.7400000000002</v>
      </c>
      <c r="J450" s="195">
        <f t="shared" si="306"/>
        <v>2176.2000000000003</v>
      </c>
      <c r="K450" s="195">
        <f t="shared" si="307"/>
        <v>2248.7400000000002</v>
      </c>
      <c r="L450" s="195">
        <f t="shared" si="308"/>
        <v>2176.2000000000003</v>
      </c>
      <c r="M450" s="195">
        <f t="shared" si="309"/>
        <v>2248.7400000000002</v>
      </c>
      <c r="N450" s="195">
        <v>0</v>
      </c>
      <c r="O450" s="195">
        <v>0</v>
      </c>
      <c r="P450" s="195">
        <v>0</v>
      </c>
      <c r="Q450" s="195">
        <v>0</v>
      </c>
      <c r="R450" s="197">
        <v>0</v>
      </c>
      <c r="S450" s="141">
        <v>212</v>
      </c>
    </row>
    <row r="451" spans="1:19" ht="15" customHeight="1">
      <c r="A451" s="59"/>
      <c r="B451" s="207">
        <v>17</v>
      </c>
      <c r="C451" s="135" t="s">
        <v>42</v>
      </c>
      <c r="D451" s="136">
        <v>75.64</v>
      </c>
      <c r="E451" s="32">
        <v>1</v>
      </c>
      <c r="F451" s="194">
        <f>+E451*S451*D451</f>
        <v>16035.68</v>
      </c>
      <c r="G451" s="195">
        <f>E451*D451*31</f>
        <v>2344.84</v>
      </c>
      <c r="H451" s="196">
        <f>E451*D451*28</f>
        <v>2117.92</v>
      </c>
      <c r="I451" s="195">
        <f>E451*D451*31</f>
        <v>2344.84</v>
      </c>
      <c r="J451" s="195">
        <f>E451*D451*30</f>
        <v>2269.1999999999998</v>
      </c>
      <c r="K451" s="195">
        <f>E451*D451*31</f>
        <v>2344.84</v>
      </c>
      <c r="L451" s="195">
        <f>E451*D451*30</f>
        <v>2269.1999999999998</v>
      </c>
      <c r="M451" s="195">
        <f>E451*D451*31</f>
        <v>2344.84</v>
      </c>
      <c r="N451" s="195">
        <v>0</v>
      </c>
      <c r="O451" s="195">
        <v>0</v>
      </c>
      <c r="P451" s="195">
        <v>0</v>
      </c>
      <c r="Q451" s="195">
        <v>0</v>
      </c>
      <c r="R451" s="197">
        <v>0</v>
      </c>
      <c r="S451" s="141">
        <v>212</v>
      </c>
    </row>
    <row r="452" spans="1:19" s="7" customFormat="1">
      <c r="A452" s="128"/>
      <c r="B452" s="233">
        <v>1</v>
      </c>
      <c r="C452" s="274" t="s">
        <v>44</v>
      </c>
      <c r="D452" s="31">
        <v>72.540000000000006</v>
      </c>
      <c r="E452" s="33">
        <v>20</v>
      </c>
      <c r="F452" s="130">
        <f t="shared" ref="F452:F470" si="313">+E452*S452*D452</f>
        <v>221972.40000000002</v>
      </c>
      <c r="G452" s="47">
        <v>0</v>
      </c>
      <c r="H452" s="47">
        <v>0</v>
      </c>
      <c r="I452" s="47">
        <v>0</v>
      </c>
      <c r="J452" s="47">
        <v>0</v>
      </c>
      <c r="K452" s="47">
        <v>0</v>
      </c>
      <c r="L452" s="47">
        <v>0</v>
      </c>
      <c r="M452" s="47">
        <v>0</v>
      </c>
      <c r="N452" s="47">
        <f t="shared" ref="N452:N471" si="314">+D452*E452*31</f>
        <v>44974.8</v>
      </c>
      <c r="O452" s="47">
        <f t="shared" ref="O452:O471" si="315">+D452*E452*30</f>
        <v>43524.000000000007</v>
      </c>
      <c r="P452" s="47">
        <f t="shared" ref="P452:P471" si="316">+D452*E452*31</f>
        <v>44974.8</v>
      </c>
      <c r="Q452" s="47">
        <f t="shared" ref="Q452:Q471" si="317">+D452*E452*30</f>
        <v>43524.000000000007</v>
      </c>
      <c r="R452" s="132">
        <f t="shared" ref="R452:R471" si="318">+D452*E452*31</f>
        <v>44974.8</v>
      </c>
      <c r="S452" s="133">
        <f t="shared" ref="S452:S471" si="319">31+30+31+30+31</f>
        <v>153</v>
      </c>
    </row>
    <row r="453" spans="1:19" s="7" customFormat="1">
      <c r="A453" s="128"/>
      <c r="B453" s="129">
        <v>2</v>
      </c>
      <c r="C453" s="30" t="s">
        <v>46</v>
      </c>
      <c r="D453" s="31">
        <v>73.59</v>
      </c>
      <c r="E453" s="33">
        <v>17</v>
      </c>
      <c r="F453" s="130">
        <f t="shared" si="313"/>
        <v>191407.59</v>
      </c>
      <c r="G453" s="47">
        <v>0</v>
      </c>
      <c r="H453" s="47">
        <v>0</v>
      </c>
      <c r="I453" s="47">
        <v>0</v>
      </c>
      <c r="J453" s="47">
        <v>0</v>
      </c>
      <c r="K453" s="47">
        <v>0</v>
      </c>
      <c r="L453" s="47">
        <v>0</v>
      </c>
      <c r="M453" s="47">
        <v>0</v>
      </c>
      <c r="N453" s="47">
        <f t="shared" si="314"/>
        <v>38781.93</v>
      </c>
      <c r="O453" s="47">
        <f t="shared" si="315"/>
        <v>37530.9</v>
      </c>
      <c r="P453" s="47">
        <f t="shared" si="316"/>
        <v>38781.93</v>
      </c>
      <c r="Q453" s="47">
        <f t="shared" si="317"/>
        <v>37530.9</v>
      </c>
      <c r="R453" s="132">
        <f t="shared" si="318"/>
        <v>38781.93</v>
      </c>
      <c r="S453" s="133">
        <f t="shared" si="319"/>
        <v>153</v>
      </c>
    </row>
    <row r="454" spans="1:19" s="7" customFormat="1">
      <c r="A454" s="128"/>
      <c r="B454" s="129">
        <v>3</v>
      </c>
      <c r="C454" s="30" t="s">
        <v>47</v>
      </c>
      <c r="D454" s="31">
        <v>74.63</v>
      </c>
      <c r="E454" s="33">
        <v>12</v>
      </c>
      <c r="F454" s="130">
        <f t="shared" si="313"/>
        <v>137020.68</v>
      </c>
      <c r="G454" s="47">
        <v>0</v>
      </c>
      <c r="H454" s="47">
        <v>0</v>
      </c>
      <c r="I454" s="47">
        <v>0</v>
      </c>
      <c r="J454" s="47">
        <v>0</v>
      </c>
      <c r="K454" s="47">
        <v>0</v>
      </c>
      <c r="L454" s="47">
        <v>0</v>
      </c>
      <c r="M454" s="47">
        <v>0</v>
      </c>
      <c r="N454" s="47">
        <f t="shared" si="314"/>
        <v>27762.359999999997</v>
      </c>
      <c r="O454" s="47">
        <f t="shared" si="315"/>
        <v>26866.799999999999</v>
      </c>
      <c r="P454" s="47">
        <f t="shared" si="316"/>
        <v>27762.359999999997</v>
      </c>
      <c r="Q454" s="47">
        <f t="shared" si="317"/>
        <v>26866.799999999999</v>
      </c>
      <c r="R454" s="132">
        <f t="shared" si="318"/>
        <v>27762.359999999997</v>
      </c>
      <c r="S454" s="133">
        <f t="shared" si="319"/>
        <v>153</v>
      </c>
    </row>
    <row r="455" spans="1:19" s="7" customFormat="1">
      <c r="A455" s="128"/>
      <c r="B455" s="233">
        <v>4</v>
      </c>
      <c r="C455" s="30" t="s">
        <v>72</v>
      </c>
      <c r="D455" s="31">
        <v>71.400000000000006</v>
      </c>
      <c r="E455" s="33">
        <v>5</v>
      </c>
      <c r="F455" s="130">
        <f t="shared" si="313"/>
        <v>54621.000000000007</v>
      </c>
      <c r="G455" s="47">
        <v>0</v>
      </c>
      <c r="H455" s="47">
        <v>0</v>
      </c>
      <c r="I455" s="47">
        <v>0</v>
      </c>
      <c r="J455" s="47">
        <v>0</v>
      </c>
      <c r="K455" s="47">
        <v>0</v>
      </c>
      <c r="L455" s="47">
        <v>0</v>
      </c>
      <c r="M455" s="47">
        <v>0</v>
      </c>
      <c r="N455" s="47">
        <f t="shared" si="314"/>
        <v>11067</v>
      </c>
      <c r="O455" s="47">
        <f t="shared" si="315"/>
        <v>10710</v>
      </c>
      <c r="P455" s="47">
        <f t="shared" si="316"/>
        <v>11067</v>
      </c>
      <c r="Q455" s="47">
        <f t="shared" si="317"/>
        <v>10710</v>
      </c>
      <c r="R455" s="132">
        <f t="shared" si="318"/>
        <v>11067</v>
      </c>
      <c r="S455" s="133">
        <f t="shared" si="319"/>
        <v>153</v>
      </c>
    </row>
    <row r="456" spans="1:19" s="7" customFormat="1">
      <c r="A456" s="128"/>
      <c r="B456" s="129">
        <v>5</v>
      </c>
      <c r="C456" s="30" t="s">
        <v>73</v>
      </c>
      <c r="D456" s="31">
        <v>71.400000000000006</v>
      </c>
      <c r="E456" s="33">
        <v>1</v>
      </c>
      <c r="F456" s="130">
        <f t="shared" si="313"/>
        <v>10924.2</v>
      </c>
      <c r="G456" s="47">
        <v>0</v>
      </c>
      <c r="H456" s="47">
        <v>0</v>
      </c>
      <c r="I456" s="47">
        <v>0</v>
      </c>
      <c r="J456" s="47">
        <v>0</v>
      </c>
      <c r="K456" s="47">
        <v>0</v>
      </c>
      <c r="L456" s="47">
        <v>0</v>
      </c>
      <c r="M456" s="47">
        <v>0</v>
      </c>
      <c r="N456" s="47">
        <f t="shared" si="314"/>
        <v>2213.4</v>
      </c>
      <c r="O456" s="47">
        <f t="shared" si="315"/>
        <v>2142</v>
      </c>
      <c r="P456" s="47">
        <f t="shared" si="316"/>
        <v>2213.4</v>
      </c>
      <c r="Q456" s="47">
        <f t="shared" si="317"/>
        <v>2142</v>
      </c>
      <c r="R456" s="132">
        <f t="shared" si="318"/>
        <v>2213.4</v>
      </c>
      <c r="S456" s="133">
        <f t="shared" si="319"/>
        <v>153</v>
      </c>
    </row>
    <row r="457" spans="1:19" s="7" customFormat="1">
      <c r="A457" s="128"/>
      <c r="B457" s="129">
        <v>6</v>
      </c>
      <c r="C457" s="30" t="s">
        <v>35</v>
      </c>
      <c r="D457" s="31">
        <v>71.400000000000006</v>
      </c>
      <c r="E457" s="33">
        <v>4</v>
      </c>
      <c r="F457" s="130">
        <f t="shared" si="313"/>
        <v>43696.800000000003</v>
      </c>
      <c r="G457" s="47">
        <v>0</v>
      </c>
      <c r="H457" s="47">
        <v>0</v>
      </c>
      <c r="I457" s="47">
        <v>0</v>
      </c>
      <c r="J457" s="47">
        <v>0</v>
      </c>
      <c r="K457" s="47">
        <v>0</v>
      </c>
      <c r="L457" s="47">
        <v>0</v>
      </c>
      <c r="M457" s="47">
        <v>0</v>
      </c>
      <c r="N457" s="47">
        <f t="shared" si="314"/>
        <v>8853.6</v>
      </c>
      <c r="O457" s="47">
        <f t="shared" si="315"/>
        <v>8568</v>
      </c>
      <c r="P457" s="47">
        <f t="shared" si="316"/>
        <v>8853.6</v>
      </c>
      <c r="Q457" s="47">
        <f t="shared" si="317"/>
        <v>8568</v>
      </c>
      <c r="R457" s="132">
        <f t="shared" si="318"/>
        <v>8853.6</v>
      </c>
      <c r="S457" s="133">
        <f t="shared" si="319"/>
        <v>153</v>
      </c>
    </row>
    <row r="458" spans="1:19" s="7" customFormat="1" ht="15.75" customHeight="1">
      <c r="A458" s="128"/>
      <c r="B458" s="233">
        <v>7</v>
      </c>
      <c r="C458" s="30" t="s">
        <v>67</v>
      </c>
      <c r="D458" s="31">
        <v>73.59</v>
      </c>
      <c r="E458" s="33">
        <v>4</v>
      </c>
      <c r="F458" s="130">
        <f t="shared" si="313"/>
        <v>45037.08</v>
      </c>
      <c r="G458" s="47">
        <v>0</v>
      </c>
      <c r="H458" s="47">
        <v>0</v>
      </c>
      <c r="I458" s="47">
        <v>0</v>
      </c>
      <c r="J458" s="47">
        <v>0</v>
      </c>
      <c r="K458" s="47">
        <v>0</v>
      </c>
      <c r="L458" s="47">
        <v>0</v>
      </c>
      <c r="M458" s="47">
        <v>0</v>
      </c>
      <c r="N458" s="47">
        <f t="shared" si="314"/>
        <v>9125.16</v>
      </c>
      <c r="O458" s="47">
        <f t="shared" si="315"/>
        <v>8830.8000000000011</v>
      </c>
      <c r="P458" s="47">
        <f t="shared" si="316"/>
        <v>9125.16</v>
      </c>
      <c r="Q458" s="47">
        <f t="shared" si="317"/>
        <v>8830.8000000000011</v>
      </c>
      <c r="R458" s="132">
        <f t="shared" si="318"/>
        <v>9125.16</v>
      </c>
      <c r="S458" s="133">
        <f t="shared" si="319"/>
        <v>153</v>
      </c>
    </row>
    <row r="459" spans="1:19" s="7" customFormat="1">
      <c r="A459" s="128"/>
      <c r="B459" s="129">
        <v>8</v>
      </c>
      <c r="C459" s="30" t="s">
        <v>50</v>
      </c>
      <c r="D459" s="31">
        <v>74.63</v>
      </c>
      <c r="E459" s="33">
        <v>1</v>
      </c>
      <c r="F459" s="130">
        <f t="shared" si="313"/>
        <v>11418.39</v>
      </c>
      <c r="G459" s="47">
        <v>0</v>
      </c>
      <c r="H459" s="47">
        <v>0</v>
      </c>
      <c r="I459" s="47">
        <v>0</v>
      </c>
      <c r="J459" s="47">
        <v>0</v>
      </c>
      <c r="K459" s="47">
        <v>0</v>
      </c>
      <c r="L459" s="47">
        <v>0</v>
      </c>
      <c r="M459" s="47">
        <v>0</v>
      </c>
      <c r="N459" s="47">
        <f t="shared" si="314"/>
        <v>2313.5299999999997</v>
      </c>
      <c r="O459" s="47">
        <f t="shared" si="315"/>
        <v>2238.8999999999996</v>
      </c>
      <c r="P459" s="47">
        <f t="shared" si="316"/>
        <v>2313.5299999999997</v>
      </c>
      <c r="Q459" s="47">
        <f t="shared" si="317"/>
        <v>2238.8999999999996</v>
      </c>
      <c r="R459" s="132">
        <f t="shared" si="318"/>
        <v>2313.5299999999997</v>
      </c>
      <c r="S459" s="133">
        <f t="shared" si="319"/>
        <v>153</v>
      </c>
    </row>
    <row r="460" spans="1:19" s="7" customFormat="1">
      <c r="A460" s="128"/>
      <c r="B460" s="129">
        <v>9</v>
      </c>
      <c r="C460" s="30" t="s">
        <v>77</v>
      </c>
      <c r="D460" s="31">
        <v>72.540000000000006</v>
      </c>
      <c r="E460" s="33">
        <v>1</v>
      </c>
      <c r="F460" s="130">
        <f t="shared" si="313"/>
        <v>11098.62</v>
      </c>
      <c r="G460" s="47">
        <v>0</v>
      </c>
      <c r="H460" s="47">
        <v>0</v>
      </c>
      <c r="I460" s="47">
        <v>0</v>
      </c>
      <c r="J460" s="47">
        <v>0</v>
      </c>
      <c r="K460" s="47">
        <v>0</v>
      </c>
      <c r="L460" s="47">
        <v>0</v>
      </c>
      <c r="M460" s="47">
        <v>0</v>
      </c>
      <c r="N460" s="47">
        <f t="shared" si="314"/>
        <v>2248.7400000000002</v>
      </c>
      <c r="O460" s="47">
        <f t="shared" si="315"/>
        <v>2176.2000000000003</v>
      </c>
      <c r="P460" s="47">
        <f t="shared" si="316"/>
        <v>2248.7400000000002</v>
      </c>
      <c r="Q460" s="47">
        <f t="shared" si="317"/>
        <v>2176.2000000000003</v>
      </c>
      <c r="R460" s="132">
        <f t="shared" si="318"/>
        <v>2248.7400000000002</v>
      </c>
      <c r="S460" s="133">
        <f t="shared" si="319"/>
        <v>153</v>
      </c>
    </row>
    <row r="461" spans="1:19" s="7" customFormat="1">
      <c r="A461" s="128"/>
      <c r="B461" s="233">
        <v>10</v>
      </c>
      <c r="C461" s="30" t="s">
        <v>38</v>
      </c>
      <c r="D461" s="31">
        <v>71.400000000000006</v>
      </c>
      <c r="E461" s="33">
        <v>1</v>
      </c>
      <c r="F461" s="130">
        <f t="shared" si="313"/>
        <v>10924.2</v>
      </c>
      <c r="G461" s="47">
        <v>0</v>
      </c>
      <c r="H461" s="47">
        <v>0</v>
      </c>
      <c r="I461" s="47">
        <v>0</v>
      </c>
      <c r="J461" s="47">
        <v>0</v>
      </c>
      <c r="K461" s="47">
        <v>0</v>
      </c>
      <c r="L461" s="47">
        <v>0</v>
      </c>
      <c r="M461" s="47">
        <v>0</v>
      </c>
      <c r="N461" s="47">
        <f t="shared" si="314"/>
        <v>2213.4</v>
      </c>
      <c r="O461" s="47">
        <f t="shared" si="315"/>
        <v>2142</v>
      </c>
      <c r="P461" s="47">
        <f t="shared" si="316"/>
        <v>2213.4</v>
      </c>
      <c r="Q461" s="47">
        <f t="shared" si="317"/>
        <v>2142</v>
      </c>
      <c r="R461" s="132">
        <f t="shared" si="318"/>
        <v>2213.4</v>
      </c>
      <c r="S461" s="133">
        <f t="shared" si="319"/>
        <v>153</v>
      </c>
    </row>
    <row r="462" spans="1:19" s="7" customFormat="1">
      <c r="A462" s="128"/>
      <c r="B462" s="233">
        <v>10</v>
      </c>
      <c r="C462" s="30" t="s">
        <v>38</v>
      </c>
      <c r="D462" s="31">
        <v>71.400000000000006</v>
      </c>
      <c r="E462" s="33">
        <v>1</v>
      </c>
      <c r="F462" s="130">
        <f t="shared" si="313"/>
        <v>11995.2</v>
      </c>
      <c r="G462" s="47">
        <v>0</v>
      </c>
      <c r="H462" s="47">
        <v>0</v>
      </c>
      <c r="I462" s="47">
        <v>0</v>
      </c>
      <c r="J462" s="47">
        <v>0</v>
      </c>
      <c r="K462" s="47">
        <v>0</v>
      </c>
      <c r="L462" s="47">
        <v>0</v>
      </c>
      <c r="M462" s="47">
        <v>0</v>
      </c>
      <c r="N462" s="47">
        <f>+D462*E462*46</f>
        <v>3284.4</v>
      </c>
      <c r="O462" s="47">
        <f t="shared" si="315"/>
        <v>2142</v>
      </c>
      <c r="P462" s="47">
        <f t="shared" si="316"/>
        <v>2213.4</v>
      </c>
      <c r="Q462" s="47">
        <f t="shared" si="317"/>
        <v>2142</v>
      </c>
      <c r="R462" s="132">
        <f t="shared" si="318"/>
        <v>2213.4</v>
      </c>
      <c r="S462" s="133">
        <f>46+30+31+30+31</f>
        <v>168</v>
      </c>
    </row>
    <row r="463" spans="1:19" s="7" customFormat="1">
      <c r="A463" s="128"/>
      <c r="B463" s="129">
        <v>11</v>
      </c>
      <c r="C463" s="30" t="s">
        <v>63</v>
      </c>
      <c r="D463" s="31">
        <v>80.86</v>
      </c>
      <c r="E463" s="33">
        <v>1</v>
      </c>
      <c r="F463" s="130">
        <f t="shared" si="313"/>
        <v>10350.08</v>
      </c>
      <c r="G463" s="47">
        <v>0</v>
      </c>
      <c r="H463" s="47">
        <v>0</v>
      </c>
      <c r="I463" s="47">
        <v>0</v>
      </c>
      <c r="J463" s="47">
        <v>0</v>
      </c>
      <c r="K463" s="47">
        <v>0</v>
      </c>
      <c r="L463" s="47">
        <v>0</v>
      </c>
      <c r="M463" s="47">
        <v>0</v>
      </c>
      <c r="N463" s="47">
        <f>+D463*E463*6</f>
        <v>485.15999999999997</v>
      </c>
      <c r="O463" s="47">
        <f t="shared" si="315"/>
        <v>2425.8000000000002</v>
      </c>
      <c r="P463" s="47">
        <f t="shared" si="316"/>
        <v>2506.66</v>
      </c>
      <c r="Q463" s="47">
        <f t="shared" si="317"/>
        <v>2425.8000000000002</v>
      </c>
      <c r="R463" s="132">
        <f t="shared" si="318"/>
        <v>2506.66</v>
      </c>
      <c r="S463" s="133">
        <f>6+30+31+30+31</f>
        <v>128</v>
      </c>
    </row>
    <row r="464" spans="1:19" s="7" customFormat="1">
      <c r="A464" s="128"/>
      <c r="B464" s="129">
        <v>12</v>
      </c>
      <c r="C464" s="30" t="s">
        <v>39</v>
      </c>
      <c r="D464" s="31">
        <v>78.25</v>
      </c>
      <c r="E464" s="33">
        <v>20</v>
      </c>
      <c r="F464" s="130">
        <f t="shared" si="313"/>
        <v>239445</v>
      </c>
      <c r="G464" s="47">
        <v>0</v>
      </c>
      <c r="H464" s="47">
        <v>0</v>
      </c>
      <c r="I464" s="47">
        <v>0</v>
      </c>
      <c r="J464" s="47">
        <v>0</v>
      </c>
      <c r="K464" s="47">
        <v>0</v>
      </c>
      <c r="L464" s="47">
        <v>0</v>
      </c>
      <c r="M464" s="47">
        <v>0</v>
      </c>
      <c r="N464" s="47">
        <f t="shared" si="314"/>
        <v>48515</v>
      </c>
      <c r="O464" s="47">
        <f t="shared" si="315"/>
        <v>46950</v>
      </c>
      <c r="P464" s="47">
        <f t="shared" si="316"/>
        <v>48515</v>
      </c>
      <c r="Q464" s="47">
        <f t="shared" si="317"/>
        <v>46950</v>
      </c>
      <c r="R464" s="132">
        <f t="shared" si="318"/>
        <v>48515</v>
      </c>
      <c r="S464" s="133">
        <f t="shared" si="319"/>
        <v>153</v>
      </c>
    </row>
    <row r="465" spans="1:19" s="7" customFormat="1">
      <c r="A465" s="128"/>
      <c r="B465" s="233">
        <v>13</v>
      </c>
      <c r="C465" s="30" t="s">
        <v>78</v>
      </c>
      <c r="D465" s="31">
        <v>72.540000000000006</v>
      </c>
      <c r="E465" s="33">
        <v>2</v>
      </c>
      <c r="F465" s="130">
        <f t="shared" si="313"/>
        <v>22197.24</v>
      </c>
      <c r="G465" s="47">
        <v>0</v>
      </c>
      <c r="H465" s="47">
        <v>0</v>
      </c>
      <c r="I465" s="47">
        <v>0</v>
      </c>
      <c r="J465" s="47">
        <v>0</v>
      </c>
      <c r="K465" s="47">
        <v>0</v>
      </c>
      <c r="L465" s="47">
        <v>0</v>
      </c>
      <c r="M465" s="47">
        <v>0</v>
      </c>
      <c r="N465" s="47">
        <f t="shared" si="314"/>
        <v>4497.4800000000005</v>
      </c>
      <c r="O465" s="47">
        <f t="shared" si="315"/>
        <v>4352.4000000000005</v>
      </c>
      <c r="P465" s="47">
        <f t="shared" si="316"/>
        <v>4497.4800000000005</v>
      </c>
      <c r="Q465" s="47">
        <f t="shared" si="317"/>
        <v>4352.4000000000005</v>
      </c>
      <c r="R465" s="132">
        <f t="shared" si="318"/>
        <v>4497.4800000000005</v>
      </c>
      <c r="S465" s="133">
        <f t="shared" si="319"/>
        <v>153</v>
      </c>
    </row>
    <row r="466" spans="1:19" s="7" customFormat="1">
      <c r="A466" s="128"/>
      <c r="B466" s="129">
        <v>14</v>
      </c>
      <c r="C466" s="30" t="s">
        <v>32</v>
      </c>
      <c r="D466" s="31">
        <v>71.400000000000006</v>
      </c>
      <c r="E466" s="33">
        <v>37</v>
      </c>
      <c r="F466" s="130">
        <f t="shared" si="313"/>
        <v>404195.4</v>
      </c>
      <c r="G466" s="47">
        <v>0</v>
      </c>
      <c r="H466" s="47">
        <v>0</v>
      </c>
      <c r="I466" s="47">
        <v>0</v>
      </c>
      <c r="J466" s="47">
        <v>0</v>
      </c>
      <c r="K466" s="47">
        <v>0</v>
      </c>
      <c r="L466" s="47">
        <v>0</v>
      </c>
      <c r="M466" s="47">
        <v>0</v>
      </c>
      <c r="N466" s="47">
        <f t="shared" si="314"/>
        <v>81895.8</v>
      </c>
      <c r="O466" s="47">
        <f t="shared" si="315"/>
        <v>79254</v>
      </c>
      <c r="P466" s="47">
        <f t="shared" si="316"/>
        <v>81895.8</v>
      </c>
      <c r="Q466" s="47">
        <f t="shared" si="317"/>
        <v>79254</v>
      </c>
      <c r="R466" s="132">
        <f t="shared" si="318"/>
        <v>81895.8</v>
      </c>
      <c r="S466" s="133">
        <f t="shared" si="319"/>
        <v>153</v>
      </c>
    </row>
    <row r="467" spans="1:19" s="7" customFormat="1">
      <c r="A467" s="128"/>
      <c r="B467" s="129">
        <v>14</v>
      </c>
      <c r="C467" s="30" t="s">
        <v>32</v>
      </c>
      <c r="D467" s="31">
        <v>71.400000000000006</v>
      </c>
      <c r="E467" s="33">
        <v>1</v>
      </c>
      <c r="F467" s="130">
        <f t="shared" si="313"/>
        <v>0</v>
      </c>
      <c r="G467" s="47">
        <v>0</v>
      </c>
      <c r="H467" s="47">
        <v>0</v>
      </c>
      <c r="I467" s="47">
        <v>0</v>
      </c>
      <c r="J467" s="47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132">
        <v>0</v>
      </c>
      <c r="S467" s="133">
        <v>0</v>
      </c>
    </row>
    <row r="468" spans="1:19" s="7" customFormat="1">
      <c r="A468" s="128"/>
      <c r="B468" s="129">
        <v>15</v>
      </c>
      <c r="C468" s="30" t="s">
        <v>54</v>
      </c>
      <c r="D468" s="31">
        <v>71.400000000000006</v>
      </c>
      <c r="E468" s="33">
        <v>25</v>
      </c>
      <c r="F468" s="130">
        <f t="shared" si="313"/>
        <v>273105</v>
      </c>
      <c r="G468" s="47">
        <v>0</v>
      </c>
      <c r="H468" s="47">
        <v>0</v>
      </c>
      <c r="I468" s="47">
        <v>0</v>
      </c>
      <c r="J468" s="47">
        <v>0</v>
      </c>
      <c r="K468" s="47">
        <v>0</v>
      </c>
      <c r="L468" s="47">
        <v>0</v>
      </c>
      <c r="M468" s="47">
        <v>0</v>
      </c>
      <c r="N468" s="47">
        <f t="shared" si="314"/>
        <v>55335.000000000007</v>
      </c>
      <c r="O468" s="47">
        <f t="shared" si="315"/>
        <v>53550.000000000007</v>
      </c>
      <c r="P468" s="47">
        <f t="shared" si="316"/>
        <v>55335.000000000007</v>
      </c>
      <c r="Q468" s="47">
        <f t="shared" si="317"/>
        <v>53550.000000000007</v>
      </c>
      <c r="R468" s="132">
        <f t="shared" si="318"/>
        <v>55335.000000000007</v>
      </c>
      <c r="S468" s="133">
        <f t="shared" si="319"/>
        <v>153</v>
      </c>
    </row>
    <row r="469" spans="1:19" s="7" customFormat="1">
      <c r="A469" s="128"/>
      <c r="B469" s="129">
        <v>15</v>
      </c>
      <c r="C469" s="30" t="s">
        <v>54</v>
      </c>
      <c r="D469" s="31">
        <v>71.400000000000006</v>
      </c>
      <c r="E469" s="33">
        <v>1</v>
      </c>
      <c r="F469" s="130">
        <f t="shared" si="313"/>
        <v>0</v>
      </c>
      <c r="G469" s="47">
        <v>0</v>
      </c>
      <c r="H469" s="47">
        <v>0</v>
      </c>
      <c r="I469" s="47">
        <v>0</v>
      </c>
      <c r="J469" s="47">
        <v>0</v>
      </c>
      <c r="K469" s="47">
        <v>0</v>
      </c>
      <c r="L469" s="47">
        <v>0</v>
      </c>
      <c r="M469" s="47">
        <v>0</v>
      </c>
      <c r="N469" s="47">
        <v>0</v>
      </c>
      <c r="O469" s="47">
        <v>0</v>
      </c>
      <c r="P469" s="47">
        <v>0</v>
      </c>
      <c r="Q469" s="47">
        <v>0</v>
      </c>
      <c r="R469" s="132">
        <v>0</v>
      </c>
      <c r="S469" s="133">
        <v>0</v>
      </c>
    </row>
    <row r="470" spans="1:19" s="7" customFormat="1">
      <c r="A470" s="128"/>
      <c r="B470" s="233">
        <v>16</v>
      </c>
      <c r="C470" s="30" t="s">
        <v>55</v>
      </c>
      <c r="D470" s="31">
        <v>72.540000000000006</v>
      </c>
      <c r="E470" s="33">
        <v>1</v>
      </c>
      <c r="F470" s="130">
        <f t="shared" si="313"/>
        <v>11098.62</v>
      </c>
      <c r="G470" s="47">
        <v>0</v>
      </c>
      <c r="H470" s="47">
        <v>0</v>
      </c>
      <c r="I470" s="47">
        <v>0</v>
      </c>
      <c r="J470" s="47">
        <v>0</v>
      </c>
      <c r="K470" s="47">
        <v>0</v>
      </c>
      <c r="L470" s="47">
        <v>0</v>
      </c>
      <c r="M470" s="47">
        <v>0</v>
      </c>
      <c r="N470" s="47">
        <f t="shared" si="314"/>
        <v>2248.7400000000002</v>
      </c>
      <c r="O470" s="47">
        <f t="shared" si="315"/>
        <v>2176.2000000000003</v>
      </c>
      <c r="P470" s="47">
        <f t="shared" si="316"/>
        <v>2248.7400000000002</v>
      </c>
      <c r="Q470" s="47">
        <f t="shared" si="317"/>
        <v>2176.2000000000003</v>
      </c>
      <c r="R470" s="132">
        <f t="shared" si="318"/>
        <v>2248.7400000000002</v>
      </c>
      <c r="S470" s="133">
        <f t="shared" si="319"/>
        <v>153</v>
      </c>
    </row>
    <row r="471" spans="1:19" s="7" customFormat="1" ht="15" customHeight="1">
      <c r="A471" s="128"/>
      <c r="B471" s="233">
        <v>17</v>
      </c>
      <c r="C471" s="30" t="s">
        <v>42</v>
      </c>
      <c r="D471" s="31">
        <v>75.64</v>
      </c>
      <c r="E471" s="33">
        <v>1</v>
      </c>
      <c r="F471" s="130">
        <f>+E471*S471*D471</f>
        <v>11572.92</v>
      </c>
      <c r="G471" s="47">
        <v>0</v>
      </c>
      <c r="H471" s="47">
        <v>0</v>
      </c>
      <c r="I471" s="47">
        <v>0</v>
      </c>
      <c r="J471" s="47">
        <v>0</v>
      </c>
      <c r="K471" s="47">
        <v>0</v>
      </c>
      <c r="L471" s="47">
        <v>0</v>
      </c>
      <c r="M471" s="47">
        <v>0</v>
      </c>
      <c r="N471" s="47">
        <f t="shared" si="314"/>
        <v>2344.84</v>
      </c>
      <c r="O471" s="47">
        <f t="shared" si="315"/>
        <v>2269.1999999999998</v>
      </c>
      <c r="P471" s="47">
        <f t="shared" si="316"/>
        <v>2344.84</v>
      </c>
      <c r="Q471" s="47">
        <f t="shared" si="317"/>
        <v>2269.1999999999998</v>
      </c>
      <c r="R471" s="132">
        <f t="shared" si="318"/>
        <v>2344.84</v>
      </c>
      <c r="S471" s="133">
        <f t="shared" si="319"/>
        <v>153</v>
      </c>
    </row>
    <row r="472" spans="1:19" s="7" customFormat="1">
      <c r="A472" s="128"/>
      <c r="B472" s="233">
        <v>20</v>
      </c>
      <c r="C472" s="30" t="s">
        <v>47</v>
      </c>
      <c r="D472" s="31">
        <v>74.63</v>
      </c>
      <c r="E472" s="33">
        <v>1</v>
      </c>
      <c r="F472" s="130">
        <f>+E472*S472*D472</f>
        <v>6865.9599999999991</v>
      </c>
      <c r="G472" s="47">
        <v>0</v>
      </c>
      <c r="H472" s="131">
        <v>0</v>
      </c>
      <c r="I472" s="47">
        <v>0</v>
      </c>
      <c r="J472" s="47">
        <v>0</v>
      </c>
      <c r="K472" s="47">
        <v>0</v>
      </c>
      <c r="L472" s="47">
        <v>0</v>
      </c>
      <c r="M472" s="47">
        <f t="shared" ref="M472" si="320">E472*D472*31</f>
        <v>2313.5299999999997</v>
      </c>
      <c r="N472" s="47">
        <f>E472*D472*31</f>
        <v>2313.5299999999997</v>
      </c>
      <c r="O472" s="47">
        <f>E472*D472*30</f>
        <v>2238.8999999999996</v>
      </c>
      <c r="P472" s="47">
        <v>0</v>
      </c>
      <c r="Q472" s="47">
        <v>0</v>
      </c>
      <c r="R472" s="132">
        <v>0</v>
      </c>
      <c r="S472" s="133">
        <f>31+31+30</f>
        <v>92</v>
      </c>
    </row>
    <row r="473" spans="1:19" ht="15.75" thickBot="1">
      <c r="A473" s="59"/>
      <c r="B473" s="182"/>
      <c r="C473" s="183" t="s">
        <v>125</v>
      </c>
      <c r="D473" s="184"/>
      <c r="E473" s="209"/>
      <c r="F473" s="308">
        <f>4217152-SUM(F431:F472)-21300</f>
        <v>42890.659999999218</v>
      </c>
      <c r="G473" s="388"/>
      <c r="H473" s="390"/>
      <c r="I473" s="187"/>
      <c r="J473" s="389"/>
      <c r="K473" s="187"/>
      <c r="L473" s="389"/>
      <c r="M473" s="187"/>
      <c r="N473" s="187"/>
      <c r="O473" s="187"/>
      <c r="P473" s="187"/>
      <c r="Q473" s="187"/>
      <c r="R473" s="309">
        <f>F473</f>
        <v>42890.659999999218</v>
      </c>
    </row>
    <row r="474" spans="1:19" s="13" customFormat="1" ht="15.75" thickBot="1">
      <c r="A474" s="190"/>
      <c r="B474" s="391"/>
      <c r="C474" s="392" t="s">
        <v>79</v>
      </c>
      <c r="D474" s="393"/>
      <c r="E474" s="394">
        <f>+E476</f>
        <v>49</v>
      </c>
      <c r="F474" s="395">
        <f>F476</f>
        <v>553322</v>
      </c>
      <c r="G474" s="396">
        <f t="shared" ref="G474:R474" si="321">G476</f>
        <v>0</v>
      </c>
      <c r="H474" s="396">
        <f t="shared" si="321"/>
        <v>0</v>
      </c>
      <c r="I474" s="396">
        <f t="shared" si="321"/>
        <v>0</v>
      </c>
      <c r="J474" s="396">
        <f t="shared" si="321"/>
        <v>51510.600000000006</v>
      </c>
      <c r="K474" s="396">
        <f t="shared" si="321"/>
        <v>53227.619999999995</v>
      </c>
      <c r="L474" s="396">
        <f t="shared" si="321"/>
        <v>51510.600000000006</v>
      </c>
      <c r="M474" s="396">
        <f t="shared" si="321"/>
        <v>50978.880000000005</v>
      </c>
      <c r="N474" s="396">
        <f t="shared" si="321"/>
        <v>50978.880000000005</v>
      </c>
      <c r="O474" s="396">
        <f t="shared" si="321"/>
        <v>54774.900000000009</v>
      </c>
      <c r="P474" s="396">
        <f t="shared" si="321"/>
        <v>50978.880000000005</v>
      </c>
      <c r="Q474" s="396">
        <f t="shared" si="321"/>
        <v>49334.400000000009</v>
      </c>
      <c r="R474" s="397">
        <f t="shared" si="321"/>
        <v>140027.24</v>
      </c>
      <c r="S474" s="332"/>
    </row>
    <row r="475" spans="1:19" ht="15" customHeight="1">
      <c r="A475" s="59"/>
      <c r="B475" s="291"/>
      <c r="C475" s="749" t="s">
        <v>58</v>
      </c>
      <c r="D475" s="750"/>
      <c r="E475" s="398"/>
      <c r="F475" s="399"/>
      <c r="G475" s="400"/>
      <c r="H475" s="400"/>
      <c r="I475" s="400"/>
      <c r="J475" s="400"/>
      <c r="K475" s="400"/>
      <c r="L475" s="400"/>
      <c r="M475" s="400"/>
      <c r="N475" s="400"/>
      <c r="O475" s="400"/>
      <c r="P475" s="400"/>
      <c r="Q475" s="400"/>
      <c r="R475" s="401"/>
    </row>
    <row r="476" spans="1:19" ht="34.5" customHeight="1">
      <c r="A476" s="59"/>
      <c r="B476" s="61"/>
      <c r="C476" s="748" t="s">
        <v>143</v>
      </c>
      <c r="D476" s="748"/>
      <c r="E476" s="402">
        <f>SUM(E479:E493)</f>
        <v>49</v>
      </c>
      <c r="F476" s="356">
        <f>SUM(F479:F494)</f>
        <v>553322</v>
      </c>
      <c r="G476" s="403">
        <f t="shared" ref="G476:Q476" si="322">SUM(G479:G493)</f>
        <v>0</v>
      </c>
      <c r="H476" s="403">
        <f t="shared" si="322"/>
        <v>0</v>
      </c>
      <c r="I476" s="403">
        <f t="shared" si="322"/>
        <v>0</v>
      </c>
      <c r="J476" s="403">
        <f t="shared" si="322"/>
        <v>51510.600000000006</v>
      </c>
      <c r="K476" s="403">
        <f t="shared" si="322"/>
        <v>53227.619999999995</v>
      </c>
      <c r="L476" s="403">
        <f t="shared" si="322"/>
        <v>51510.600000000006</v>
      </c>
      <c r="M476" s="403">
        <f t="shared" si="322"/>
        <v>50978.880000000005</v>
      </c>
      <c r="N476" s="403">
        <f t="shared" si="322"/>
        <v>50978.880000000005</v>
      </c>
      <c r="O476" s="403">
        <f t="shared" si="322"/>
        <v>54774.900000000009</v>
      </c>
      <c r="P476" s="403">
        <f t="shared" si="322"/>
        <v>50978.880000000005</v>
      </c>
      <c r="Q476" s="403">
        <f t="shared" si="322"/>
        <v>49334.400000000009</v>
      </c>
      <c r="R476" s="404">
        <f>SUM(R479:R494)</f>
        <v>140027.24</v>
      </c>
      <c r="S476" s="22">
        <f>F476-SUM(G476:R476)</f>
        <v>0</v>
      </c>
    </row>
    <row r="477" spans="1:19">
      <c r="A477" s="59"/>
      <c r="B477" s="217"/>
      <c r="C477" s="365"/>
      <c r="D477" s="365"/>
      <c r="E477" s="405"/>
      <c r="F477" s="406">
        <f>SUM(F479:F493)</f>
        <v>464273.64</v>
      </c>
      <c r="G477" s="407"/>
      <c r="H477" s="407"/>
      <c r="I477" s="407"/>
      <c r="J477" s="407"/>
      <c r="K477" s="407"/>
      <c r="L477" s="407"/>
      <c r="M477" s="407"/>
      <c r="N477" s="407"/>
      <c r="O477" s="407"/>
      <c r="P477" s="407"/>
      <c r="Q477" s="407"/>
      <c r="R477" s="408"/>
    </row>
    <row r="478" spans="1:19">
      <c r="A478" s="59"/>
      <c r="B478" s="134"/>
      <c r="C478" s="208"/>
      <c r="D478" s="208"/>
      <c r="E478" s="123" t="s">
        <v>124</v>
      </c>
      <c r="F478" s="124">
        <v>0</v>
      </c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2"/>
    </row>
    <row r="479" spans="1:19" s="13" customFormat="1">
      <c r="A479" s="190"/>
      <c r="B479" s="191">
        <v>1</v>
      </c>
      <c r="C479" s="192" t="s">
        <v>44</v>
      </c>
      <c r="D479" s="193">
        <v>72.540000000000006</v>
      </c>
      <c r="E479" s="33">
        <v>2</v>
      </c>
      <c r="F479" s="194">
        <f t="shared" ref="F479:F493" si="323">+E479*S479*D479</f>
        <v>13202.28</v>
      </c>
      <c r="G479" s="195">
        <v>0</v>
      </c>
      <c r="H479" s="195">
        <v>0</v>
      </c>
      <c r="I479" s="195">
        <v>0</v>
      </c>
      <c r="J479" s="195">
        <f>E479*D479*30</f>
        <v>4352.4000000000005</v>
      </c>
      <c r="K479" s="195">
        <f t="shared" ref="K479:K485" si="324">E479*D479*31</f>
        <v>4497.4800000000005</v>
      </c>
      <c r="L479" s="195">
        <f t="shared" ref="L479:L485" si="325">E479*D479*30</f>
        <v>4352.4000000000005</v>
      </c>
      <c r="M479" s="195">
        <v>0</v>
      </c>
      <c r="N479" s="195">
        <v>0</v>
      </c>
      <c r="O479" s="195">
        <v>0</v>
      </c>
      <c r="P479" s="195">
        <v>0</v>
      </c>
      <c r="Q479" s="195">
        <v>0</v>
      </c>
      <c r="R479" s="197">
        <v>0</v>
      </c>
      <c r="S479" s="198">
        <f>30+31+30</f>
        <v>91</v>
      </c>
    </row>
    <row r="480" spans="1:19" s="13" customFormat="1">
      <c r="A480" s="190"/>
      <c r="B480" s="191">
        <v>2</v>
      </c>
      <c r="C480" s="192" t="s">
        <v>35</v>
      </c>
      <c r="D480" s="193">
        <v>71.400000000000006</v>
      </c>
      <c r="E480" s="33">
        <v>11</v>
      </c>
      <c r="F480" s="194">
        <f t="shared" si="323"/>
        <v>71471.400000000009</v>
      </c>
      <c r="G480" s="195">
        <v>0</v>
      </c>
      <c r="H480" s="195">
        <v>0</v>
      </c>
      <c r="I480" s="195">
        <v>0</v>
      </c>
      <c r="J480" s="195">
        <f t="shared" ref="J480:J485" si="326">E480*D480*30</f>
        <v>23562.000000000004</v>
      </c>
      <c r="K480" s="195">
        <f t="shared" si="324"/>
        <v>24347.4</v>
      </c>
      <c r="L480" s="195">
        <f t="shared" si="325"/>
        <v>23562.000000000004</v>
      </c>
      <c r="M480" s="195">
        <v>0</v>
      </c>
      <c r="N480" s="195">
        <v>0</v>
      </c>
      <c r="O480" s="195">
        <v>0</v>
      </c>
      <c r="P480" s="195">
        <v>0</v>
      </c>
      <c r="Q480" s="195">
        <v>0</v>
      </c>
      <c r="R480" s="197">
        <v>0</v>
      </c>
      <c r="S480" s="198">
        <f t="shared" ref="S480:S485" si="327">30+31+30</f>
        <v>91</v>
      </c>
    </row>
    <row r="481" spans="1:19" s="13" customFormat="1">
      <c r="A481" s="190"/>
      <c r="B481" s="191">
        <v>4</v>
      </c>
      <c r="C481" s="192" t="s">
        <v>38</v>
      </c>
      <c r="D481" s="193">
        <v>71.400000000000006</v>
      </c>
      <c r="E481" s="33">
        <v>2</v>
      </c>
      <c r="F481" s="194">
        <f t="shared" si="323"/>
        <v>12994.800000000001</v>
      </c>
      <c r="G481" s="195">
        <v>0</v>
      </c>
      <c r="H481" s="195">
        <v>0</v>
      </c>
      <c r="I481" s="195">
        <v>0</v>
      </c>
      <c r="J481" s="195">
        <f t="shared" si="326"/>
        <v>4284</v>
      </c>
      <c r="K481" s="195">
        <f t="shared" si="324"/>
        <v>4426.8</v>
      </c>
      <c r="L481" s="195">
        <f t="shared" si="325"/>
        <v>4284</v>
      </c>
      <c r="M481" s="195">
        <v>0</v>
      </c>
      <c r="N481" s="195">
        <v>0</v>
      </c>
      <c r="O481" s="195">
        <v>0</v>
      </c>
      <c r="P481" s="195">
        <v>0</v>
      </c>
      <c r="Q481" s="195">
        <v>0</v>
      </c>
      <c r="R481" s="197">
        <v>0</v>
      </c>
      <c r="S481" s="198">
        <f t="shared" si="327"/>
        <v>91</v>
      </c>
    </row>
    <row r="482" spans="1:19" s="13" customFormat="1">
      <c r="A482" s="190"/>
      <c r="B482" s="191"/>
      <c r="C482" s="192" t="s">
        <v>54</v>
      </c>
      <c r="D482" s="193">
        <v>71.400000000000006</v>
      </c>
      <c r="E482" s="33">
        <v>1</v>
      </c>
      <c r="F482" s="194">
        <f t="shared" si="323"/>
        <v>6497.4000000000005</v>
      </c>
      <c r="G482" s="195">
        <v>0</v>
      </c>
      <c r="H482" s="195">
        <v>0</v>
      </c>
      <c r="I482" s="195">
        <v>0</v>
      </c>
      <c r="J482" s="195">
        <f t="shared" si="326"/>
        <v>2142</v>
      </c>
      <c r="K482" s="195">
        <f t="shared" si="324"/>
        <v>2213.4</v>
      </c>
      <c r="L482" s="195">
        <f t="shared" si="325"/>
        <v>2142</v>
      </c>
      <c r="M482" s="195">
        <v>0</v>
      </c>
      <c r="N482" s="195">
        <v>0</v>
      </c>
      <c r="O482" s="195">
        <v>0</v>
      </c>
      <c r="P482" s="195">
        <v>0</v>
      </c>
      <c r="Q482" s="195">
        <v>0</v>
      </c>
      <c r="R482" s="197">
        <v>0</v>
      </c>
      <c r="S482" s="198">
        <f t="shared" si="327"/>
        <v>91</v>
      </c>
    </row>
    <row r="483" spans="1:19" s="13" customFormat="1">
      <c r="A483" s="190"/>
      <c r="B483" s="191">
        <v>7</v>
      </c>
      <c r="C483" s="192" t="s">
        <v>35</v>
      </c>
      <c r="D483" s="193">
        <v>71.400000000000006</v>
      </c>
      <c r="E483" s="33">
        <v>4</v>
      </c>
      <c r="F483" s="194">
        <f t="shared" si="323"/>
        <v>25989.600000000002</v>
      </c>
      <c r="G483" s="195">
        <v>0</v>
      </c>
      <c r="H483" s="195">
        <v>0</v>
      </c>
      <c r="I483" s="195">
        <v>0</v>
      </c>
      <c r="J483" s="195">
        <f t="shared" si="326"/>
        <v>8568</v>
      </c>
      <c r="K483" s="195">
        <f t="shared" si="324"/>
        <v>8853.6</v>
      </c>
      <c r="L483" s="195">
        <f t="shared" si="325"/>
        <v>8568</v>
      </c>
      <c r="M483" s="195">
        <v>0</v>
      </c>
      <c r="N483" s="195">
        <v>0</v>
      </c>
      <c r="O483" s="195">
        <v>0</v>
      </c>
      <c r="P483" s="195">
        <v>0</v>
      </c>
      <c r="Q483" s="195">
        <v>0</v>
      </c>
      <c r="R483" s="197">
        <v>0</v>
      </c>
      <c r="S483" s="198">
        <f t="shared" si="327"/>
        <v>91</v>
      </c>
    </row>
    <row r="484" spans="1:19" s="13" customFormat="1">
      <c r="A484" s="190"/>
      <c r="B484" s="191">
        <v>5</v>
      </c>
      <c r="C484" s="192" t="s">
        <v>36</v>
      </c>
      <c r="D484" s="193">
        <v>72.540000000000006</v>
      </c>
      <c r="E484" s="33">
        <v>1</v>
      </c>
      <c r="F484" s="194">
        <f t="shared" si="323"/>
        <v>6601.14</v>
      </c>
      <c r="G484" s="195">
        <v>0</v>
      </c>
      <c r="H484" s="195">
        <v>0</v>
      </c>
      <c r="I484" s="195">
        <v>0</v>
      </c>
      <c r="J484" s="195">
        <f t="shared" si="326"/>
        <v>2176.2000000000003</v>
      </c>
      <c r="K484" s="195">
        <f t="shared" si="324"/>
        <v>2248.7400000000002</v>
      </c>
      <c r="L484" s="195">
        <f t="shared" si="325"/>
        <v>2176.2000000000003</v>
      </c>
      <c r="M484" s="195">
        <v>0</v>
      </c>
      <c r="N484" s="195">
        <v>0</v>
      </c>
      <c r="O484" s="195">
        <v>0</v>
      </c>
      <c r="P484" s="195">
        <v>0</v>
      </c>
      <c r="Q484" s="195">
        <v>0</v>
      </c>
      <c r="R484" s="197">
        <v>0</v>
      </c>
      <c r="S484" s="198">
        <f t="shared" si="327"/>
        <v>91</v>
      </c>
    </row>
    <row r="485" spans="1:19" s="13" customFormat="1">
      <c r="A485" s="190"/>
      <c r="B485" s="191">
        <v>6</v>
      </c>
      <c r="C485" s="192" t="s">
        <v>54</v>
      </c>
      <c r="D485" s="193">
        <v>71.400000000000006</v>
      </c>
      <c r="E485" s="33">
        <v>3</v>
      </c>
      <c r="F485" s="194">
        <f t="shared" si="323"/>
        <v>19492.2</v>
      </c>
      <c r="G485" s="195">
        <v>0</v>
      </c>
      <c r="H485" s="195">
        <v>0</v>
      </c>
      <c r="I485" s="195">
        <v>0</v>
      </c>
      <c r="J485" s="195">
        <f t="shared" si="326"/>
        <v>6426.0000000000009</v>
      </c>
      <c r="K485" s="195">
        <f t="shared" si="324"/>
        <v>6640.2000000000007</v>
      </c>
      <c r="L485" s="195">
        <f t="shared" si="325"/>
        <v>6426.0000000000009</v>
      </c>
      <c r="M485" s="195">
        <v>0</v>
      </c>
      <c r="N485" s="195">
        <v>0</v>
      </c>
      <c r="O485" s="195">
        <v>0</v>
      </c>
      <c r="P485" s="195">
        <v>0</v>
      </c>
      <c r="Q485" s="195">
        <v>0</v>
      </c>
      <c r="R485" s="197">
        <v>0</v>
      </c>
      <c r="S485" s="198">
        <f t="shared" si="327"/>
        <v>91</v>
      </c>
    </row>
    <row r="486" spans="1:19" s="7" customFormat="1">
      <c r="A486" s="128"/>
      <c r="B486" s="129">
        <v>8</v>
      </c>
      <c r="C486" s="30" t="s">
        <v>44</v>
      </c>
      <c r="D486" s="31">
        <v>72.540000000000006</v>
      </c>
      <c r="E486" s="33">
        <v>2</v>
      </c>
      <c r="F486" s="130">
        <f t="shared" si="323"/>
        <v>26694.720000000001</v>
      </c>
      <c r="G486" s="47">
        <v>0</v>
      </c>
      <c r="H486" s="47">
        <v>0</v>
      </c>
      <c r="I486" s="47">
        <v>0</v>
      </c>
      <c r="J486" s="47">
        <v>0</v>
      </c>
      <c r="K486" s="47">
        <v>0</v>
      </c>
      <c r="L486" s="47">
        <v>0</v>
      </c>
      <c r="M486" s="47">
        <f t="shared" ref="M486:M490" si="328">E486*D486*31</f>
        <v>4497.4800000000005</v>
      </c>
      <c r="N486" s="47">
        <f>E486*D486*31</f>
        <v>4497.4800000000005</v>
      </c>
      <c r="O486" s="47">
        <f>E486*D486*30</f>
        <v>4352.4000000000005</v>
      </c>
      <c r="P486" s="47">
        <f>E486*D486*31</f>
        <v>4497.4800000000005</v>
      </c>
      <c r="Q486" s="47">
        <f>E486*D486*30</f>
        <v>4352.4000000000005</v>
      </c>
      <c r="R486" s="132">
        <f>E486*D486*31</f>
        <v>4497.4800000000005</v>
      </c>
      <c r="S486" s="133">
        <f>31+31+30+31+30+31</f>
        <v>184</v>
      </c>
    </row>
    <row r="487" spans="1:19" s="7" customFormat="1">
      <c r="A487" s="128"/>
      <c r="B487" s="129">
        <v>9</v>
      </c>
      <c r="C487" s="30" t="s">
        <v>35</v>
      </c>
      <c r="D487" s="31">
        <v>71.400000000000006</v>
      </c>
      <c r="E487" s="33">
        <v>11</v>
      </c>
      <c r="F487" s="130">
        <f t="shared" si="323"/>
        <v>144513.60000000001</v>
      </c>
      <c r="G487" s="47">
        <v>0</v>
      </c>
      <c r="H487" s="47">
        <v>0</v>
      </c>
      <c r="I487" s="47">
        <v>0</v>
      </c>
      <c r="J487" s="47">
        <v>0</v>
      </c>
      <c r="K487" s="47">
        <v>0</v>
      </c>
      <c r="L487" s="47">
        <v>0</v>
      </c>
      <c r="M487" s="47">
        <f t="shared" si="328"/>
        <v>24347.4</v>
      </c>
      <c r="N487" s="47">
        <f t="shared" ref="N487:N490" si="329">E487*D487*31</f>
        <v>24347.4</v>
      </c>
      <c r="O487" s="47">
        <f t="shared" ref="O487:O490" si="330">E487*D487*30</f>
        <v>23562.000000000004</v>
      </c>
      <c r="P487" s="47">
        <f t="shared" ref="P487:P490" si="331">E487*D487*31</f>
        <v>24347.4</v>
      </c>
      <c r="Q487" s="47">
        <f t="shared" ref="Q487:Q490" si="332">E487*D487*30</f>
        <v>23562.000000000004</v>
      </c>
      <c r="R487" s="132">
        <f t="shared" ref="R487:R490" si="333">E487*D487*31</f>
        <v>24347.4</v>
      </c>
      <c r="S487" s="133">
        <f t="shared" ref="S487:S492" si="334">31+31+30+31+30+31</f>
        <v>184</v>
      </c>
    </row>
    <row r="488" spans="1:19" s="7" customFormat="1">
      <c r="A488" s="128"/>
      <c r="B488" s="129">
        <v>10</v>
      </c>
      <c r="C488" s="30" t="s">
        <v>38</v>
      </c>
      <c r="D488" s="31">
        <v>71.400000000000006</v>
      </c>
      <c r="E488" s="33">
        <v>2</v>
      </c>
      <c r="F488" s="130">
        <f t="shared" si="323"/>
        <v>26275.200000000001</v>
      </c>
      <c r="G488" s="47">
        <v>0</v>
      </c>
      <c r="H488" s="47">
        <v>0</v>
      </c>
      <c r="I488" s="47">
        <v>0</v>
      </c>
      <c r="J488" s="47">
        <v>0</v>
      </c>
      <c r="K488" s="47">
        <v>0</v>
      </c>
      <c r="L488" s="47">
        <v>0</v>
      </c>
      <c r="M488" s="47">
        <f t="shared" si="328"/>
        <v>4426.8</v>
      </c>
      <c r="N488" s="47">
        <f t="shared" si="329"/>
        <v>4426.8</v>
      </c>
      <c r="O488" s="47">
        <f t="shared" si="330"/>
        <v>4284</v>
      </c>
      <c r="P488" s="47">
        <f t="shared" si="331"/>
        <v>4426.8</v>
      </c>
      <c r="Q488" s="47">
        <f t="shared" si="332"/>
        <v>4284</v>
      </c>
      <c r="R488" s="132">
        <f t="shared" si="333"/>
        <v>4426.8</v>
      </c>
      <c r="S488" s="133">
        <f t="shared" si="334"/>
        <v>184</v>
      </c>
    </row>
    <row r="489" spans="1:19" s="7" customFormat="1">
      <c r="A489" s="128"/>
      <c r="B489" s="129">
        <v>11</v>
      </c>
      <c r="C489" s="30" t="s">
        <v>54</v>
      </c>
      <c r="D489" s="31">
        <v>71.400000000000006</v>
      </c>
      <c r="E489" s="33">
        <v>1</v>
      </c>
      <c r="F489" s="130">
        <f t="shared" si="323"/>
        <v>13137.6</v>
      </c>
      <c r="G489" s="47">
        <v>0</v>
      </c>
      <c r="H489" s="47">
        <v>0</v>
      </c>
      <c r="I489" s="47">
        <v>0</v>
      </c>
      <c r="J489" s="47">
        <v>0</v>
      </c>
      <c r="K489" s="47">
        <v>0</v>
      </c>
      <c r="L489" s="47">
        <v>0</v>
      </c>
      <c r="M489" s="47">
        <f t="shared" si="328"/>
        <v>2213.4</v>
      </c>
      <c r="N489" s="47">
        <f t="shared" si="329"/>
        <v>2213.4</v>
      </c>
      <c r="O489" s="47">
        <f t="shared" si="330"/>
        <v>2142</v>
      </c>
      <c r="P489" s="47">
        <f t="shared" si="331"/>
        <v>2213.4</v>
      </c>
      <c r="Q489" s="47">
        <f t="shared" si="332"/>
        <v>2142</v>
      </c>
      <c r="R489" s="132">
        <f t="shared" si="333"/>
        <v>2213.4</v>
      </c>
      <c r="S489" s="133">
        <f t="shared" si="334"/>
        <v>184</v>
      </c>
    </row>
    <row r="490" spans="1:19" s="7" customFormat="1">
      <c r="A490" s="128"/>
      <c r="B490" s="129">
        <v>12</v>
      </c>
      <c r="C490" s="30" t="s">
        <v>35</v>
      </c>
      <c r="D490" s="31">
        <v>71.400000000000006</v>
      </c>
      <c r="E490" s="33">
        <v>4</v>
      </c>
      <c r="F490" s="130">
        <f t="shared" si="323"/>
        <v>52550.400000000001</v>
      </c>
      <c r="G490" s="47">
        <v>0</v>
      </c>
      <c r="H490" s="47">
        <v>0</v>
      </c>
      <c r="I490" s="47">
        <v>0</v>
      </c>
      <c r="J490" s="47">
        <v>0</v>
      </c>
      <c r="K490" s="47">
        <v>0</v>
      </c>
      <c r="L490" s="47">
        <v>0</v>
      </c>
      <c r="M490" s="47">
        <f t="shared" si="328"/>
        <v>8853.6</v>
      </c>
      <c r="N490" s="47">
        <f t="shared" si="329"/>
        <v>8853.6</v>
      </c>
      <c r="O490" s="47">
        <f t="shared" si="330"/>
        <v>8568</v>
      </c>
      <c r="P490" s="47">
        <f t="shared" si="331"/>
        <v>8853.6</v>
      </c>
      <c r="Q490" s="47">
        <f t="shared" si="332"/>
        <v>8568</v>
      </c>
      <c r="R490" s="132">
        <f t="shared" si="333"/>
        <v>8853.6</v>
      </c>
      <c r="S490" s="133">
        <f t="shared" si="334"/>
        <v>184</v>
      </c>
    </row>
    <row r="491" spans="1:19" s="7" customFormat="1">
      <c r="A491" s="128"/>
      <c r="B491" s="129">
        <v>13</v>
      </c>
      <c r="C491" s="30" t="s">
        <v>36</v>
      </c>
      <c r="D491" s="31">
        <v>72.540000000000006</v>
      </c>
      <c r="E491" s="33">
        <v>1</v>
      </c>
      <c r="F491" s="130">
        <f t="shared" si="323"/>
        <v>0</v>
      </c>
      <c r="G491" s="47">
        <v>0</v>
      </c>
      <c r="H491" s="47">
        <v>0</v>
      </c>
      <c r="I491" s="47">
        <v>0</v>
      </c>
      <c r="J491" s="47">
        <v>0</v>
      </c>
      <c r="K491" s="47">
        <v>0</v>
      </c>
      <c r="L491" s="47">
        <v>0</v>
      </c>
      <c r="M491" s="47">
        <v>0</v>
      </c>
      <c r="N491" s="47">
        <v>0</v>
      </c>
      <c r="O491" s="47">
        <v>0</v>
      </c>
      <c r="P491" s="47">
        <v>0</v>
      </c>
      <c r="Q491" s="47">
        <v>0</v>
      </c>
      <c r="R491" s="132">
        <v>0</v>
      </c>
      <c r="S491" s="133">
        <v>0</v>
      </c>
    </row>
    <row r="492" spans="1:19" s="7" customFormat="1">
      <c r="A492" s="128"/>
      <c r="B492" s="409">
        <v>14</v>
      </c>
      <c r="C492" s="328" t="s">
        <v>54</v>
      </c>
      <c r="D492" s="46">
        <v>71.400000000000006</v>
      </c>
      <c r="E492" s="45">
        <v>3</v>
      </c>
      <c r="F492" s="410">
        <f t="shared" si="323"/>
        <v>39412.800000000003</v>
      </c>
      <c r="G492" s="385">
        <v>0</v>
      </c>
      <c r="H492" s="385">
        <v>0</v>
      </c>
      <c r="I492" s="385">
        <v>0</v>
      </c>
      <c r="J492" s="385">
        <v>0</v>
      </c>
      <c r="K492" s="385">
        <v>0</v>
      </c>
      <c r="L492" s="385">
        <v>0</v>
      </c>
      <c r="M492" s="385">
        <f t="shared" ref="M492" si="335">E492*D492*31</f>
        <v>6640.2000000000007</v>
      </c>
      <c r="N492" s="385">
        <f t="shared" ref="N492" si="336">E492*D492*31</f>
        <v>6640.2000000000007</v>
      </c>
      <c r="O492" s="385">
        <f t="shared" ref="O492" si="337">E492*D492*30</f>
        <v>6426.0000000000009</v>
      </c>
      <c r="P492" s="385">
        <f t="shared" ref="P492" si="338">E492*D492*31</f>
        <v>6640.2000000000007</v>
      </c>
      <c r="Q492" s="385">
        <f t="shared" ref="Q492" si="339">E492*D492*30</f>
        <v>6426.0000000000009</v>
      </c>
      <c r="R492" s="411">
        <f t="shared" ref="R492" si="340">E492*D492*31</f>
        <v>6640.2000000000007</v>
      </c>
      <c r="S492" s="133">
        <f t="shared" si="334"/>
        <v>184</v>
      </c>
    </row>
    <row r="493" spans="1:19" s="7" customFormat="1">
      <c r="A493" s="128"/>
      <c r="B493" s="409">
        <v>15</v>
      </c>
      <c r="C493" s="328" t="s">
        <v>55</v>
      </c>
      <c r="D493" s="46">
        <v>72.540000000000006</v>
      </c>
      <c r="E493" s="45">
        <v>1</v>
      </c>
      <c r="F493" s="410">
        <f t="shared" si="323"/>
        <v>5440.5000000000009</v>
      </c>
      <c r="G493" s="385">
        <v>0</v>
      </c>
      <c r="H493" s="385">
        <v>0</v>
      </c>
      <c r="I493" s="385">
        <v>0</v>
      </c>
      <c r="J493" s="385">
        <v>0</v>
      </c>
      <c r="K493" s="385">
        <v>0</v>
      </c>
      <c r="L493" s="385">
        <v>0</v>
      </c>
      <c r="M493" s="385">
        <v>0</v>
      </c>
      <c r="N493" s="385">
        <v>0</v>
      </c>
      <c r="O493" s="385">
        <f>E493*D493*75</f>
        <v>5440.5000000000009</v>
      </c>
      <c r="P493" s="385">
        <v>0</v>
      </c>
      <c r="Q493" s="385">
        <v>0</v>
      </c>
      <c r="R493" s="411">
        <v>0</v>
      </c>
      <c r="S493" s="133">
        <f>14+31+30</f>
        <v>75</v>
      </c>
    </row>
    <row r="494" spans="1:19" s="7" customFormat="1" ht="15.75" thickBot="1">
      <c r="A494" s="128"/>
      <c r="B494" s="409"/>
      <c r="C494" s="328" t="s">
        <v>125</v>
      </c>
      <c r="D494" s="46"/>
      <c r="E494" s="45"/>
      <c r="F494" s="410">
        <f>553322-SUM(F479:F493)</f>
        <v>89048.359999999986</v>
      </c>
      <c r="G494" s="385"/>
      <c r="H494" s="385"/>
      <c r="I494" s="385"/>
      <c r="J494" s="385"/>
      <c r="K494" s="385"/>
      <c r="L494" s="385"/>
      <c r="M494" s="385"/>
      <c r="N494" s="385"/>
      <c r="O494" s="385"/>
      <c r="P494" s="385"/>
      <c r="Q494" s="385"/>
      <c r="R494" s="411">
        <f>F494</f>
        <v>89048.359999999986</v>
      </c>
      <c r="S494" s="133"/>
    </row>
    <row r="495" spans="1:19" s="13" customFormat="1" ht="15.75" thickBot="1">
      <c r="A495" s="190"/>
      <c r="B495" s="391"/>
      <c r="C495" s="392" t="s">
        <v>90</v>
      </c>
      <c r="D495" s="393"/>
      <c r="E495" s="394">
        <f>+E509+E497</f>
        <v>318</v>
      </c>
      <c r="F495" s="395">
        <f t="shared" ref="F495:R495" si="341">F497+F509</f>
        <v>3129880</v>
      </c>
      <c r="G495" s="396">
        <f t="shared" si="341"/>
        <v>0</v>
      </c>
      <c r="H495" s="396">
        <f t="shared" si="341"/>
        <v>0</v>
      </c>
      <c r="I495" s="396">
        <f t="shared" si="341"/>
        <v>0</v>
      </c>
      <c r="J495" s="396">
        <f t="shared" si="341"/>
        <v>0</v>
      </c>
      <c r="K495" s="396">
        <f t="shared" si="341"/>
        <v>309233.39999999997</v>
      </c>
      <c r="L495" s="396">
        <f t="shared" si="341"/>
        <v>83109.600000000006</v>
      </c>
      <c r="M495" s="396">
        <f t="shared" si="341"/>
        <v>10995.600000000002</v>
      </c>
      <c r="N495" s="396">
        <f t="shared" si="341"/>
        <v>546872.86</v>
      </c>
      <c r="O495" s="396">
        <f t="shared" si="341"/>
        <v>524947.80000000005</v>
      </c>
      <c r="P495" s="396">
        <f t="shared" si="341"/>
        <v>91135.66</v>
      </c>
      <c r="Q495" s="396">
        <f t="shared" si="341"/>
        <v>88195.8</v>
      </c>
      <c r="R495" s="397">
        <f t="shared" si="341"/>
        <v>1475389.2799999996</v>
      </c>
      <c r="S495" s="332">
        <f>F495-SUM(G495:R495)</f>
        <v>0</v>
      </c>
    </row>
    <row r="496" spans="1:19">
      <c r="A496" s="59"/>
      <c r="B496" s="291"/>
      <c r="C496" s="743" t="s">
        <v>45</v>
      </c>
      <c r="D496" s="744"/>
      <c r="E496" s="412"/>
      <c r="F496" s="413"/>
      <c r="G496" s="414"/>
      <c r="H496" s="414"/>
      <c r="I496" s="414"/>
      <c r="J496" s="414"/>
      <c r="K496" s="414"/>
      <c r="L496" s="414"/>
      <c r="M496" s="414"/>
      <c r="N496" s="414"/>
      <c r="O496" s="414"/>
      <c r="P496" s="414"/>
      <c r="Q496" s="414"/>
      <c r="R496" s="415"/>
    </row>
    <row r="497" spans="1:19" ht="31.5" customHeight="1" thickBot="1">
      <c r="A497" s="59"/>
      <c r="B497" s="416"/>
      <c r="C497" s="751" t="s">
        <v>144</v>
      </c>
      <c r="D497" s="751"/>
      <c r="E497" s="417">
        <f>SUM(E500:E506)</f>
        <v>38</v>
      </c>
      <c r="F497" s="418">
        <f>SUM(F500:F507)</f>
        <v>417030</v>
      </c>
      <c r="G497" s="419">
        <f t="shared" ref="G497:Q497" si="342">SUM(G500:G506)</f>
        <v>0</v>
      </c>
      <c r="H497" s="419">
        <f t="shared" si="342"/>
        <v>0</v>
      </c>
      <c r="I497" s="419">
        <f t="shared" si="342"/>
        <v>0</v>
      </c>
      <c r="J497" s="419">
        <f t="shared" si="342"/>
        <v>0</v>
      </c>
      <c r="K497" s="419">
        <f t="shared" si="342"/>
        <v>0</v>
      </c>
      <c r="L497" s="419">
        <f t="shared" si="342"/>
        <v>0</v>
      </c>
      <c r="M497" s="419">
        <f t="shared" si="342"/>
        <v>0</v>
      </c>
      <c r="N497" s="419">
        <f t="shared" si="342"/>
        <v>84495.46</v>
      </c>
      <c r="O497" s="419">
        <f t="shared" si="342"/>
        <v>81769.8</v>
      </c>
      <c r="P497" s="419">
        <f t="shared" si="342"/>
        <v>84495.46</v>
      </c>
      <c r="Q497" s="419">
        <f t="shared" si="342"/>
        <v>81769.8</v>
      </c>
      <c r="R497" s="420">
        <f>SUM(R500:R507)</f>
        <v>84499.480000000025</v>
      </c>
      <c r="S497" s="332">
        <f>F497-SUM(G497:R497)</f>
        <v>0</v>
      </c>
    </row>
    <row r="498" spans="1:19">
      <c r="A498" s="59"/>
      <c r="B498" s="217"/>
      <c r="C498" s="421"/>
      <c r="D498" s="359"/>
      <c r="E498" s="422"/>
      <c r="F498" s="356">
        <f>SUM(F500:F506)</f>
        <v>417025.98</v>
      </c>
      <c r="G498" s="361"/>
      <c r="H498" s="361"/>
      <c r="I498" s="361"/>
      <c r="J498" s="361"/>
      <c r="K498" s="361"/>
      <c r="L498" s="361"/>
      <c r="M498" s="361"/>
      <c r="N498" s="361"/>
      <c r="O498" s="361"/>
      <c r="P498" s="361"/>
      <c r="Q498" s="361"/>
      <c r="R498" s="362"/>
    </row>
    <row r="499" spans="1:19">
      <c r="A499" s="59"/>
      <c r="B499" s="207"/>
      <c r="C499" s="26"/>
      <c r="D499" s="423"/>
      <c r="E499" s="123" t="s">
        <v>124</v>
      </c>
      <c r="F499" s="424">
        <v>0</v>
      </c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6"/>
    </row>
    <row r="500" spans="1:19" s="7" customFormat="1">
      <c r="A500" s="128"/>
      <c r="B500" s="129">
        <v>1</v>
      </c>
      <c r="C500" s="30" t="s">
        <v>44</v>
      </c>
      <c r="D500" s="31">
        <v>72.540000000000006</v>
      </c>
      <c r="E500" s="33">
        <v>3</v>
      </c>
      <c r="F500" s="130">
        <f t="shared" ref="F500:F506" si="343">+E500*S500*D500</f>
        <v>33295.86</v>
      </c>
      <c r="G500" s="47">
        <v>0</v>
      </c>
      <c r="H500" s="47">
        <v>0</v>
      </c>
      <c r="I500" s="47">
        <v>0</v>
      </c>
      <c r="J500" s="47">
        <v>0</v>
      </c>
      <c r="K500" s="47">
        <v>0</v>
      </c>
      <c r="L500" s="47">
        <v>0</v>
      </c>
      <c r="M500" s="47">
        <v>0</v>
      </c>
      <c r="N500" s="47">
        <f t="shared" ref="N500:N506" si="344">+D500*E500*31</f>
        <v>6746.22</v>
      </c>
      <c r="O500" s="47">
        <f t="shared" ref="O500:O506" si="345">+D500*E500*30</f>
        <v>6528.6</v>
      </c>
      <c r="P500" s="47">
        <f t="shared" ref="P500:P506" si="346">+D500*E500*31</f>
        <v>6746.22</v>
      </c>
      <c r="Q500" s="47">
        <f t="shared" ref="Q500:Q506" si="347">+D500*E500*30</f>
        <v>6528.6</v>
      </c>
      <c r="R500" s="132">
        <f t="shared" ref="R500:R506" si="348">+D500*E500*31</f>
        <v>6746.22</v>
      </c>
      <c r="S500" s="133">
        <f t="shared" ref="S500:S506" si="349">31+30+31+30+31</f>
        <v>153</v>
      </c>
    </row>
    <row r="501" spans="1:19" s="7" customFormat="1">
      <c r="A501" s="128"/>
      <c r="B501" s="129">
        <v>2</v>
      </c>
      <c r="C501" s="30" t="s">
        <v>72</v>
      </c>
      <c r="D501" s="31">
        <v>71.400000000000006</v>
      </c>
      <c r="E501" s="33">
        <v>7</v>
      </c>
      <c r="F501" s="130">
        <f t="shared" si="343"/>
        <v>76469.400000000009</v>
      </c>
      <c r="G501" s="47">
        <v>0</v>
      </c>
      <c r="H501" s="47">
        <v>0</v>
      </c>
      <c r="I501" s="47">
        <v>0</v>
      </c>
      <c r="J501" s="47">
        <v>0</v>
      </c>
      <c r="K501" s="47">
        <v>0</v>
      </c>
      <c r="L501" s="47">
        <v>0</v>
      </c>
      <c r="M501" s="47">
        <v>0</v>
      </c>
      <c r="N501" s="47">
        <f t="shared" si="344"/>
        <v>15493.800000000003</v>
      </c>
      <c r="O501" s="47">
        <f t="shared" si="345"/>
        <v>14994.000000000002</v>
      </c>
      <c r="P501" s="47">
        <f t="shared" si="346"/>
        <v>15493.800000000003</v>
      </c>
      <c r="Q501" s="47">
        <f t="shared" si="347"/>
        <v>14994.000000000002</v>
      </c>
      <c r="R501" s="132">
        <f t="shared" si="348"/>
        <v>15493.800000000003</v>
      </c>
      <c r="S501" s="133">
        <f t="shared" si="349"/>
        <v>153</v>
      </c>
    </row>
    <row r="502" spans="1:19" s="7" customFormat="1">
      <c r="A502" s="128"/>
      <c r="B502" s="129">
        <v>3</v>
      </c>
      <c r="C502" s="30" t="s">
        <v>35</v>
      </c>
      <c r="D502" s="31">
        <v>71.400000000000006</v>
      </c>
      <c r="E502" s="33">
        <v>3</v>
      </c>
      <c r="F502" s="130">
        <f t="shared" si="343"/>
        <v>32772.600000000006</v>
      </c>
      <c r="G502" s="47">
        <v>0</v>
      </c>
      <c r="H502" s="47">
        <v>0</v>
      </c>
      <c r="I502" s="47">
        <v>0</v>
      </c>
      <c r="J502" s="47">
        <v>0</v>
      </c>
      <c r="K502" s="47">
        <v>0</v>
      </c>
      <c r="L502" s="47">
        <v>0</v>
      </c>
      <c r="M502" s="47">
        <v>0</v>
      </c>
      <c r="N502" s="47">
        <f t="shared" si="344"/>
        <v>6640.2000000000007</v>
      </c>
      <c r="O502" s="47">
        <f t="shared" si="345"/>
        <v>6426.0000000000009</v>
      </c>
      <c r="P502" s="47">
        <f t="shared" si="346"/>
        <v>6640.2000000000007</v>
      </c>
      <c r="Q502" s="47">
        <f t="shared" si="347"/>
        <v>6426.0000000000009</v>
      </c>
      <c r="R502" s="132">
        <f t="shared" si="348"/>
        <v>6640.2000000000007</v>
      </c>
      <c r="S502" s="133">
        <f t="shared" si="349"/>
        <v>153</v>
      </c>
    </row>
    <row r="503" spans="1:19" s="7" customFormat="1">
      <c r="A503" s="128"/>
      <c r="B503" s="129">
        <v>4</v>
      </c>
      <c r="C503" s="30" t="s">
        <v>67</v>
      </c>
      <c r="D503" s="31">
        <v>73.59</v>
      </c>
      <c r="E503" s="33">
        <v>1</v>
      </c>
      <c r="F503" s="130">
        <f t="shared" si="343"/>
        <v>11259.27</v>
      </c>
      <c r="G503" s="47">
        <v>0</v>
      </c>
      <c r="H503" s="47">
        <v>0</v>
      </c>
      <c r="I503" s="47">
        <v>0</v>
      </c>
      <c r="J503" s="47">
        <v>0</v>
      </c>
      <c r="K503" s="47">
        <v>0</v>
      </c>
      <c r="L503" s="47">
        <v>0</v>
      </c>
      <c r="M503" s="47">
        <v>0</v>
      </c>
      <c r="N503" s="47">
        <f t="shared" si="344"/>
        <v>2281.29</v>
      </c>
      <c r="O503" s="47">
        <f t="shared" si="345"/>
        <v>2207.7000000000003</v>
      </c>
      <c r="P503" s="47">
        <f t="shared" si="346"/>
        <v>2281.29</v>
      </c>
      <c r="Q503" s="47">
        <f t="shared" si="347"/>
        <v>2207.7000000000003</v>
      </c>
      <c r="R503" s="132">
        <f t="shared" si="348"/>
        <v>2281.29</v>
      </c>
      <c r="S503" s="133">
        <f t="shared" si="349"/>
        <v>153</v>
      </c>
    </row>
    <row r="504" spans="1:19" s="7" customFormat="1">
      <c r="A504" s="128"/>
      <c r="B504" s="129">
        <v>5</v>
      </c>
      <c r="C504" s="30" t="s">
        <v>39</v>
      </c>
      <c r="D504" s="31">
        <v>78.25</v>
      </c>
      <c r="E504" s="33">
        <v>1</v>
      </c>
      <c r="F504" s="130">
        <f t="shared" si="343"/>
        <v>11972.25</v>
      </c>
      <c r="G504" s="47">
        <v>0</v>
      </c>
      <c r="H504" s="47">
        <v>0</v>
      </c>
      <c r="I504" s="47">
        <v>0</v>
      </c>
      <c r="J504" s="47">
        <v>0</v>
      </c>
      <c r="K504" s="47">
        <v>0</v>
      </c>
      <c r="L504" s="47">
        <v>0</v>
      </c>
      <c r="M504" s="47">
        <v>0</v>
      </c>
      <c r="N504" s="47">
        <f t="shared" si="344"/>
        <v>2425.75</v>
      </c>
      <c r="O504" s="47">
        <f t="shared" si="345"/>
        <v>2347.5</v>
      </c>
      <c r="P504" s="47">
        <f t="shared" si="346"/>
        <v>2425.75</v>
      </c>
      <c r="Q504" s="47">
        <f t="shared" si="347"/>
        <v>2347.5</v>
      </c>
      <c r="R504" s="132">
        <f t="shared" si="348"/>
        <v>2425.75</v>
      </c>
      <c r="S504" s="133">
        <f t="shared" si="349"/>
        <v>153</v>
      </c>
    </row>
    <row r="505" spans="1:19" s="7" customFormat="1">
      <c r="A505" s="128"/>
      <c r="B505" s="129">
        <v>6</v>
      </c>
      <c r="C505" s="30" t="s">
        <v>32</v>
      </c>
      <c r="D505" s="31">
        <v>71.400000000000006</v>
      </c>
      <c r="E505" s="33">
        <v>8</v>
      </c>
      <c r="F505" s="130">
        <f t="shared" si="343"/>
        <v>87393.600000000006</v>
      </c>
      <c r="G505" s="47">
        <v>0</v>
      </c>
      <c r="H505" s="47">
        <v>0</v>
      </c>
      <c r="I505" s="47">
        <v>0</v>
      </c>
      <c r="J505" s="47">
        <v>0</v>
      </c>
      <c r="K505" s="47">
        <v>0</v>
      </c>
      <c r="L505" s="47">
        <v>0</v>
      </c>
      <c r="M505" s="47">
        <v>0</v>
      </c>
      <c r="N505" s="47">
        <f t="shared" si="344"/>
        <v>17707.2</v>
      </c>
      <c r="O505" s="47">
        <f t="shared" si="345"/>
        <v>17136</v>
      </c>
      <c r="P505" s="47">
        <f t="shared" si="346"/>
        <v>17707.2</v>
      </c>
      <c r="Q505" s="47">
        <f t="shared" si="347"/>
        <v>17136</v>
      </c>
      <c r="R505" s="132">
        <f t="shared" si="348"/>
        <v>17707.2</v>
      </c>
      <c r="S505" s="133">
        <f t="shared" si="349"/>
        <v>153</v>
      </c>
    </row>
    <row r="506" spans="1:19" s="7" customFormat="1">
      <c r="A506" s="128"/>
      <c r="B506" s="129">
        <v>7</v>
      </c>
      <c r="C506" s="30" t="s">
        <v>54</v>
      </c>
      <c r="D506" s="31">
        <v>71.400000000000006</v>
      </c>
      <c r="E506" s="33">
        <v>15</v>
      </c>
      <c r="F506" s="130">
        <f t="shared" si="343"/>
        <v>163863</v>
      </c>
      <c r="G506" s="47">
        <v>0</v>
      </c>
      <c r="H506" s="47">
        <v>0</v>
      </c>
      <c r="I506" s="47">
        <v>0</v>
      </c>
      <c r="J506" s="47">
        <v>0</v>
      </c>
      <c r="K506" s="47">
        <v>0</v>
      </c>
      <c r="L506" s="47">
        <v>0</v>
      </c>
      <c r="M506" s="47">
        <v>0</v>
      </c>
      <c r="N506" s="47">
        <f t="shared" si="344"/>
        <v>33201</v>
      </c>
      <c r="O506" s="47">
        <f t="shared" si="345"/>
        <v>32130</v>
      </c>
      <c r="P506" s="47">
        <f t="shared" si="346"/>
        <v>33201</v>
      </c>
      <c r="Q506" s="47">
        <f t="shared" si="347"/>
        <v>32130</v>
      </c>
      <c r="R506" s="132">
        <f t="shared" si="348"/>
        <v>33201</v>
      </c>
      <c r="S506" s="133">
        <f t="shared" si="349"/>
        <v>153</v>
      </c>
    </row>
    <row r="507" spans="1:19" ht="15.75" thickBot="1">
      <c r="A507" s="59"/>
      <c r="B507" s="199"/>
      <c r="C507" s="333" t="s">
        <v>125</v>
      </c>
      <c r="D507" s="200"/>
      <c r="E507" s="201"/>
      <c r="F507" s="202">
        <f xml:space="preserve"> 994870-SUM(F500:F506)-577840</f>
        <v>4.0200000000186265</v>
      </c>
      <c r="G507" s="203"/>
      <c r="H507" s="204"/>
      <c r="I507" s="205"/>
      <c r="J507" s="205"/>
      <c r="K507" s="205"/>
      <c r="L507" s="205"/>
      <c r="M507" s="205"/>
      <c r="N507" s="205"/>
      <c r="O507" s="205"/>
      <c r="P507" s="205"/>
      <c r="Q507" s="205"/>
      <c r="R507" s="211">
        <f>F507</f>
        <v>4.0200000000186265</v>
      </c>
    </row>
    <row r="508" spans="1:19" ht="26.25">
      <c r="A508" s="59"/>
      <c r="B508" s="354"/>
      <c r="C508" s="425" t="s">
        <v>93</v>
      </c>
      <c r="D508" s="334"/>
      <c r="E508" s="334"/>
      <c r="F508" s="335"/>
      <c r="G508" s="336"/>
      <c r="H508" s="426"/>
      <c r="I508" s="336"/>
      <c r="J508" s="336"/>
      <c r="K508" s="336"/>
      <c r="L508" s="336"/>
      <c r="M508" s="336"/>
      <c r="N508" s="336"/>
      <c r="O508" s="336"/>
      <c r="P508" s="336"/>
      <c r="Q508" s="336"/>
      <c r="R508" s="338"/>
    </row>
    <row r="509" spans="1:19" ht="30" customHeight="1">
      <c r="A509" s="59"/>
      <c r="B509" s="427"/>
      <c r="C509" s="742" t="s">
        <v>145</v>
      </c>
      <c r="D509" s="742"/>
      <c r="E509" s="428">
        <f>SUM(E512:E533)</f>
        <v>280</v>
      </c>
      <c r="F509" s="429">
        <f>SUM(F512:F534)</f>
        <v>2712850</v>
      </c>
      <c r="G509" s="430">
        <f t="shared" ref="G509:Q509" si="350">SUM(G512:G533)</f>
        <v>0</v>
      </c>
      <c r="H509" s="430">
        <f t="shared" si="350"/>
        <v>0</v>
      </c>
      <c r="I509" s="430">
        <f t="shared" si="350"/>
        <v>0</v>
      </c>
      <c r="J509" s="430">
        <f t="shared" si="350"/>
        <v>0</v>
      </c>
      <c r="K509" s="430">
        <f t="shared" si="350"/>
        <v>309233.39999999997</v>
      </c>
      <c r="L509" s="430">
        <f t="shared" si="350"/>
        <v>83109.600000000006</v>
      </c>
      <c r="M509" s="430">
        <f t="shared" si="350"/>
        <v>10995.600000000002</v>
      </c>
      <c r="N509" s="430">
        <f t="shared" si="350"/>
        <v>462377.4</v>
      </c>
      <c r="O509" s="430">
        <f t="shared" si="350"/>
        <v>443178</v>
      </c>
      <c r="P509" s="430">
        <f t="shared" si="350"/>
        <v>6640.2000000000007</v>
      </c>
      <c r="Q509" s="430">
        <f t="shared" si="350"/>
        <v>6426</v>
      </c>
      <c r="R509" s="431">
        <f>SUM(R512:R534)</f>
        <v>1390889.7999999996</v>
      </c>
      <c r="S509" s="22">
        <f>F509-SUM(G509:R509)</f>
        <v>0</v>
      </c>
    </row>
    <row r="510" spans="1:19">
      <c r="A510" s="59"/>
      <c r="B510" s="61"/>
      <c r="C510" s="432"/>
      <c r="D510" s="432"/>
      <c r="E510" s="402"/>
      <c r="F510" s="356">
        <f>SUM(F512:F533)</f>
        <v>1328600.4000000001</v>
      </c>
      <c r="G510" s="357"/>
      <c r="H510" s="357"/>
      <c r="I510" s="357"/>
      <c r="J510" s="357"/>
      <c r="K510" s="357"/>
      <c r="L510" s="357"/>
      <c r="M510" s="357"/>
      <c r="N510" s="357"/>
      <c r="O510" s="357"/>
      <c r="P510" s="357"/>
      <c r="Q510" s="357"/>
      <c r="R510" s="358"/>
    </row>
    <row r="511" spans="1:19">
      <c r="A511" s="59"/>
      <c r="B511" s="207"/>
      <c r="C511" s="345"/>
      <c r="D511" s="345"/>
      <c r="E511" s="234" t="s">
        <v>124</v>
      </c>
      <c r="F511" s="226">
        <v>0</v>
      </c>
      <c r="G511" s="348"/>
      <c r="H511" s="348"/>
      <c r="I511" s="348"/>
      <c r="J511" s="348"/>
      <c r="K511" s="348"/>
      <c r="L511" s="348"/>
      <c r="M511" s="247"/>
      <c r="N511" s="348"/>
      <c r="O511" s="348"/>
      <c r="P511" s="348"/>
      <c r="Q511" s="348"/>
      <c r="R511" s="351"/>
    </row>
    <row r="512" spans="1:19">
      <c r="A512" s="59"/>
      <c r="B512" s="134">
        <v>1</v>
      </c>
      <c r="C512" s="192" t="s">
        <v>32</v>
      </c>
      <c r="D512" s="193">
        <v>71.400000000000006</v>
      </c>
      <c r="E512" s="32">
        <v>69</v>
      </c>
      <c r="F512" s="137">
        <f t="shared" ref="F512:F516" si="351">+E512*S512*D512</f>
        <v>379348.2</v>
      </c>
      <c r="G512" s="195">
        <v>0</v>
      </c>
      <c r="H512" s="196">
        <v>0</v>
      </c>
      <c r="I512" s="195">
        <v>0</v>
      </c>
      <c r="J512" s="195">
        <v>0</v>
      </c>
      <c r="K512" s="195">
        <f>+D512*E512*31+D512*E512*30</f>
        <v>300522.59999999998</v>
      </c>
      <c r="L512" s="195">
        <f>+D512*E512*16</f>
        <v>78825.600000000006</v>
      </c>
      <c r="M512" s="195">
        <v>0</v>
      </c>
      <c r="N512" s="195">
        <v>0</v>
      </c>
      <c r="O512" s="195">
        <v>0</v>
      </c>
      <c r="P512" s="195">
        <v>0</v>
      </c>
      <c r="Q512" s="195">
        <v>0</v>
      </c>
      <c r="R512" s="197">
        <v>0</v>
      </c>
      <c r="S512" s="141">
        <f>30+31+16</f>
        <v>77</v>
      </c>
    </row>
    <row r="513" spans="1:19">
      <c r="A513" s="59"/>
      <c r="B513" s="134">
        <v>1</v>
      </c>
      <c r="C513" s="192" t="s">
        <v>32</v>
      </c>
      <c r="D513" s="193">
        <v>71.400000000000006</v>
      </c>
      <c r="E513" s="32">
        <v>2</v>
      </c>
      <c r="F513" s="137">
        <f t="shared" si="351"/>
        <v>12994.800000000001</v>
      </c>
      <c r="G513" s="195">
        <v>0</v>
      </c>
      <c r="H513" s="196">
        <v>0</v>
      </c>
      <c r="I513" s="195">
        <v>0</v>
      </c>
      <c r="J513" s="195">
        <v>0</v>
      </c>
      <c r="K513" s="195">
        <f>+D513*E513*31+D513*E513*30</f>
        <v>8710.7999999999993</v>
      </c>
      <c r="L513" s="195">
        <f>+D513*E513*30</f>
        <v>4284</v>
      </c>
      <c r="M513" s="195">
        <v>0</v>
      </c>
      <c r="N513" s="195">
        <v>0</v>
      </c>
      <c r="O513" s="195">
        <v>0</v>
      </c>
      <c r="P513" s="195">
        <v>0</v>
      </c>
      <c r="Q513" s="195">
        <v>0</v>
      </c>
      <c r="R513" s="197">
        <v>0</v>
      </c>
      <c r="S513" s="141">
        <f>30+31+30</f>
        <v>91</v>
      </c>
    </row>
    <row r="514" spans="1:19">
      <c r="A514" s="59"/>
      <c r="B514" s="134">
        <v>2</v>
      </c>
      <c r="C514" s="192" t="s">
        <v>32</v>
      </c>
      <c r="D514" s="193">
        <v>71.400000000000006</v>
      </c>
      <c r="E514" s="32">
        <v>1</v>
      </c>
      <c r="F514" s="137">
        <f t="shared" si="351"/>
        <v>0</v>
      </c>
      <c r="G514" s="195">
        <v>0</v>
      </c>
      <c r="H514" s="196">
        <v>0</v>
      </c>
      <c r="I514" s="195">
        <v>0</v>
      </c>
      <c r="J514" s="195">
        <v>0</v>
      </c>
      <c r="K514" s="195">
        <v>0</v>
      </c>
      <c r="L514" s="195">
        <v>0</v>
      </c>
      <c r="M514" s="195">
        <v>0</v>
      </c>
      <c r="N514" s="195">
        <v>0</v>
      </c>
      <c r="O514" s="195">
        <v>0</v>
      </c>
      <c r="P514" s="195">
        <v>0</v>
      </c>
      <c r="Q514" s="195">
        <v>0</v>
      </c>
      <c r="R514" s="197">
        <v>0</v>
      </c>
      <c r="S514" s="141">
        <v>0</v>
      </c>
    </row>
    <row r="515" spans="1:19" s="7" customFormat="1">
      <c r="A515" s="128"/>
      <c r="B515" s="129">
        <v>3</v>
      </c>
      <c r="C515" s="30" t="s">
        <v>82</v>
      </c>
      <c r="D515" s="31">
        <v>71.400000000000006</v>
      </c>
      <c r="E515" s="33">
        <v>1</v>
      </c>
      <c r="F515" s="130">
        <f t="shared" si="351"/>
        <v>6568.8</v>
      </c>
      <c r="G515" s="47">
        <v>0</v>
      </c>
      <c r="H515" s="131">
        <v>0</v>
      </c>
      <c r="I515" s="47">
        <v>0</v>
      </c>
      <c r="J515" s="47">
        <v>0</v>
      </c>
      <c r="K515" s="47">
        <v>0</v>
      </c>
      <c r="L515" s="47">
        <v>0</v>
      </c>
      <c r="M515" s="47">
        <f>+D515*E515*61</f>
        <v>4355.4000000000005</v>
      </c>
      <c r="N515" s="47">
        <f>+D515*E515*31</f>
        <v>2213.4</v>
      </c>
      <c r="O515" s="47">
        <v>0</v>
      </c>
      <c r="P515" s="47">
        <v>0</v>
      </c>
      <c r="Q515" s="47">
        <v>0</v>
      </c>
      <c r="R515" s="132">
        <v>0</v>
      </c>
      <c r="S515" s="133">
        <f>30+31+31</f>
        <v>92</v>
      </c>
    </row>
    <row r="516" spans="1:19" s="7" customFormat="1">
      <c r="A516" s="128"/>
      <c r="B516" s="129">
        <v>4</v>
      </c>
      <c r="C516" s="30" t="s">
        <v>82</v>
      </c>
      <c r="D516" s="31">
        <v>71.400000000000006</v>
      </c>
      <c r="E516" s="33">
        <v>1</v>
      </c>
      <c r="F516" s="130">
        <f t="shared" si="351"/>
        <v>13137.6</v>
      </c>
      <c r="G516" s="47">
        <v>0</v>
      </c>
      <c r="H516" s="47">
        <v>0</v>
      </c>
      <c r="I516" s="47">
        <v>0</v>
      </c>
      <c r="J516" s="47">
        <v>0</v>
      </c>
      <c r="K516" s="47">
        <v>0</v>
      </c>
      <c r="L516" s="47">
        <v>0</v>
      </c>
      <c r="M516" s="47">
        <f t="shared" ref="M516:M517" si="352">E516*D516*31</f>
        <v>2213.4</v>
      </c>
      <c r="N516" s="47">
        <f t="shared" ref="N516:N517" si="353">E516*D516*31</f>
        <v>2213.4</v>
      </c>
      <c r="O516" s="47">
        <f t="shared" ref="O516:O517" si="354">E516*D516*30</f>
        <v>2142</v>
      </c>
      <c r="P516" s="47">
        <f t="shared" ref="P516:P517" si="355">E516*D516*31</f>
        <v>2213.4</v>
      </c>
      <c r="Q516" s="47">
        <f t="shared" ref="Q516:Q517" si="356">E516*D516*30</f>
        <v>2142</v>
      </c>
      <c r="R516" s="132">
        <f t="shared" ref="R516:R517" si="357">E516*D516*31</f>
        <v>2213.4</v>
      </c>
      <c r="S516" s="133">
        <f>31+31+30+31+30+31</f>
        <v>184</v>
      </c>
    </row>
    <row r="517" spans="1:19" s="7" customFormat="1">
      <c r="A517" s="128"/>
      <c r="B517" s="129">
        <v>5</v>
      </c>
      <c r="C517" s="30" t="s">
        <v>54</v>
      </c>
      <c r="D517" s="31">
        <v>71.400000000000006</v>
      </c>
      <c r="E517" s="33">
        <v>2</v>
      </c>
      <c r="F517" s="130">
        <f>+E517*S517*D517</f>
        <v>26275.200000000001</v>
      </c>
      <c r="G517" s="47">
        <v>0</v>
      </c>
      <c r="H517" s="47">
        <v>0</v>
      </c>
      <c r="I517" s="47">
        <v>0</v>
      </c>
      <c r="J517" s="47">
        <v>0</v>
      </c>
      <c r="K517" s="47">
        <v>0</v>
      </c>
      <c r="L517" s="47">
        <v>0</v>
      </c>
      <c r="M517" s="47">
        <f t="shared" si="352"/>
        <v>4426.8</v>
      </c>
      <c r="N517" s="47">
        <f t="shared" si="353"/>
        <v>4426.8</v>
      </c>
      <c r="O517" s="47">
        <f t="shared" si="354"/>
        <v>4284</v>
      </c>
      <c r="P517" s="47">
        <f t="shared" si="355"/>
        <v>4426.8</v>
      </c>
      <c r="Q517" s="47">
        <f t="shared" si="356"/>
        <v>4284</v>
      </c>
      <c r="R517" s="132">
        <f t="shared" si="357"/>
        <v>4426.8</v>
      </c>
      <c r="S517" s="133">
        <f t="shared" ref="S517" si="358">31+31+30+31+30+31</f>
        <v>184</v>
      </c>
    </row>
    <row r="518" spans="1:19" s="7" customFormat="1">
      <c r="A518" s="128"/>
      <c r="B518" s="233"/>
      <c r="C518" s="368" t="s">
        <v>44</v>
      </c>
      <c r="D518" s="275">
        <v>72.540000000000006</v>
      </c>
      <c r="E518" s="34">
        <v>16</v>
      </c>
      <c r="F518" s="277">
        <f t="shared" ref="F518:F533" si="359">+E518*S518*D518</f>
        <v>70799.040000000008</v>
      </c>
      <c r="G518" s="47">
        <v>0</v>
      </c>
      <c r="H518" s="47">
        <v>0</v>
      </c>
      <c r="I518" s="47">
        <v>0</v>
      </c>
      <c r="J518" s="47">
        <v>0</v>
      </c>
      <c r="K518" s="47">
        <v>0</v>
      </c>
      <c r="L518" s="47">
        <v>0</v>
      </c>
      <c r="M518" s="47">
        <v>0</v>
      </c>
      <c r="N518" s="47">
        <f t="shared" ref="N518:N529" si="360">+D518*E518*31</f>
        <v>35979.840000000004</v>
      </c>
      <c r="O518" s="47">
        <f t="shared" ref="O518:O529" si="361">+D518*E518*30</f>
        <v>34819.200000000004</v>
      </c>
      <c r="P518" s="47">
        <v>0</v>
      </c>
      <c r="Q518" s="47">
        <v>0</v>
      </c>
      <c r="R518" s="132">
        <v>0</v>
      </c>
      <c r="S518" s="133">
        <f>31+30</f>
        <v>61</v>
      </c>
    </row>
    <row r="519" spans="1:19" s="7" customFormat="1">
      <c r="A519" s="128"/>
      <c r="B519" s="129"/>
      <c r="C519" s="369" t="s">
        <v>72</v>
      </c>
      <c r="D519" s="31">
        <v>71.400000000000006</v>
      </c>
      <c r="E519" s="33">
        <v>15</v>
      </c>
      <c r="F519" s="130">
        <f t="shared" si="359"/>
        <v>65331.000000000007</v>
      </c>
      <c r="G519" s="47">
        <v>0</v>
      </c>
      <c r="H519" s="47">
        <v>0</v>
      </c>
      <c r="I519" s="47">
        <v>0</v>
      </c>
      <c r="J519" s="47">
        <v>0</v>
      </c>
      <c r="K519" s="47">
        <v>0</v>
      </c>
      <c r="L519" s="47">
        <v>0</v>
      </c>
      <c r="M519" s="47">
        <v>0</v>
      </c>
      <c r="N519" s="47">
        <f t="shared" si="360"/>
        <v>33201</v>
      </c>
      <c r="O519" s="47">
        <f t="shared" si="361"/>
        <v>32130</v>
      </c>
      <c r="P519" s="47">
        <v>0</v>
      </c>
      <c r="Q519" s="47">
        <v>0</v>
      </c>
      <c r="R519" s="132">
        <v>0</v>
      </c>
      <c r="S519" s="133">
        <f t="shared" ref="S519:S533" si="362">31+30</f>
        <v>61</v>
      </c>
    </row>
    <row r="520" spans="1:19" s="7" customFormat="1">
      <c r="A520" s="128"/>
      <c r="B520" s="233"/>
      <c r="C520" s="370" t="s">
        <v>48</v>
      </c>
      <c r="D520" s="31">
        <v>71.400000000000006</v>
      </c>
      <c r="E520" s="33">
        <v>1</v>
      </c>
      <c r="F520" s="130">
        <f t="shared" si="359"/>
        <v>4355.4000000000005</v>
      </c>
      <c r="G520" s="47">
        <v>0</v>
      </c>
      <c r="H520" s="47">
        <v>0</v>
      </c>
      <c r="I520" s="47">
        <v>0</v>
      </c>
      <c r="J520" s="47">
        <v>0</v>
      </c>
      <c r="K520" s="47">
        <v>0</v>
      </c>
      <c r="L520" s="47">
        <v>0</v>
      </c>
      <c r="M520" s="47">
        <v>0</v>
      </c>
      <c r="N520" s="47">
        <f t="shared" si="360"/>
        <v>2213.4</v>
      </c>
      <c r="O520" s="47">
        <f t="shared" si="361"/>
        <v>2142</v>
      </c>
      <c r="P520" s="47">
        <v>0</v>
      </c>
      <c r="Q520" s="47">
        <v>0</v>
      </c>
      <c r="R520" s="132">
        <v>0</v>
      </c>
      <c r="S520" s="133">
        <f t="shared" si="362"/>
        <v>61</v>
      </c>
    </row>
    <row r="521" spans="1:19" s="7" customFormat="1">
      <c r="A521" s="128"/>
      <c r="B521" s="233"/>
      <c r="C521" s="370" t="s">
        <v>91</v>
      </c>
      <c r="D521" s="31">
        <v>71.400000000000006</v>
      </c>
      <c r="E521" s="33">
        <v>2</v>
      </c>
      <c r="F521" s="130">
        <f t="shared" si="359"/>
        <v>8710.8000000000011</v>
      </c>
      <c r="G521" s="47">
        <v>0</v>
      </c>
      <c r="H521" s="47">
        <v>0</v>
      </c>
      <c r="I521" s="47">
        <v>0</v>
      </c>
      <c r="J521" s="47">
        <v>0</v>
      </c>
      <c r="K521" s="47">
        <v>0</v>
      </c>
      <c r="L521" s="47">
        <v>0</v>
      </c>
      <c r="M521" s="47">
        <v>0</v>
      </c>
      <c r="N521" s="47">
        <f t="shared" si="360"/>
        <v>4426.8</v>
      </c>
      <c r="O521" s="47">
        <f t="shared" si="361"/>
        <v>4284</v>
      </c>
      <c r="P521" s="47">
        <v>0</v>
      </c>
      <c r="Q521" s="47">
        <v>0</v>
      </c>
      <c r="R521" s="132">
        <v>0</v>
      </c>
      <c r="S521" s="133">
        <f t="shared" si="362"/>
        <v>61</v>
      </c>
    </row>
    <row r="522" spans="1:19" s="7" customFormat="1" ht="15.75" customHeight="1">
      <c r="A522" s="128"/>
      <c r="B522" s="129"/>
      <c r="C522" s="369" t="s">
        <v>92</v>
      </c>
      <c r="D522" s="31">
        <v>75.64</v>
      </c>
      <c r="E522" s="35">
        <v>1</v>
      </c>
      <c r="F522" s="130">
        <f t="shared" si="359"/>
        <v>4614.04</v>
      </c>
      <c r="G522" s="47">
        <v>0</v>
      </c>
      <c r="H522" s="47">
        <v>0</v>
      </c>
      <c r="I522" s="47">
        <v>0</v>
      </c>
      <c r="J522" s="47">
        <v>0</v>
      </c>
      <c r="K522" s="47">
        <v>0</v>
      </c>
      <c r="L522" s="47">
        <v>0</v>
      </c>
      <c r="M522" s="47">
        <v>0</v>
      </c>
      <c r="N522" s="47">
        <f t="shared" si="360"/>
        <v>2344.84</v>
      </c>
      <c r="O522" s="47">
        <f t="shared" si="361"/>
        <v>2269.1999999999998</v>
      </c>
      <c r="P522" s="47">
        <v>0</v>
      </c>
      <c r="Q522" s="47">
        <v>0</v>
      </c>
      <c r="R522" s="132">
        <v>0</v>
      </c>
      <c r="S522" s="133">
        <f t="shared" si="362"/>
        <v>61</v>
      </c>
    </row>
    <row r="523" spans="1:19" s="7" customFormat="1">
      <c r="A523" s="128"/>
      <c r="B523" s="233"/>
      <c r="C523" s="369" t="s">
        <v>35</v>
      </c>
      <c r="D523" s="31">
        <v>71.400000000000006</v>
      </c>
      <c r="E523" s="33">
        <v>16</v>
      </c>
      <c r="F523" s="130">
        <f t="shared" si="359"/>
        <v>69686.400000000009</v>
      </c>
      <c r="G523" s="47">
        <v>0</v>
      </c>
      <c r="H523" s="47">
        <v>0</v>
      </c>
      <c r="I523" s="47">
        <v>0</v>
      </c>
      <c r="J523" s="47">
        <v>0</v>
      </c>
      <c r="K523" s="47">
        <v>0</v>
      </c>
      <c r="L523" s="47">
        <v>0</v>
      </c>
      <c r="M523" s="47">
        <v>0</v>
      </c>
      <c r="N523" s="47">
        <f t="shared" si="360"/>
        <v>35414.400000000001</v>
      </c>
      <c r="O523" s="47">
        <f t="shared" si="361"/>
        <v>34272</v>
      </c>
      <c r="P523" s="47">
        <v>0</v>
      </c>
      <c r="Q523" s="47">
        <v>0</v>
      </c>
      <c r="R523" s="132">
        <v>0</v>
      </c>
      <c r="S523" s="133">
        <f t="shared" si="362"/>
        <v>61</v>
      </c>
    </row>
    <row r="524" spans="1:19" s="7" customFormat="1">
      <c r="A524" s="128"/>
      <c r="B524" s="233"/>
      <c r="C524" s="369" t="s">
        <v>85</v>
      </c>
      <c r="D524" s="31">
        <v>76.59</v>
      </c>
      <c r="E524" s="33">
        <v>1</v>
      </c>
      <c r="F524" s="130">
        <f t="shared" si="359"/>
        <v>4671.99</v>
      </c>
      <c r="G524" s="47">
        <v>0</v>
      </c>
      <c r="H524" s="47">
        <v>0</v>
      </c>
      <c r="I524" s="47">
        <v>0</v>
      </c>
      <c r="J524" s="47">
        <v>0</v>
      </c>
      <c r="K524" s="47">
        <v>0</v>
      </c>
      <c r="L524" s="47">
        <v>0</v>
      </c>
      <c r="M524" s="47">
        <v>0</v>
      </c>
      <c r="N524" s="47">
        <f t="shared" si="360"/>
        <v>2374.29</v>
      </c>
      <c r="O524" s="47">
        <f t="shared" si="361"/>
        <v>2297.7000000000003</v>
      </c>
      <c r="P524" s="47">
        <v>0</v>
      </c>
      <c r="Q524" s="47">
        <v>0</v>
      </c>
      <c r="R524" s="132">
        <v>0</v>
      </c>
      <c r="S524" s="133">
        <f t="shared" si="362"/>
        <v>61</v>
      </c>
    </row>
    <row r="525" spans="1:19" s="7" customFormat="1">
      <c r="A525" s="128"/>
      <c r="B525" s="233"/>
      <c r="C525" s="369" t="s">
        <v>77</v>
      </c>
      <c r="D525" s="31">
        <v>72.540000000000006</v>
      </c>
      <c r="E525" s="33">
        <v>1</v>
      </c>
      <c r="F525" s="130">
        <f t="shared" si="359"/>
        <v>4424.9400000000005</v>
      </c>
      <c r="G525" s="47">
        <v>0</v>
      </c>
      <c r="H525" s="47">
        <v>0</v>
      </c>
      <c r="I525" s="47">
        <v>0</v>
      </c>
      <c r="J525" s="47">
        <v>0</v>
      </c>
      <c r="K525" s="47">
        <v>0</v>
      </c>
      <c r="L525" s="47">
        <v>0</v>
      </c>
      <c r="M525" s="47">
        <v>0</v>
      </c>
      <c r="N525" s="47">
        <f t="shared" si="360"/>
        <v>2248.7400000000002</v>
      </c>
      <c r="O525" s="47">
        <f t="shared" si="361"/>
        <v>2176.2000000000003</v>
      </c>
      <c r="P525" s="47">
        <v>0</v>
      </c>
      <c r="Q525" s="47">
        <v>0</v>
      </c>
      <c r="R525" s="132">
        <v>0</v>
      </c>
      <c r="S525" s="133">
        <f t="shared" si="362"/>
        <v>61</v>
      </c>
    </row>
    <row r="526" spans="1:19" s="7" customFormat="1">
      <c r="A526" s="128"/>
      <c r="B526" s="233"/>
      <c r="C526" s="369" t="s">
        <v>36</v>
      </c>
      <c r="D526" s="31">
        <v>72.540000000000006</v>
      </c>
      <c r="E526" s="33">
        <v>1</v>
      </c>
      <c r="F526" s="130">
        <f t="shared" si="359"/>
        <v>4424.9400000000005</v>
      </c>
      <c r="G526" s="47">
        <v>0</v>
      </c>
      <c r="H526" s="47">
        <v>0</v>
      </c>
      <c r="I526" s="47">
        <v>0</v>
      </c>
      <c r="J526" s="47">
        <v>0</v>
      </c>
      <c r="K526" s="47">
        <v>0</v>
      </c>
      <c r="L526" s="47">
        <v>0</v>
      </c>
      <c r="M526" s="47">
        <v>0</v>
      </c>
      <c r="N526" s="47">
        <f t="shared" si="360"/>
        <v>2248.7400000000002</v>
      </c>
      <c r="O526" s="47">
        <f t="shared" si="361"/>
        <v>2176.2000000000003</v>
      </c>
      <c r="P526" s="47">
        <v>0</v>
      </c>
      <c r="Q526" s="47">
        <v>0</v>
      </c>
      <c r="R526" s="132">
        <v>0</v>
      </c>
      <c r="S526" s="133">
        <f t="shared" si="362"/>
        <v>61</v>
      </c>
    </row>
    <row r="527" spans="1:19" s="7" customFormat="1">
      <c r="A527" s="128"/>
      <c r="B527" s="129"/>
      <c r="C527" s="369" t="s">
        <v>39</v>
      </c>
      <c r="D527" s="31">
        <v>78.25</v>
      </c>
      <c r="E527" s="33">
        <v>4</v>
      </c>
      <c r="F527" s="130">
        <f t="shared" si="359"/>
        <v>19093</v>
      </c>
      <c r="G527" s="47">
        <v>0</v>
      </c>
      <c r="H527" s="47">
        <v>0</v>
      </c>
      <c r="I527" s="47">
        <v>0</v>
      </c>
      <c r="J527" s="47">
        <v>0</v>
      </c>
      <c r="K527" s="47">
        <v>0</v>
      </c>
      <c r="L527" s="47">
        <v>0</v>
      </c>
      <c r="M527" s="47">
        <v>0</v>
      </c>
      <c r="N527" s="47">
        <f t="shared" si="360"/>
        <v>9703</v>
      </c>
      <c r="O527" s="47">
        <f t="shared" si="361"/>
        <v>9390</v>
      </c>
      <c r="P527" s="47">
        <v>0</v>
      </c>
      <c r="Q527" s="47">
        <v>0</v>
      </c>
      <c r="R527" s="132">
        <v>0</v>
      </c>
      <c r="S527" s="133">
        <f t="shared" si="362"/>
        <v>61</v>
      </c>
    </row>
    <row r="528" spans="1:19" s="7" customFormat="1">
      <c r="A528" s="128"/>
      <c r="B528" s="129"/>
      <c r="C528" s="30" t="s">
        <v>32</v>
      </c>
      <c r="D528" s="31">
        <v>71.400000000000006</v>
      </c>
      <c r="E528" s="33">
        <v>123</v>
      </c>
      <c r="F528" s="130">
        <f t="shared" si="359"/>
        <v>535714.20000000007</v>
      </c>
      <c r="G528" s="47">
        <v>0</v>
      </c>
      <c r="H528" s="47">
        <v>0</v>
      </c>
      <c r="I528" s="47">
        <v>0</v>
      </c>
      <c r="J528" s="47">
        <v>0</v>
      </c>
      <c r="K528" s="47">
        <v>0</v>
      </c>
      <c r="L528" s="47">
        <v>0</v>
      </c>
      <c r="M528" s="47">
        <v>0</v>
      </c>
      <c r="N528" s="47">
        <f t="shared" si="360"/>
        <v>272248.2</v>
      </c>
      <c r="O528" s="47">
        <f t="shared" si="361"/>
        <v>263466</v>
      </c>
      <c r="P528" s="47">
        <v>0</v>
      </c>
      <c r="Q528" s="47">
        <v>0</v>
      </c>
      <c r="R528" s="132">
        <v>0</v>
      </c>
      <c r="S528" s="133">
        <f t="shared" si="362"/>
        <v>61</v>
      </c>
    </row>
    <row r="529" spans="1:20" s="289" customFormat="1">
      <c r="A529" s="284"/>
      <c r="B529" s="285"/>
      <c r="C529" s="286" t="s">
        <v>54</v>
      </c>
      <c r="D529" s="287">
        <v>71.400000000000006</v>
      </c>
      <c r="E529" s="36">
        <v>20</v>
      </c>
      <c r="F529" s="249">
        <f t="shared" si="359"/>
        <v>87108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7">
        <v>0</v>
      </c>
      <c r="M529" s="47">
        <v>0</v>
      </c>
      <c r="N529" s="47">
        <f t="shared" si="360"/>
        <v>44268</v>
      </c>
      <c r="O529" s="47">
        <f t="shared" si="361"/>
        <v>42840</v>
      </c>
      <c r="P529" s="47">
        <v>0</v>
      </c>
      <c r="Q529" s="47">
        <v>0</v>
      </c>
      <c r="R529" s="132">
        <v>0</v>
      </c>
      <c r="S529" s="133">
        <f t="shared" si="362"/>
        <v>61</v>
      </c>
      <c r="T529" s="7"/>
    </row>
    <row r="530" spans="1:20" s="289" customFormat="1">
      <c r="A530" s="284"/>
      <c r="B530" s="285"/>
      <c r="C530" s="286" t="s">
        <v>54</v>
      </c>
      <c r="D530" s="287">
        <v>71.400000000000006</v>
      </c>
      <c r="E530" s="36">
        <v>1</v>
      </c>
      <c r="F530" s="249">
        <f t="shared" si="359"/>
        <v>0</v>
      </c>
      <c r="G530" s="47">
        <v>0</v>
      </c>
      <c r="H530" s="47">
        <v>0</v>
      </c>
      <c r="I530" s="47">
        <v>0</v>
      </c>
      <c r="J530" s="47">
        <v>0</v>
      </c>
      <c r="K530" s="47">
        <v>0</v>
      </c>
      <c r="L530" s="47">
        <v>0</v>
      </c>
      <c r="M530" s="47">
        <v>0</v>
      </c>
      <c r="N530" s="47">
        <v>0</v>
      </c>
      <c r="O530" s="47">
        <v>0</v>
      </c>
      <c r="P530" s="47">
        <v>0</v>
      </c>
      <c r="Q530" s="47">
        <v>0</v>
      </c>
      <c r="R530" s="132">
        <v>0</v>
      </c>
      <c r="S530" s="133">
        <v>0</v>
      </c>
      <c r="T530" s="7"/>
    </row>
    <row r="531" spans="1:20" s="7" customFormat="1">
      <c r="A531" s="128"/>
      <c r="B531" s="233"/>
      <c r="C531" s="369" t="s">
        <v>83</v>
      </c>
      <c r="D531" s="31">
        <v>71.400000000000006</v>
      </c>
      <c r="E531" s="33">
        <v>1</v>
      </c>
      <c r="F531" s="130">
        <f t="shared" si="359"/>
        <v>6568.8</v>
      </c>
      <c r="G531" s="47">
        <v>0</v>
      </c>
      <c r="H531" s="47">
        <v>0</v>
      </c>
      <c r="I531" s="47">
        <v>0</v>
      </c>
      <c r="J531" s="47">
        <v>0</v>
      </c>
      <c r="K531" s="47">
        <v>0</v>
      </c>
      <c r="L531" s="47">
        <v>0</v>
      </c>
      <c r="M531" s="47">
        <v>0</v>
      </c>
      <c r="N531" s="47">
        <f>+D531*E531*62</f>
        <v>4426.8</v>
      </c>
      <c r="O531" s="47">
        <f t="shared" ref="O531" si="363">+D531*E531*30</f>
        <v>2142</v>
      </c>
      <c r="P531" s="47">
        <v>0</v>
      </c>
      <c r="Q531" s="47">
        <v>0</v>
      </c>
      <c r="R531" s="132">
        <v>0</v>
      </c>
      <c r="S531" s="133">
        <f>31+31+30</f>
        <v>92</v>
      </c>
    </row>
    <row r="532" spans="1:20" s="289" customFormat="1">
      <c r="A532" s="284"/>
      <c r="B532" s="285"/>
      <c r="C532" s="286"/>
      <c r="D532" s="287"/>
      <c r="E532" s="36"/>
      <c r="F532" s="249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132"/>
      <c r="S532" s="133"/>
      <c r="T532" s="7"/>
    </row>
    <row r="533" spans="1:20" s="7" customFormat="1" ht="15" customHeight="1">
      <c r="A533" s="128"/>
      <c r="B533" s="129"/>
      <c r="C533" s="30" t="s">
        <v>86</v>
      </c>
      <c r="D533" s="31">
        <v>78.25</v>
      </c>
      <c r="E533" s="33">
        <v>1</v>
      </c>
      <c r="F533" s="130">
        <f t="shared" si="359"/>
        <v>4773.25</v>
      </c>
      <c r="G533" s="47">
        <v>0</v>
      </c>
      <c r="H533" s="47">
        <v>0</v>
      </c>
      <c r="I533" s="47">
        <v>0</v>
      </c>
      <c r="J533" s="47">
        <v>0</v>
      </c>
      <c r="K533" s="47">
        <v>0</v>
      </c>
      <c r="L533" s="47">
        <v>0</v>
      </c>
      <c r="M533" s="47">
        <v>0</v>
      </c>
      <c r="N533" s="47">
        <f t="shared" ref="N533" si="364">+D533*E533*31</f>
        <v>2425.75</v>
      </c>
      <c r="O533" s="47">
        <f t="shared" ref="O533" si="365">+D533*E533*30</f>
        <v>2347.5</v>
      </c>
      <c r="P533" s="47">
        <v>0</v>
      </c>
      <c r="Q533" s="47">
        <v>0</v>
      </c>
      <c r="R533" s="132">
        <v>0</v>
      </c>
      <c r="S533" s="133">
        <f t="shared" si="362"/>
        <v>61</v>
      </c>
    </row>
    <row r="534" spans="1:20" ht="15.75" thickBot="1">
      <c r="A534" s="59"/>
      <c r="B534" s="134"/>
      <c r="C534" s="135" t="s">
        <v>125</v>
      </c>
      <c r="D534" s="136"/>
      <c r="E534" s="189"/>
      <c r="F534" s="137">
        <f xml:space="preserve"> 5903573-SUM(F512:F533)-1607939-1250000-1100000+767216</f>
        <v>1384249.5999999996</v>
      </c>
      <c r="G534" s="154"/>
      <c r="H534" s="139"/>
      <c r="I534" s="138"/>
      <c r="J534" s="138"/>
      <c r="K534" s="138"/>
      <c r="L534" s="138"/>
      <c r="M534" s="138"/>
      <c r="N534" s="138"/>
      <c r="O534" s="138"/>
      <c r="P534" s="138"/>
      <c r="Q534" s="138"/>
      <c r="R534" s="197">
        <f>F534</f>
        <v>1384249.5999999996</v>
      </c>
      <c r="T534" s="22"/>
    </row>
    <row r="535" spans="1:20" s="13" customFormat="1" ht="15.75" thickBot="1">
      <c r="A535" s="190"/>
      <c r="B535" s="391"/>
      <c r="C535" s="392" t="s">
        <v>80</v>
      </c>
      <c r="D535" s="393"/>
      <c r="E535" s="394">
        <f t="shared" ref="E535:R535" si="366">E537+E550</f>
        <v>251</v>
      </c>
      <c r="F535" s="395">
        <f t="shared" si="366"/>
        <v>3735740</v>
      </c>
      <c r="G535" s="396">
        <f t="shared" si="366"/>
        <v>547085.21000000008</v>
      </c>
      <c r="H535" s="396">
        <f t="shared" si="366"/>
        <v>497211.68000000005</v>
      </c>
      <c r="I535" s="396">
        <f t="shared" si="366"/>
        <v>547801.06000000006</v>
      </c>
      <c r="J535" s="396">
        <f t="shared" si="366"/>
        <v>524947.80000000005</v>
      </c>
      <c r="K535" s="396">
        <f t="shared" si="366"/>
        <v>548800.66000000015</v>
      </c>
      <c r="L535" s="396">
        <f t="shared" si="366"/>
        <v>522805.8</v>
      </c>
      <c r="M535" s="396">
        <f t="shared" si="366"/>
        <v>535805.8600000001</v>
      </c>
      <c r="N535" s="396">
        <f t="shared" si="366"/>
        <v>0</v>
      </c>
      <c r="O535" s="396">
        <f t="shared" si="366"/>
        <v>0</v>
      </c>
      <c r="P535" s="396">
        <f t="shared" si="366"/>
        <v>0</v>
      </c>
      <c r="Q535" s="396">
        <f t="shared" si="366"/>
        <v>0</v>
      </c>
      <c r="R535" s="397">
        <f t="shared" si="366"/>
        <v>11281.930000000051</v>
      </c>
      <c r="S535" s="332">
        <f>F535-SUM(G535:R535)</f>
        <v>0</v>
      </c>
    </row>
    <row r="536" spans="1:20">
      <c r="A536" s="59"/>
      <c r="B536" s="291"/>
      <c r="C536" s="743" t="s">
        <v>45</v>
      </c>
      <c r="D536" s="744"/>
      <c r="E536" s="412"/>
      <c r="F536" s="413"/>
      <c r="G536" s="414"/>
      <c r="H536" s="414"/>
      <c r="I536" s="414"/>
      <c r="J536" s="414"/>
      <c r="K536" s="414"/>
      <c r="L536" s="414"/>
      <c r="M536" s="414"/>
      <c r="N536" s="414"/>
      <c r="O536" s="414"/>
      <c r="P536" s="414"/>
      <c r="Q536" s="414"/>
      <c r="R536" s="415"/>
    </row>
    <row r="537" spans="1:20" ht="31.5" customHeight="1">
      <c r="A537" s="59"/>
      <c r="B537" s="61"/>
      <c r="C537" s="742" t="s">
        <v>146</v>
      </c>
      <c r="D537" s="742"/>
      <c r="E537" s="422">
        <f>SUM(E540:E547)</f>
        <v>38</v>
      </c>
      <c r="F537" s="429">
        <f t="shared" ref="F537:R537" si="367">SUM(F540:F548)</f>
        <v>577840</v>
      </c>
      <c r="G537" s="430">
        <f t="shared" si="367"/>
        <v>82282.060000000012</v>
      </c>
      <c r="H537" s="430">
        <f t="shared" si="367"/>
        <v>74319.28</v>
      </c>
      <c r="I537" s="430">
        <f t="shared" si="367"/>
        <v>82282.060000000012</v>
      </c>
      <c r="J537" s="430">
        <f t="shared" si="367"/>
        <v>79627.8</v>
      </c>
      <c r="K537" s="430">
        <f t="shared" si="367"/>
        <v>93063.460000000021</v>
      </c>
      <c r="L537" s="430">
        <f t="shared" si="367"/>
        <v>81769.8</v>
      </c>
      <c r="M537" s="430">
        <f t="shared" si="367"/>
        <v>84495.460000000021</v>
      </c>
      <c r="N537" s="430">
        <f t="shared" si="367"/>
        <v>0</v>
      </c>
      <c r="O537" s="430">
        <f t="shared" si="367"/>
        <v>0</v>
      </c>
      <c r="P537" s="430">
        <f t="shared" si="367"/>
        <v>0</v>
      </c>
      <c r="Q537" s="430">
        <f t="shared" si="367"/>
        <v>0</v>
      </c>
      <c r="R537" s="431">
        <f t="shared" si="367"/>
        <v>7.9999999958090484E-2</v>
      </c>
      <c r="S537" s="22">
        <f>F537-SUM(G537:R537)</f>
        <v>0</v>
      </c>
    </row>
    <row r="538" spans="1:20">
      <c r="A538" s="59"/>
      <c r="B538" s="217"/>
      <c r="C538" s="433"/>
      <c r="D538" s="432"/>
      <c r="E538" s="355"/>
      <c r="F538" s="356">
        <f>SUM(F540:F547)</f>
        <v>577839.92000000004</v>
      </c>
      <c r="G538" s="357"/>
      <c r="H538" s="357"/>
      <c r="I538" s="357"/>
      <c r="J538" s="357"/>
      <c r="K538" s="357"/>
      <c r="L538" s="357"/>
      <c r="M538" s="357"/>
      <c r="N538" s="357"/>
      <c r="O538" s="357"/>
      <c r="P538" s="357"/>
      <c r="Q538" s="357"/>
      <c r="R538" s="358"/>
    </row>
    <row r="539" spans="1:20">
      <c r="A539" s="59"/>
      <c r="B539" s="134"/>
      <c r="C539" s="26"/>
      <c r="D539" s="423"/>
      <c r="E539" s="346" t="s">
        <v>124</v>
      </c>
      <c r="F539" s="424">
        <v>0</v>
      </c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6"/>
    </row>
    <row r="540" spans="1:20">
      <c r="A540" s="59"/>
      <c r="B540" s="134">
        <v>1</v>
      </c>
      <c r="C540" s="135" t="s">
        <v>44</v>
      </c>
      <c r="D540" s="136">
        <v>72.540000000000006</v>
      </c>
      <c r="E540" s="32">
        <v>3</v>
      </c>
      <c r="F540" s="137">
        <f t="shared" ref="F540:F547" si="368">+E540*S540*D540</f>
        <v>46135.44</v>
      </c>
      <c r="G540" s="138">
        <f t="shared" ref="G540:G547" si="369">E540*D540*31</f>
        <v>6746.22</v>
      </c>
      <c r="H540" s="139">
        <f t="shared" ref="H540:H547" si="370">E540*D540*28</f>
        <v>6093.3600000000006</v>
      </c>
      <c r="I540" s="138">
        <f t="shared" ref="I540:I547" si="371">E540*D540*31</f>
        <v>6746.22</v>
      </c>
      <c r="J540" s="138">
        <f>E540*D540*30</f>
        <v>6528.6</v>
      </c>
      <c r="K540" s="138">
        <f>E540*D540*31</f>
        <v>6746.22</v>
      </c>
      <c r="L540" s="138">
        <f>E540*D540*30</f>
        <v>6528.6</v>
      </c>
      <c r="M540" s="138">
        <f t="shared" ref="M540:M547" si="372">E540*D540*31</f>
        <v>6746.22</v>
      </c>
      <c r="N540" s="138">
        <v>0</v>
      </c>
      <c r="O540" s="138">
        <v>0</v>
      </c>
      <c r="P540" s="138">
        <v>0</v>
      </c>
      <c r="Q540" s="138">
        <v>0</v>
      </c>
      <c r="R540" s="140">
        <v>0</v>
      </c>
      <c r="S540" s="141">
        <v>212</v>
      </c>
    </row>
    <row r="541" spans="1:20">
      <c r="A541" s="59"/>
      <c r="B541" s="134">
        <v>2</v>
      </c>
      <c r="C541" s="135" t="s">
        <v>72</v>
      </c>
      <c r="D541" s="136">
        <v>71.400000000000006</v>
      </c>
      <c r="E541" s="32">
        <v>7</v>
      </c>
      <c r="F541" s="137">
        <f t="shared" si="368"/>
        <v>105957.6</v>
      </c>
      <c r="G541" s="138">
        <f t="shared" si="369"/>
        <v>15493.800000000003</v>
      </c>
      <c r="H541" s="139">
        <f t="shared" si="370"/>
        <v>13994.400000000001</v>
      </c>
      <c r="I541" s="138">
        <f t="shared" si="371"/>
        <v>15493.800000000003</v>
      </c>
      <c r="J541" s="138">
        <f t="shared" ref="J541:J547" si="373">E541*D541*30</f>
        <v>14994.000000000002</v>
      </c>
      <c r="K541" s="138">
        <f t="shared" ref="K541:K547" si="374">E541*D541*31</f>
        <v>15493.800000000003</v>
      </c>
      <c r="L541" s="138">
        <f t="shared" ref="L541:L547" si="375">E541*D541*30</f>
        <v>14994.000000000002</v>
      </c>
      <c r="M541" s="138">
        <f t="shared" si="372"/>
        <v>15493.800000000003</v>
      </c>
      <c r="N541" s="138">
        <v>0</v>
      </c>
      <c r="O541" s="138">
        <v>0</v>
      </c>
      <c r="P541" s="138">
        <v>0</v>
      </c>
      <c r="Q541" s="138">
        <v>0</v>
      </c>
      <c r="R541" s="140">
        <v>0</v>
      </c>
      <c r="S541" s="141">
        <v>212</v>
      </c>
    </row>
    <row r="542" spans="1:20">
      <c r="A542" s="59"/>
      <c r="B542" s="134">
        <v>3</v>
      </c>
      <c r="C542" s="135" t="s">
        <v>35</v>
      </c>
      <c r="D542" s="136">
        <v>71.400000000000006</v>
      </c>
      <c r="E542" s="32">
        <v>3</v>
      </c>
      <c r="F542" s="137">
        <f t="shared" si="368"/>
        <v>45410.400000000001</v>
      </c>
      <c r="G542" s="138">
        <f t="shared" si="369"/>
        <v>6640.2000000000007</v>
      </c>
      <c r="H542" s="139">
        <f t="shared" si="370"/>
        <v>5997.6</v>
      </c>
      <c r="I542" s="138">
        <f t="shared" si="371"/>
        <v>6640.2000000000007</v>
      </c>
      <c r="J542" s="138">
        <f t="shared" si="373"/>
        <v>6426.0000000000009</v>
      </c>
      <c r="K542" s="138">
        <f t="shared" si="374"/>
        <v>6640.2000000000007</v>
      </c>
      <c r="L542" s="138">
        <f t="shared" si="375"/>
        <v>6426.0000000000009</v>
      </c>
      <c r="M542" s="138">
        <f t="shared" si="372"/>
        <v>6640.2000000000007</v>
      </c>
      <c r="N542" s="138">
        <v>0</v>
      </c>
      <c r="O542" s="138">
        <v>0</v>
      </c>
      <c r="P542" s="138">
        <v>0</v>
      </c>
      <c r="Q542" s="138">
        <v>0</v>
      </c>
      <c r="R542" s="140">
        <v>0</v>
      </c>
      <c r="S542" s="141">
        <v>212</v>
      </c>
    </row>
    <row r="543" spans="1:20">
      <c r="A543" s="59"/>
      <c r="B543" s="134">
        <v>4</v>
      </c>
      <c r="C543" s="135" t="s">
        <v>67</v>
      </c>
      <c r="D543" s="136">
        <v>73.59</v>
      </c>
      <c r="E543" s="32">
        <v>1</v>
      </c>
      <c r="F543" s="137">
        <f t="shared" si="368"/>
        <v>15601.08</v>
      </c>
      <c r="G543" s="138">
        <f t="shared" si="369"/>
        <v>2281.29</v>
      </c>
      <c r="H543" s="139">
        <f t="shared" si="370"/>
        <v>2060.52</v>
      </c>
      <c r="I543" s="138">
        <f t="shared" si="371"/>
        <v>2281.29</v>
      </c>
      <c r="J543" s="138">
        <f t="shared" si="373"/>
        <v>2207.7000000000003</v>
      </c>
      <c r="K543" s="138">
        <f t="shared" si="374"/>
        <v>2281.29</v>
      </c>
      <c r="L543" s="138">
        <f t="shared" si="375"/>
        <v>2207.7000000000003</v>
      </c>
      <c r="M543" s="138">
        <f t="shared" si="372"/>
        <v>2281.29</v>
      </c>
      <c r="N543" s="138">
        <v>0</v>
      </c>
      <c r="O543" s="138">
        <v>0</v>
      </c>
      <c r="P543" s="138">
        <v>0</v>
      </c>
      <c r="Q543" s="138">
        <v>0</v>
      </c>
      <c r="R543" s="140">
        <v>0</v>
      </c>
      <c r="S543" s="141">
        <v>212</v>
      </c>
    </row>
    <row r="544" spans="1:20">
      <c r="A544" s="59"/>
      <c r="B544" s="134">
        <v>5</v>
      </c>
      <c r="C544" s="135" t="s">
        <v>39</v>
      </c>
      <c r="D544" s="136">
        <v>78.25</v>
      </c>
      <c r="E544" s="32">
        <v>1</v>
      </c>
      <c r="F544" s="137">
        <f t="shared" si="368"/>
        <v>16589</v>
      </c>
      <c r="G544" s="138">
        <f t="shared" si="369"/>
        <v>2425.75</v>
      </c>
      <c r="H544" s="139">
        <f t="shared" si="370"/>
        <v>2191</v>
      </c>
      <c r="I544" s="138">
        <f t="shared" si="371"/>
        <v>2425.75</v>
      </c>
      <c r="J544" s="138">
        <f t="shared" si="373"/>
        <v>2347.5</v>
      </c>
      <c r="K544" s="138">
        <f t="shared" si="374"/>
        <v>2425.75</v>
      </c>
      <c r="L544" s="138">
        <f t="shared" si="375"/>
        <v>2347.5</v>
      </c>
      <c r="M544" s="138">
        <f t="shared" si="372"/>
        <v>2425.75</v>
      </c>
      <c r="N544" s="138">
        <v>0</v>
      </c>
      <c r="O544" s="138">
        <v>0</v>
      </c>
      <c r="P544" s="138">
        <v>0</v>
      </c>
      <c r="Q544" s="138">
        <v>0</v>
      </c>
      <c r="R544" s="140">
        <v>0</v>
      </c>
      <c r="S544" s="141">
        <v>212</v>
      </c>
    </row>
    <row r="545" spans="1:19" s="13" customFormat="1">
      <c r="A545" s="190"/>
      <c r="B545" s="191">
        <v>6</v>
      </c>
      <c r="C545" s="192" t="s">
        <v>32</v>
      </c>
      <c r="D545" s="193">
        <v>71.400000000000006</v>
      </c>
      <c r="E545" s="32">
        <v>7</v>
      </c>
      <c r="F545" s="194">
        <f t="shared" si="368"/>
        <v>105957.6</v>
      </c>
      <c r="G545" s="138">
        <f t="shared" si="369"/>
        <v>15493.800000000003</v>
      </c>
      <c r="H545" s="139">
        <f t="shared" si="370"/>
        <v>13994.400000000001</v>
      </c>
      <c r="I545" s="138">
        <f t="shared" si="371"/>
        <v>15493.800000000003</v>
      </c>
      <c r="J545" s="138">
        <f t="shared" si="373"/>
        <v>14994.000000000002</v>
      </c>
      <c r="K545" s="138">
        <f t="shared" si="374"/>
        <v>15493.800000000003</v>
      </c>
      <c r="L545" s="138">
        <f t="shared" si="375"/>
        <v>14994.000000000002</v>
      </c>
      <c r="M545" s="138">
        <f t="shared" si="372"/>
        <v>15493.800000000003</v>
      </c>
      <c r="N545" s="138">
        <v>0</v>
      </c>
      <c r="O545" s="138">
        <v>0</v>
      </c>
      <c r="P545" s="138">
        <v>0</v>
      </c>
      <c r="Q545" s="138">
        <v>0</v>
      </c>
      <c r="R545" s="140">
        <v>0</v>
      </c>
      <c r="S545" s="198">
        <v>212</v>
      </c>
    </row>
    <row r="546" spans="1:19" s="13" customFormat="1">
      <c r="A546" s="190"/>
      <c r="B546" s="191">
        <v>6</v>
      </c>
      <c r="C546" s="192" t="s">
        <v>32</v>
      </c>
      <c r="D546" s="193">
        <v>71.400000000000006</v>
      </c>
      <c r="E546" s="32">
        <v>1</v>
      </c>
      <c r="F546" s="194">
        <f t="shared" si="368"/>
        <v>15136.800000000001</v>
      </c>
      <c r="G546" s="138">
        <v>0</v>
      </c>
      <c r="H546" s="139">
        <v>0</v>
      </c>
      <c r="I546" s="138">
        <v>0</v>
      </c>
      <c r="J546" s="138">
        <v>0</v>
      </c>
      <c r="K546" s="138">
        <f>E546*D546*151</f>
        <v>10781.400000000001</v>
      </c>
      <c r="L546" s="138">
        <f t="shared" si="375"/>
        <v>2142</v>
      </c>
      <c r="M546" s="138">
        <f t="shared" si="372"/>
        <v>2213.4</v>
      </c>
      <c r="N546" s="138">
        <v>0</v>
      </c>
      <c r="O546" s="138">
        <v>0</v>
      </c>
      <c r="P546" s="138">
        <v>0</v>
      </c>
      <c r="Q546" s="138">
        <v>0</v>
      </c>
      <c r="R546" s="140">
        <v>0</v>
      </c>
      <c r="S546" s="198">
        <f>212-31-28-31-30+120</f>
        <v>212</v>
      </c>
    </row>
    <row r="547" spans="1:19">
      <c r="A547" s="59"/>
      <c r="B547" s="134">
        <v>7</v>
      </c>
      <c r="C547" s="135" t="s">
        <v>54</v>
      </c>
      <c r="D547" s="136">
        <v>71.400000000000006</v>
      </c>
      <c r="E547" s="32">
        <v>15</v>
      </c>
      <c r="F547" s="137">
        <f t="shared" si="368"/>
        <v>227052.00000000003</v>
      </c>
      <c r="G547" s="138">
        <f t="shared" si="369"/>
        <v>33201</v>
      </c>
      <c r="H547" s="139">
        <f t="shared" si="370"/>
        <v>29988</v>
      </c>
      <c r="I547" s="138">
        <f t="shared" si="371"/>
        <v>33201</v>
      </c>
      <c r="J547" s="138">
        <f t="shared" si="373"/>
        <v>32130</v>
      </c>
      <c r="K547" s="138">
        <f t="shared" si="374"/>
        <v>33201</v>
      </c>
      <c r="L547" s="138">
        <f t="shared" si="375"/>
        <v>32130</v>
      </c>
      <c r="M547" s="138">
        <f t="shared" si="372"/>
        <v>33201</v>
      </c>
      <c r="N547" s="138">
        <v>0</v>
      </c>
      <c r="O547" s="138">
        <v>0</v>
      </c>
      <c r="P547" s="138">
        <v>0</v>
      </c>
      <c r="Q547" s="138">
        <v>0</v>
      </c>
      <c r="R547" s="140">
        <v>0</v>
      </c>
      <c r="S547" s="141">
        <v>212</v>
      </c>
    </row>
    <row r="548" spans="1:19" ht="15.75" thickBot="1">
      <c r="A548" s="59"/>
      <c r="B548" s="199"/>
      <c r="C548" s="333" t="s">
        <v>125</v>
      </c>
      <c r="D548" s="200"/>
      <c r="E548" s="201"/>
      <c r="F548" s="202">
        <f xml:space="preserve"> 577840-SUM(F540:F547)</f>
        <v>7.9999999958090484E-2</v>
      </c>
      <c r="G548" s="203"/>
      <c r="H548" s="204"/>
      <c r="I548" s="205"/>
      <c r="J548" s="205"/>
      <c r="K548" s="205"/>
      <c r="L548" s="205"/>
      <c r="M548" s="205"/>
      <c r="N548" s="205"/>
      <c r="O548" s="205"/>
      <c r="P548" s="205"/>
      <c r="Q548" s="205"/>
      <c r="R548" s="211">
        <f>F548</f>
        <v>7.9999999958090484E-2</v>
      </c>
      <c r="S548" s="141"/>
    </row>
    <row r="549" spans="1:19" ht="26.25">
      <c r="A549" s="59"/>
      <c r="B549" s="354"/>
      <c r="C549" s="434" t="s">
        <v>81</v>
      </c>
      <c r="D549" s="334"/>
      <c r="E549" s="334"/>
      <c r="F549" s="335"/>
      <c r="G549" s="337"/>
      <c r="H549" s="337"/>
      <c r="I549" s="336"/>
      <c r="J549" s="336"/>
      <c r="K549" s="336"/>
      <c r="L549" s="336"/>
      <c r="M549" s="336"/>
      <c r="N549" s="336"/>
      <c r="O549" s="336"/>
      <c r="P549" s="336"/>
      <c r="Q549" s="336"/>
      <c r="R549" s="338"/>
    </row>
    <row r="550" spans="1:19" ht="30" customHeight="1">
      <c r="A550" s="59"/>
      <c r="B550" s="61"/>
      <c r="C550" s="745" t="s">
        <v>147</v>
      </c>
      <c r="D550" s="745"/>
      <c r="E550" s="355">
        <f>SUM(E553:E573)</f>
        <v>213</v>
      </c>
      <c r="F550" s="356">
        <f>SUM(F553:F574)</f>
        <v>3157900</v>
      </c>
      <c r="G550" s="357">
        <f t="shared" ref="G550:Q550" si="376">SUM(G553:G573)</f>
        <v>464803.15</v>
      </c>
      <c r="H550" s="357">
        <f t="shared" si="376"/>
        <v>422892.40000000008</v>
      </c>
      <c r="I550" s="357">
        <f t="shared" si="376"/>
        <v>465519.00000000006</v>
      </c>
      <c r="J550" s="357">
        <f t="shared" si="376"/>
        <v>445320</v>
      </c>
      <c r="K550" s="357">
        <f t="shared" si="376"/>
        <v>455737.20000000013</v>
      </c>
      <c r="L550" s="357">
        <f t="shared" si="376"/>
        <v>441036</v>
      </c>
      <c r="M550" s="357">
        <f t="shared" si="376"/>
        <v>451310.40000000008</v>
      </c>
      <c r="N550" s="357">
        <f t="shared" si="376"/>
        <v>0</v>
      </c>
      <c r="O550" s="357">
        <f t="shared" si="376"/>
        <v>0</v>
      </c>
      <c r="P550" s="357">
        <f t="shared" si="376"/>
        <v>0</v>
      </c>
      <c r="Q550" s="357">
        <f t="shared" si="376"/>
        <v>0</v>
      </c>
      <c r="R550" s="358">
        <f>SUM(R553:R574)</f>
        <v>11281.850000000093</v>
      </c>
      <c r="S550" s="22">
        <f>F550-SUM(G550:R550)</f>
        <v>0</v>
      </c>
    </row>
    <row r="551" spans="1:19">
      <c r="A551" s="59"/>
      <c r="B551" s="217"/>
      <c r="C551" s="359"/>
      <c r="D551" s="359"/>
      <c r="E551" s="360"/>
      <c r="F551" s="356">
        <f>SUM(F553:F573)</f>
        <v>3146618.15</v>
      </c>
      <c r="G551" s="361"/>
      <c r="H551" s="361"/>
      <c r="I551" s="361"/>
      <c r="J551" s="361"/>
      <c r="K551" s="361"/>
      <c r="L551" s="361"/>
      <c r="M551" s="361"/>
      <c r="N551" s="361"/>
      <c r="O551" s="361"/>
      <c r="P551" s="361"/>
      <c r="Q551" s="361"/>
      <c r="R551" s="362"/>
    </row>
    <row r="552" spans="1:19">
      <c r="A552" s="59"/>
      <c r="B552" s="134"/>
      <c r="C552" s="208"/>
      <c r="D552" s="208"/>
      <c r="E552" s="238" t="s">
        <v>124</v>
      </c>
      <c r="F552" s="226">
        <v>0</v>
      </c>
      <c r="G552" s="240"/>
      <c r="H552" s="240"/>
      <c r="I552" s="240"/>
      <c r="J552" s="240"/>
      <c r="K552" s="240"/>
      <c r="L552" s="240"/>
      <c r="M552" s="195"/>
      <c r="N552" s="240"/>
      <c r="O552" s="240"/>
      <c r="P552" s="240"/>
      <c r="Q552" s="240"/>
      <c r="R552" s="242"/>
    </row>
    <row r="553" spans="1:19" s="7" customFormat="1">
      <c r="A553" s="128"/>
      <c r="B553" s="129">
        <v>1</v>
      </c>
      <c r="C553" s="30" t="s">
        <v>44</v>
      </c>
      <c r="D553" s="31">
        <v>72.540000000000006</v>
      </c>
      <c r="E553" s="33">
        <v>16</v>
      </c>
      <c r="F553" s="130">
        <f t="shared" ref="F553:F573" si="377">+E553*S553*D553</f>
        <v>246055.68000000002</v>
      </c>
      <c r="G553" s="47">
        <f t="shared" ref="G553:G573" si="378">E553*D553*31</f>
        <v>35979.840000000004</v>
      </c>
      <c r="H553" s="131">
        <f t="shared" ref="H553:H573" si="379">E553*D553*28</f>
        <v>32497.920000000002</v>
      </c>
      <c r="I553" s="47">
        <f t="shared" ref="I553:I573" si="380">E553*D553*31</f>
        <v>35979.840000000004</v>
      </c>
      <c r="J553" s="47">
        <f t="shared" ref="J553:J573" si="381">E553*D553*30</f>
        <v>34819.200000000004</v>
      </c>
      <c r="K553" s="47">
        <f t="shared" ref="K553:K573" si="382">E553*D553*31</f>
        <v>35979.840000000004</v>
      </c>
      <c r="L553" s="47">
        <f t="shared" ref="L553:L573" si="383">E553*D553*30</f>
        <v>34819.200000000004</v>
      </c>
      <c r="M553" s="47">
        <f>E553*D553*31</f>
        <v>35979.840000000004</v>
      </c>
      <c r="N553" s="47">
        <v>0</v>
      </c>
      <c r="O553" s="47">
        <v>0</v>
      </c>
      <c r="P553" s="47">
        <v>0</v>
      </c>
      <c r="Q553" s="47">
        <v>0</v>
      </c>
      <c r="R553" s="132">
        <v>0</v>
      </c>
      <c r="S553" s="133">
        <v>212</v>
      </c>
    </row>
    <row r="554" spans="1:19" s="7" customFormat="1">
      <c r="A554" s="128"/>
      <c r="B554" s="129">
        <v>2</v>
      </c>
      <c r="C554" s="30" t="s">
        <v>72</v>
      </c>
      <c r="D554" s="31">
        <v>71.400000000000006</v>
      </c>
      <c r="E554" s="33">
        <v>15</v>
      </c>
      <c r="F554" s="130">
        <f t="shared" si="377"/>
        <v>227052.00000000003</v>
      </c>
      <c r="G554" s="47">
        <f t="shared" si="378"/>
        <v>33201</v>
      </c>
      <c r="H554" s="131">
        <f t="shared" si="379"/>
        <v>29988</v>
      </c>
      <c r="I554" s="47">
        <f t="shared" si="380"/>
        <v>33201</v>
      </c>
      <c r="J554" s="47">
        <f t="shared" si="381"/>
        <v>32130</v>
      </c>
      <c r="K554" s="47">
        <f t="shared" si="382"/>
        <v>33201</v>
      </c>
      <c r="L554" s="47">
        <f t="shared" si="383"/>
        <v>32130</v>
      </c>
      <c r="M554" s="47">
        <f t="shared" ref="M554:M573" si="384">E554*D554*31</f>
        <v>33201</v>
      </c>
      <c r="N554" s="47">
        <v>0</v>
      </c>
      <c r="O554" s="47">
        <v>0</v>
      </c>
      <c r="P554" s="47">
        <v>0</v>
      </c>
      <c r="Q554" s="47">
        <v>0</v>
      </c>
      <c r="R554" s="132">
        <v>0</v>
      </c>
      <c r="S554" s="133">
        <v>212</v>
      </c>
    </row>
    <row r="555" spans="1:19" s="7" customFormat="1">
      <c r="A555" s="128"/>
      <c r="B555" s="129">
        <v>16</v>
      </c>
      <c r="C555" s="30" t="s">
        <v>72</v>
      </c>
      <c r="D555" s="31">
        <v>71.400000000000006</v>
      </c>
      <c r="E555" s="33">
        <v>1</v>
      </c>
      <c r="F555" s="130">
        <f t="shared" si="377"/>
        <v>4212.6000000000004</v>
      </c>
      <c r="G555" s="47">
        <f t="shared" si="378"/>
        <v>2213.4</v>
      </c>
      <c r="H555" s="131">
        <f t="shared" si="379"/>
        <v>1999.2000000000003</v>
      </c>
      <c r="I555" s="47">
        <v>0</v>
      </c>
      <c r="J555" s="47">
        <v>0</v>
      </c>
      <c r="K555" s="47">
        <v>0</v>
      </c>
      <c r="L555" s="47">
        <v>0</v>
      </c>
      <c r="M555" s="47">
        <v>0</v>
      </c>
      <c r="N555" s="47">
        <v>0</v>
      </c>
      <c r="O555" s="47">
        <v>0</v>
      </c>
      <c r="P555" s="47">
        <v>0</v>
      </c>
      <c r="Q555" s="47">
        <v>0</v>
      </c>
      <c r="R555" s="132">
        <v>0</v>
      </c>
      <c r="S555" s="133">
        <f>31+28</f>
        <v>59</v>
      </c>
    </row>
    <row r="556" spans="1:19" s="7" customFormat="1">
      <c r="A556" s="128"/>
      <c r="B556" s="129">
        <v>3</v>
      </c>
      <c r="C556" s="30" t="s">
        <v>83</v>
      </c>
      <c r="D556" s="31">
        <v>71.400000000000006</v>
      </c>
      <c r="E556" s="33">
        <v>2</v>
      </c>
      <c r="F556" s="130">
        <f t="shared" si="377"/>
        <v>30273.600000000002</v>
      </c>
      <c r="G556" s="47">
        <f t="shared" si="378"/>
        <v>4426.8</v>
      </c>
      <c r="H556" s="131">
        <f t="shared" si="379"/>
        <v>3998.4000000000005</v>
      </c>
      <c r="I556" s="47">
        <f t="shared" si="380"/>
        <v>4426.8</v>
      </c>
      <c r="J556" s="47">
        <f t="shared" si="381"/>
        <v>4284</v>
      </c>
      <c r="K556" s="47">
        <f t="shared" si="382"/>
        <v>4426.8</v>
      </c>
      <c r="L556" s="47">
        <f t="shared" si="383"/>
        <v>4284</v>
      </c>
      <c r="M556" s="47">
        <f t="shared" si="384"/>
        <v>4426.8</v>
      </c>
      <c r="N556" s="47">
        <v>0</v>
      </c>
      <c r="O556" s="47">
        <v>0</v>
      </c>
      <c r="P556" s="47">
        <v>0</v>
      </c>
      <c r="Q556" s="47">
        <v>0</v>
      </c>
      <c r="R556" s="132">
        <v>0</v>
      </c>
      <c r="S556" s="133">
        <v>212</v>
      </c>
    </row>
    <row r="557" spans="1:19" s="7" customFormat="1" ht="15.75" customHeight="1">
      <c r="A557" s="128"/>
      <c r="B557" s="129">
        <v>4</v>
      </c>
      <c r="C557" s="30" t="s">
        <v>84</v>
      </c>
      <c r="D557" s="31">
        <v>75.64</v>
      </c>
      <c r="E557" s="35">
        <v>1</v>
      </c>
      <c r="F557" s="130">
        <f t="shared" si="377"/>
        <v>16035.68</v>
      </c>
      <c r="G557" s="47">
        <f t="shared" si="378"/>
        <v>2344.84</v>
      </c>
      <c r="H557" s="131">
        <f t="shared" si="379"/>
        <v>2117.92</v>
      </c>
      <c r="I557" s="47">
        <f t="shared" si="380"/>
        <v>2344.84</v>
      </c>
      <c r="J557" s="47">
        <f t="shared" si="381"/>
        <v>2269.1999999999998</v>
      </c>
      <c r="K557" s="47">
        <f t="shared" si="382"/>
        <v>2344.84</v>
      </c>
      <c r="L557" s="47">
        <f t="shared" si="383"/>
        <v>2269.1999999999998</v>
      </c>
      <c r="M557" s="47">
        <f t="shared" si="384"/>
        <v>2344.84</v>
      </c>
      <c r="N557" s="47">
        <v>0</v>
      </c>
      <c r="O557" s="47">
        <v>0</v>
      </c>
      <c r="P557" s="47">
        <v>0</v>
      </c>
      <c r="Q557" s="47">
        <v>0</v>
      </c>
      <c r="R557" s="132">
        <v>0</v>
      </c>
      <c r="S557" s="435">
        <v>212</v>
      </c>
    </row>
    <row r="558" spans="1:19" s="7" customFormat="1">
      <c r="A558" s="128"/>
      <c r="B558" s="129">
        <v>5</v>
      </c>
      <c r="C558" s="30" t="s">
        <v>35</v>
      </c>
      <c r="D558" s="31">
        <v>71.400000000000006</v>
      </c>
      <c r="E558" s="33">
        <v>16</v>
      </c>
      <c r="F558" s="130">
        <f t="shared" si="377"/>
        <v>242188.80000000002</v>
      </c>
      <c r="G558" s="47">
        <f t="shared" si="378"/>
        <v>35414.400000000001</v>
      </c>
      <c r="H558" s="131">
        <f t="shared" si="379"/>
        <v>31987.200000000004</v>
      </c>
      <c r="I558" s="47">
        <f t="shared" si="380"/>
        <v>35414.400000000001</v>
      </c>
      <c r="J558" s="47">
        <f t="shared" si="381"/>
        <v>34272</v>
      </c>
      <c r="K558" s="47">
        <f t="shared" si="382"/>
        <v>35414.400000000001</v>
      </c>
      <c r="L558" s="47">
        <f t="shared" si="383"/>
        <v>34272</v>
      </c>
      <c r="M558" s="47">
        <f t="shared" si="384"/>
        <v>35414.400000000001</v>
      </c>
      <c r="N558" s="47">
        <v>0</v>
      </c>
      <c r="O558" s="47">
        <v>0</v>
      </c>
      <c r="P558" s="47">
        <v>0</v>
      </c>
      <c r="Q558" s="47">
        <v>0</v>
      </c>
      <c r="R558" s="132">
        <v>0</v>
      </c>
      <c r="S558" s="133">
        <v>212</v>
      </c>
    </row>
    <row r="559" spans="1:19" s="7" customFormat="1">
      <c r="A559" s="128"/>
      <c r="B559" s="129">
        <v>6</v>
      </c>
      <c r="C559" s="30" t="s">
        <v>85</v>
      </c>
      <c r="D559" s="31">
        <v>76.59</v>
      </c>
      <c r="E559" s="33">
        <v>1</v>
      </c>
      <c r="F559" s="130">
        <f t="shared" si="377"/>
        <v>16237.08</v>
      </c>
      <c r="G559" s="47">
        <f t="shared" si="378"/>
        <v>2374.29</v>
      </c>
      <c r="H559" s="131">
        <f t="shared" si="379"/>
        <v>2144.52</v>
      </c>
      <c r="I559" s="47">
        <f t="shared" si="380"/>
        <v>2374.29</v>
      </c>
      <c r="J559" s="47">
        <f t="shared" si="381"/>
        <v>2297.7000000000003</v>
      </c>
      <c r="K559" s="47">
        <f t="shared" si="382"/>
        <v>2374.29</v>
      </c>
      <c r="L559" s="47">
        <f t="shared" si="383"/>
        <v>2297.7000000000003</v>
      </c>
      <c r="M559" s="47">
        <f t="shared" si="384"/>
        <v>2374.29</v>
      </c>
      <c r="N559" s="47">
        <v>0</v>
      </c>
      <c r="O559" s="47">
        <v>0</v>
      </c>
      <c r="P559" s="47">
        <v>0</v>
      </c>
      <c r="Q559" s="47">
        <v>0</v>
      </c>
      <c r="R559" s="132">
        <v>0</v>
      </c>
      <c r="S559" s="133">
        <v>212</v>
      </c>
    </row>
    <row r="560" spans="1:19" s="7" customFormat="1">
      <c r="A560" s="128"/>
      <c r="B560" s="129">
        <v>7</v>
      </c>
      <c r="C560" s="30" t="s">
        <v>77</v>
      </c>
      <c r="D560" s="31">
        <v>72.540000000000006</v>
      </c>
      <c r="E560" s="33">
        <v>1</v>
      </c>
      <c r="F560" s="130">
        <f t="shared" si="377"/>
        <v>15378.480000000001</v>
      </c>
      <c r="G560" s="47">
        <f t="shared" si="378"/>
        <v>2248.7400000000002</v>
      </c>
      <c r="H560" s="131">
        <f t="shared" si="379"/>
        <v>2031.1200000000001</v>
      </c>
      <c r="I560" s="47">
        <f t="shared" si="380"/>
        <v>2248.7400000000002</v>
      </c>
      <c r="J560" s="47">
        <f t="shared" si="381"/>
        <v>2176.2000000000003</v>
      </c>
      <c r="K560" s="47">
        <f t="shared" si="382"/>
        <v>2248.7400000000002</v>
      </c>
      <c r="L560" s="47">
        <f t="shared" si="383"/>
        <v>2176.2000000000003</v>
      </c>
      <c r="M560" s="47">
        <f t="shared" si="384"/>
        <v>2248.7400000000002</v>
      </c>
      <c r="N560" s="47">
        <v>0</v>
      </c>
      <c r="O560" s="47">
        <v>0</v>
      </c>
      <c r="P560" s="47">
        <v>0</v>
      </c>
      <c r="Q560" s="47">
        <v>0</v>
      </c>
      <c r="R560" s="132">
        <v>0</v>
      </c>
      <c r="S560" s="133">
        <v>212</v>
      </c>
    </row>
    <row r="561" spans="1:20" s="7" customFormat="1" ht="15.75" customHeight="1">
      <c r="A561" s="128"/>
      <c r="B561" s="129">
        <v>8</v>
      </c>
      <c r="C561" s="436" t="s">
        <v>36</v>
      </c>
      <c r="D561" s="31">
        <v>72.540000000000006</v>
      </c>
      <c r="E561" s="33">
        <v>1</v>
      </c>
      <c r="F561" s="130">
        <f t="shared" si="377"/>
        <v>15378.480000000001</v>
      </c>
      <c r="G561" s="47">
        <f t="shared" si="378"/>
        <v>2248.7400000000002</v>
      </c>
      <c r="H561" s="131">
        <f t="shared" si="379"/>
        <v>2031.1200000000001</v>
      </c>
      <c r="I561" s="47">
        <f t="shared" si="380"/>
        <v>2248.7400000000002</v>
      </c>
      <c r="J561" s="47">
        <f t="shared" si="381"/>
        <v>2176.2000000000003</v>
      </c>
      <c r="K561" s="47">
        <f t="shared" si="382"/>
        <v>2248.7400000000002</v>
      </c>
      <c r="L561" s="47">
        <f t="shared" si="383"/>
        <v>2176.2000000000003</v>
      </c>
      <c r="M561" s="47">
        <f t="shared" si="384"/>
        <v>2248.7400000000002</v>
      </c>
      <c r="N561" s="47">
        <v>0</v>
      </c>
      <c r="O561" s="47">
        <v>0</v>
      </c>
      <c r="P561" s="47">
        <v>0</v>
      </c>
      <c r="Q561" s="47">
        <v>0</v>
      </c>
      <c r="R561" s="132">
        <v>0</v>
      </c>
      <c r="S561" s="133">
        <v>212</v>
      </c>
    </row>
    <row r="562" spans="1:20" s="7" customFormat="1">
      <c r="A562" s="128"/>
      <c r="B562" s="129">
        <v>9</v>
      </c>
      <c r="C562" s="30" t="s">
        <v>39</v>
      </c>
      <c r="D562" s="31">
        <v>78.25</v>
      </c>
      <c r="E562" s="33">
        <v>4</v>
      </c>
      <c r="F562" s="130">
        <f t="shared" si="377"/>
        <v>66356</v>
      </c>
      <c r="G562" s="47">
        <f t="shared" si="378"/>
        <v>9703</v>
      </c>
      <c r="H562" s="131">
        <f t="shared" si="379"/>
        <v>8764</v>
      </c>
      <c r="I562" s="47">
        <f t="shared" si="380"/>
        <v>9703</v>
      </c>
      <c r="J562" s="47">
        <f t="shared" si="381"/>
        <v>9390</v>
      </c>
      <c r="K562" s="47">
        <f t="shared" si="382"/>
        <v>9703</v>
      </c>
      <c r="L562" s="47">
        <f t="shared" si="383"/>
        <v>9390</v>
      </c>
      <c r="M562" s="47">
        <f t="shared" si="384"/>
        <v>9703</v>
      </c>
      <c r="N562" s="47">
        <v>0</v>
      </c>
      <c r="O562" s="47">
        <v>0</v>
      </c>
      <c r="P562" s="47">
        <v>0</v>
      </c>
      <c r="Q562" s="47">
        <v>0</v>
      </c>
      <c r="R562" s="132">
        <v>0</v>
      </c>
      <c r="S562" s="133">
        <v>212</v>
      </c>
    </row>
    <row r="563" spans="1:20" s="13" customFormat="1">
      <c r="A563" s="190"/>
      <c r="B563" s="191">
        <v>9</v>
      </c>
      <c r="C563" s="192" t="s">
        <v>39</v>
      </c>
      <c r="D563" s="193">
        <v>78.25</v>
      </c>
      <c r="E563" s="32">
        <v>1</v>
      </c>
      <c r="F563" s="194">
        <f t="shared" si="377"/>
        <v>4616.75</v>
      </c>
      <c r="G563" s="195">
        <f t="shared" si="378"/>
        <v>2425.75</v>
      </c>
      <c r="H563" s="196">
        <f t="shared" si="379"/>
        <v>2191</v>
      </c>
      <c r="I563" s="195">
        <v>0</v>
      </c>
      <c r="J563" s="195">
        <v>0</v>
      </c>
      <c r="K563" s="195">
        <v>0</v>
      </c>
      <c r="L563" s="195">
        <v>0</v>
      </c>
      <c r="M563" s="195">
        <v>0</v>
      </c>
      <c r="N563" s="195">
        <v>0</v>
      </c>
      <c r="O563" s="195">
        <v>0</v>
      </c>
      <c r="P563" s="195">
        <v>0</v>
      </c>
      <c r="Q563" s="195">
        <v>0</v>
      </c>
      <c r="R563" s="197">
        <v>0</v>
      </c>
      <c r="S563" s="198">
        <f>31+28</f>
        <v>59</v>
      </c>
    </row>
    <row r="564" spans="1:20" s="7" customFormat="1">
      <c r="A564" s="128"/>
      <c r="B564" s="129">
        <v>10</v>
      </c>
      <c r="C564" s="30" t="s">
        <v>32</v>
      </c>
      <c r="D564" s="31">
        <v>71.400000000000006</v>
      </c>
      <c r="E564" s="33">
        <v>123</v>
      </c>
      <c r="F564" s="130">
        <f t="shared" si="377"/>
        <v>1861826.4000000001</v>
      </c>
      <c r="G564" s="47">
        <f t="shared" si="378"/>
        <v>272248.2</v>
      </c>
      <c r="H564" s="131">
        <f t="shared" si="379"/>
        <v>245901.60000000003</v>
      </c>
      <c r="I564" s="47">
        <f t="shared" si="380"/>
        <v>272248.2</v>
      </c>
      <c r="J564" s="47">
        <f t="shared" si="381"/>
        <v>263466</v>
      </c>
      <c r="K564" s="47">
        <f t="shared" si="382"/>
        <v>272248.2</v>
      </c>
      <c r="L564" s="47">
        <f t="shared" si="383"/>
        <v>263466</v>
      </c>
      <c r="M564" s="47">
        <f t="shared" si="384"/>
        <v>272248.2</v>
      </c>
      <c r="N564" s="47">
        <v>0</v>
      </c>
      <c r="O564" s="47">
        <v>0</v>
      </c>
      <c r="P564" s="47">
        <v>0</v>
      </c>
      <c r="Q564" s="47">
        <v>0</v>
      </c>
      <c r="R564" s="132">
        <v>0</v>
      </c>
      <c r="S564" s="133">
        <v>212</v>
      </c>
    </row>
    <row r="565" spans="1:20" s="7" customFormat="1">
      <c r="A565" s="128"/>
      <c r="B565" s="129">
        <v>20</v>
      </c>
      <c r="C565" s="30" t="s">
        <v>32</v>
      </c>
      <c r="D565" s="31">
        <v>71.400000000000006</v>
      </c>
      <c r="E565" s="33">
        <v>1</v>
      </c>
      <c r="F565" s="130">
        <f t="shared" si="377"/>
        <v>12923.400000000001</v>
      </c>
      <c r="G565" s="47">
        <f t="shared" si="378"/>
        <v>2213.4</v>
      </c>
      <c r="H565" s="131">
        <f t="shared" si="379"/>
        <v>1999.2000000000003</v>
      </c>
      <c r="I565" s="47">
        <f t="shared" si="380"/>
        <v>2213.4</v>
      </c>
      <c r="J565" s="47">
        <f t="shared" si="381"/>
        <v>2142</v>
      </c>
      <c r="K565" s="47">
        <f t="shared" si="382"/>
        <v>2213.4</v>
      </c>
      <c r="L565" s="47">
        <f t="shared" si="383"/>
        <v>2142</v>
      </c>
      <c r="M565" s="47">
        <v>0</v>
      </c>
      <c r="N565" s="47">
        <v>0</v>
      </c>
      <c r="O565" s="47">
        <v>0</v>
      </c>
      <c r="P565" s="47">
        <v>0</v>
      </c>
      <c r="Q565" s="47">
        <v>0</v>
      </c>
      <c r="R565" s="132">
        <v>0</v>
      </c>
      <c r="S565" s="133">
        <f>31+28+31+30+31+30</f>
        <v>181</v>
      </c>
    </row>
    <row r="566" spans="1:20" s="7" customFormat="1">
      <c r="A566" s="128"/>
      <c r="B566" s="129">
        <v>19</v>
      </c>
      <c r="C566" s="30" t="s">
        <v>32</v>
      </c>
      <c r="D566" s="31">
        <v>71.400000000000006</v>
      </c>
      <c r="E566" s="33">
        <v>2</v>
      </c>
      <c r="F566" s="130">
        <f t="shared" si="377"/>
        <v>17136</v>
      </c>
      <c r="G566" s="47">
        <f t="shared" si="378"/>
        <v>4426.8</v>
      </c>
      <c r="H566" s="131">
        <f t="shared" si="379"/>
        <v>3998.4000000000005</v>
      </c>
      <c r="I566" s="47">
        <f t="shared" si="380"/>
        <v>4426.8</v>
      </c>
      <c r="J566" s="47">
        <f t="shared" si="381"/>
        <v>4284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0</v>
      </c>
      <c r="R566" s="132">
        <v>0</v>
      </c>
      <c r="S566" s="133">
        <f>31+28+31+30</f>
        <v>120</v>
      </c>
    </row>
    <row r="567" spans="1:20" s="7" customFormat="1">
      <c r="A567" s="128"/>
      <c r="B567" s="129">
        <v>17</v>
      </c>
      <c r="C567" s="30" t="s">
        <v>32</v>
      </c>
      <c r="D567" s="31">
        <v>71.400000000000006</v>
      </c>
      <c r="E567" s="33">
        <v>2</v>
      </c>
      <c r="F567" s="130">
        <f t="shared" si="377"/>
        <v>12852.000000000002</v>
      </c>
      <c r="G567" s="47">
        <f t="shared" si="378"/>
        <v>4426.8</v>
      </c>
      <c r="H567" s="131">
        <f t="shared" si="379"/>
        <v>3998.4000000000005</v>
      </c>
      <c r="I567" s="47">
        <f t="shared" si="380"/>
        <v>4426.8</v>
      </c>
      <c r="J567" s="47">
        <v>0</v>
      </c>
      <c r="K567" s="47">
        <v>0</v>
      </c>
      <c r="L567" s="47">
        <v>0</v>
      </c>
      <c r="M567" s="47">
        <v>0</v>
      </c>
      <c r="N567" s="47">
        <v>0</v>
      </c>
      <c r="O567" s="47">
        <v>0</v>
      </c>
      <c r="P567" s="47">
        <v>0</v>
      </c>
      <c r="Q567" s="47">
        <v>0</v>
      </c>
      <c r="R567" s="132">
        <v>0</v>
      </c>
      <c r="S567" s="133">
        <f>31+28+31</f>
        <v>90</v>
      </c>
    </row>
    <row r="568" spans="1:20" s="289" customFormat="1">
      <c r="A568" s="284"/>
      <c r="B568" s="285">
        <v>11</v>
      </c>
      <c r="C568" s="286" t="s">
        <v>54</v>
      </c>
      <c r="D568" s="287">
        <v>71.400000000000006</v>
      </c>
      <c r="E568" s="36">
        <v>21</v>
      </c>
      <c r="F568" s="249">
        <f t="shared" si="377"/>
        <v>317872.80000000005</v>
      </c>
      <c r="G568" s="47">
        <f t="shared" si="378"/>
        <v>46481.4</v>
      </c>
      <c r="H568" s="131">
        <f t="shared" si="379"/>
        <v>41983.200000000004</v>
      </c>
      <c r="I568" s="47">
        <f t="shared" si="380"/>
        <v>46481.4</v>
      </c>
      <c r="J568" s="47">
        <f t="shared" si="381"/>
        <v>44982</v>
      </c>
      <c r="K568" s="47">
        <f t="shared" si="382"/>
        <v>46481.4</v>
      </c>
      <c r="L568" s="47">
        <f t="shared" si="383"/>
        <v>44982</v>
      </c>
      <c r="M568" s="47">
        <f t="shared" si="384"/>
        <v>46481.4</v>
      </c>
      <c r="N568" s="47">
        <v>0</v>
      </c>
      <c r="O568" s="47">
        <v>0</v>
      </c>
      <c r="P568" s="47">
        <v>0</v>
      </c>
      <c r="Q568" s="47">
        <v>0</v>
      </c>
      <c r="R568" s="132">
        <v>0</v>
      </c>
      <c r="S568" s="437">
        <v>212</v>
      </c>
      <c r="T568" s="7"/>
    </row>
    <row r="569" spans="1:20" s="289" customFormat="1">
      <c r="A569" s="284"/>
      <c r="B569" s="285">
        <v>13</v>
      </c>
      <c r="C569" s="286" t="s">
        <v>54</v>
      </c>
      <c r="D569" s="287">
        <v>71.400000000000006</v>
      </c>
      <c r="E569" s="36">
        <v>1</v>
      </c>
      <c r="F569" s="249">
        <f t="shared" si="377"/>
        <v>0</v>
      </c>
      <c r="G569" s="47">
        <v>0</v>
      </c>
      <c r="H569" s="131">
        <v>0</v>
      </c>
      <c r="I569" s="47">
        <v>0</v>
      </c>
      <c r="J569" s="47">
        <v>0</v>
      </c>
      <c r="K569" s="47">
        <v>0</v>
      </c>
      <c r="L569" s="47">
        <v>0</v>
      </c>
      <c r="M569" s="47">
        <v>0</v>
      </c>
      <c r="N569" s="47">
        <v>0</v>
      </c>
      <c r="O569" s="47">
        <v>0</v>
      </c>
      <c r="P569" s="47">
        <v>0</v>
      </c>
      <c r="Q569" s="47">
        <v>0</v>
      </c>
      <c r="R569" s="132">
        <v>0</v>
      </c>
      <c r="S569" s="437">
        <v>0</v>
      </c>
      <c r="T569" s="7"/>
    </row>
    <row r="570" spans="1:20" s="7" customFormat="1">
      <c r="A570" s="128"/>
      <c r="B570" s="129">
        <v>14</v>
      </c>
      <c r="C570" s="30" t="s">
        <v>82</v>
      </c>
      <c r="D570" s="287">
        <v>71.400000000000006</v>
      </c>
      <c r="E570" s="33">
        <v>1</v>
      </c>
      <c r="F570" s="130">
        <f t="shared" si="377"/>
        <v>5283.6</v>
      </c>
      <c r="G570" s="47">
        <v>0</v>
      </c>
      <c r="H570" s="131">
        <f>E570*D570*28+D570*E570*15</f>
        <v>3070.2000000000003</v>
      </c>
      <c r="I570" s="47">
        <f>E570*D570*31</f>
        <v>2213.4</v>
      </c>
      <c r="J570" s="47">
        <v>0</v>
      </c>
      <c r="K570" s="47">
        <v>0</v>
      </c>
      <c r="L570" s="47">
        <v>0</v>
      </c>
      <c r="M570" s="47">
        <v>0</v>
      </c>
      <c r="N570" s="47">
        <v>0</v>
      </c>
      <c r="O570" s="47">
        <v>0</v>
      </c>
      <c r="P570" s="47">
        <v>0</v>
      </c>
      <c r="Q570" s="47">
        <v>0</v>
      </c>
      <c r="R570" s="132">
        <v>0</v>
      </c>
      <c r="S570" s="133">
        <f>15+28+31</f>
        <v>74</v>
      </c>
    </row>
    <row r="571" spans="1:20" s="7" customFormat="1">
      <c r="A571" s="128"/>
      <c r="B571" s="129"/>
      <c r="C571" s="30" t="s">
        <v>82</v>
      </c>
      <c r="D571" s="287">
        <v>71.400000000000006</v>
      </c>
      <c r="E571" s="33">
        <v>1</v>
      </c>
      <c r="F571" s="130">
        <f t="shared" si="377"/>
        <v>6497.4000000000005</v>
      </c>
      <c r="G571" s="47">
        <v>0</v>
      </c>
      <c r="H571" s="131">
        <v>0</v>
      </c>
      <c r="I571" s="47">
        <v>0</v>
      </c>
      <c r="J571" s="47">
        <f>E571*D571*30</f>
        <v>2142</v>
      </c>
      <c r="K571" s="47">
        <f t="shared" ref="K571:K572" si="385">E571*D571*31</f>
        <v>2213.4</v>
      </c>
      <c r="L571" s="47">
        <f t="shared" ref="L571:L572" si="386">E571*D571*30</f>
        <v>2142</v>
      </c>
      <c r="M571" s="47">
        <v>0</v>
      </c>
      <c r="N571" s="47">
        <v>0</v>
      </c>
      <c r="O571" s="47">
        <v>0</v>
      </c>
      <c r="P571" s="47">
        <v>0</v>
      </c>
      <c r="Q571" s="47">
        <v>0</v>
      </c>
      <c r="R571" s="132">
        <v>0</v>
      </c>
      <c r="S571" s="133">
        <f>30+31+30</f>
        <v>91</v>
      </c>
    </row>
    <row r="572" spans="1:20" s="7" customFormat="1">
      <c r="A572" s="128"/>
      <c r="B572" s="129">
        <v>15</v>
      </c>
      <c r="C572" s="30" t="s">
        <v>82</v>
      </c>
      <c r="D572" s="287">
        <v>71.400000000000006</v>
      </c>
      <c r="E572" s="33">
        <v>1</v>
      </c>
      <c r="F572" s="130">
        <f t="shared" si="377"/>
        <v>11852.400000000001</v>
      </c>
      <c r="G572" s="47">
        <v>0</v>
      </c>
      <c r="H572" s="131">
        <v>0</v>
      </c>
      <c r="I572" s="47">
        <f>E572*D572*31+D572*E572*13</f>
        <v>3141.6000000000004</v>
      </c>
      <c r="J572" s="47">
        <f t="shared" ref="J572" si="387">E572*D572*30</f>
        <v>2142</v>
      </c>
      <c r="K572" s="47">
        <f t="shared" si="385"/>
        <v>2213.4</v>
      </c>
      <c r="L572" s="47">
        <f t="shared" si="386"/>
        <v>2142</v>
      </c>
      <c r="M572" s="47">
        <f t="shared" ref="M572" si="388">E572*D572*31</f>
        <v>2213.4</v>
      </c>
      <c r="N572" s="47">
        <v>0</v>
      </c>
      <c r="O572" s="47">
        <v>0</v>
      </c>
      <c r="P572" s="47">
        <v>0</v>
      </c>
      <c r="Q572" s="47">
        <v>0</v>
      </c>
      <c r="R572" s="132">
        <v>0</v>
      </c>
      <c r="S572" s="133">
        <f>13+31+30+31+30+31</f>
        <v>166</v>
      </c>
    </row>
    <row r="573" spans="1:20" s="7" customFormat="1" ht="15" customHeight="1">
      <c r="A573" s="128"/>
      <c r="B573" s="129">
        <v>12</v>
      </c>
      <c r="C573" s="30" t="s">
        <v>86</v>
      </c>
      <c r="D573" s="31">
        <v>78.25</v>
      </c>
      <c r="E573" s="33">
        <v>1</v>
      </c>
      <c r="F573" s="130">
        <f t="shared" si="377"/>
        <v>16589</v>
      </c>
      <c r="G573" s="47">
        <f t="shared" si="378"/>
        <v>2425.75</v>
      </c>
      <c r="H573" s="131">
        <f t="shared" si="379"/>
        <v>2191</v>
      </c>
      <c r="I573" s="47">
        <f t="shared" si="380"/>
        <v>2425.75</v>
      </c>
      <c r="J573" s="47">
        <f t="shared" si="381"/>
        <v>2347.5</v>
      </c>
      <c r="K573" s="47">
        <f t="shared" si="382"/>
        <v>2425.75</v>
      </c>
      <c r="L573" s="47">
        <f t="shared" si="383"/>
        <v>2347.5</v>
      </c>
      <c r="M573" s="47">
        <f t="shared" si="384"/>
        <v>2425.75</v>
      </c>
      <c r="N573" s="47">
        <v>0</v>
      </c>
      <c r="O573" s="47">
        <v>0</v>
      </c>
      <c r="P573" s="47">
        <v>0</v>
      </c>
      <c r="Q573" s="47">
        <v>0</v>
      </c>
      <c r="R573" s="132">
        <v>0</v>
      </c>
      <c r="S573" s="133">
        <v>212</v>
      </c>
    </row>
    <row r="574" spans="1:20" ht="15.75" thickBot="1">
      <c r="A574" s="438"/>
      <c r="B574" s="199"/>
      <c r="C574" s="333" t="s">
        <v>125</v>
      </c>
      <c r="D574" s="200"/>
      <c r="E574" s="201"/>
      <c r="F574" s="202">
        <f>3224065-SUM(F553:F573)-66165</f>
        <v>11281.850000000093</v>
      </c>
      <c r="G574" s="203"/>
      <c r="H574" s="204"/>
      <c r="I574" s="205"/>
      <c r="J574" s="205"/>
      <c r="K574" s="205"/>
      <c r="L574" s="205"/>
      <c r="M574" s="205"/>
      <c r="N574" s="205"/>
      <c r="O574" s="205"/>
      <c r="P574" s="205"/>
      <c r="Q574" s="205"/>
      <c r="R574" s="363">
        <f>F574</f>
        <v>11281.850000000093</v>
      </c>
      <c r="T574" s="22"/>
    </row>
    <row r="575" spans="1:20">
      <c r="K575" s="22"/>
    </row>
  </sheetData>
  <mergeCells count="34">
    <mergeCell ref="B3:R3"/>
    <mergeCell ref="B4:R4"/>
    <mergeCell ref="B11:R11"/>
    <mergeCell ref="C12:C13"/>
    <mergeCell ref="D12:D13"/>
    <mergeCell ref="E12:E13"/>
    <mergeCell ref="F12:F13"/>
    <mergeCell ref="G12:R12"/>
    <mergeCell ref="C22:D22"/>
    <mergeCell ref="C54:D54"/>
    <mergeCell ref="C55:D55"/>
    <mergeCell ref="C57:D57"/>
    <mergeCell ref="C72:D72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Literal "B"</vt:lpstr>
      <vt:lpstr>ACT1</vt:lpstr>
      <vt:lpstr>ACT2</vt:lpstr>
      <vt:lpstr>ACT3</vt:lpstr>
      <vt:lpstr>ACT4</vt:lpstr>
      <vt:lpstr>ACT6</vt:lpstr>
      <vt:lpstr>ACT7</vt:lpstr>
      <vt:lpstr>ACT8</vt:lpstr>
      <vt:lpstr>REPRO SEPTIEMBRE</vt:lpstr>
      <vt:lpstr>'Literal "B"'!Área_de_impresión</vt:lpstr>
      <vt:lpstr>'Literal "B"'!Títulos_a_imprimir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Rafael Ortiz</cp:lastModifiedBy>
  <cp:lastPrinted>2023-03-06T21:55:02Z</cp:lastPrinted>
  <dcterms:created xsi:type="dcterms:W3CDTF">2022-03-31T18:56:32Z</dcterms:created>
  <dcterms:modified xsi:type="dcterms:W3CDTF">2023-03-10T17:11:00Z</dcterms:modified>
</cp:coreProperties>
</file>