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avasquez\Desktop\ARTÍCULO 17 TER\AÑO 2023\17 TER MES DE AGOSTO 2023\102. DIRECCIÓN GENERAL DE LAS ARTES\"/>
    </mc:Choice>
  </mc:AlternateContent>
  <xr:revisionPtr revIDLastSave="0" documentId="13_ncr:1_{2FF3E0D8-4EC7-4127-9EC0-E5FC22FF8B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teral &quot;B&quot;" sheetId="1" r:id="rId1"/>
  </sheets>
  <definedNames>
    <definedName name="_xlnm.Print_Area" localSheetId="0">'Literal "B"'!$A$1:$AA$51</definedName>
    <definedName name="_xlnm.Print_Titles" localSheetId="0">'Literal "B"'!$1:$18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4" i="1" l="1"/>
  <c r="E44" i="1"/>
  <c r="AH43" i="1"/>
  <c r="AF43" i="1"/>
  <c r="AD43" i="1"/>
  <c r="AB43" i="1"/>
  <c r="AC43" i="1" s="1"/>
  <c r="AA43" i="1"/>
  <c r="Y43" i="1"/>
  <c r="T43" i="1"/>
  <c r="R43" i="1"/>
  <c r="P43" i="1"/>
  <c r="N43" i="1"/>
  <c r="L43" i="1"/>
  <c r="J43" i="1"/>
  <c r="H43" i="1"/>
  <c r="F43" i="1"/>
  <c r="AH42" i="1"/>
  <c r="AB42" i="1"/>
  <c r="AC42" i="1" s="1"/>
  <c r="Z42" i="1"/>
  <c r="AA42" i="1" s="1"/>
  <c r="X42" i="1"/>
  <c r="Y42" i="1" s="1"/>
  <c r="V42" i="1"/>
  <c r="W42" i="1" s="1"/>
  <c r="T42" i="1"/>
  <c r="R42" i="1"/>
  <c r="P42" i="1"/>
  <c r="N42" i="1"/>
  <c r="L42" i="1"/>
  <c r="J42" i="1"/>
  <c r="H42" i="1"/>
  <c r="F42" i="1"/>
  <c r="U42" i="1" s="1"/>
  <c r="AH41" i="1"/>
  <c r="AF41" i="1"/>
  <c r="AD41" i="1"/>
  <c r="AC41" i="1"/>
  <c r="AA41" i="1"/>
  <c r="Y41" i="1"/>
  <c r="AE41" i="1" s="1"/>
  <c r="W41" i="1"/>
  <c r="T41" i="1"/>
  <c r="R41" i="1"/>
  <c r="P41" i="1"/>
  <c r="N41" i="1"/>
  <c r="L41" i="1"/>
  <c r="J41" i="1"/>
  <c r="H41" i="1"/>
  <c r="F41" i="1"/>
  <c r="U41" i="1" s="1"/>
  <c r="AH40" i="1"/>
  <c r="AB40" i="1"/>
  <c r="Z40" i="1"/>
  <c r="AA40" i="1" s="1"/>
  <c r="X40" i="1"/>
  <c r="Y40" i="1" s="1"/>
  <c r="V40" i="1"/>
  <c r="W40" i="1" s="1"/>
  <c r="T40" i="1"/>
  <c r="R40" i="1"/>
  <c r="P40" i="1"/>
  <c r="N40" i="1"/>
  <c r="L40" i="1"/>
  <c r="J40" i="1"/>
  <c r="H40" i="1"/>
  <c r="F40" i="1"/>
  <c r="U40" i="1" s="1"/>
  <c r="AH39" i="1"/>
  <c r="AD39" i="1"/>
  <c r="AC39" i="1"/>
  <c r="AA39" i="1"/>
  <c r="Y39" i="1"/>
  <c r="AE39" i="1" s="1"/>
  <c r="W39" i="1"/>
  <c r="T39" i="1"/>
  <c r="R39" i="1"/>
  <c r="P39" i="1"/>
  <c r="N39" i="1"/>
  <c r="L39" i="1"/>
  <c r="AF39" i="1" s="1"/>
  <c r="J39" i="1"/>
  <c r="H39" i="1"/>
  <c r="F39" i="1"/>
  <c r="AH38" i="1"/>
  <c r="AB38" i="1"/>
  <c r="AC38" i="1" s="1"/>
  <c r="Z38" i="1"/>
  <c r="AF38" i="1" s="1"/>
  <c r="X38" i="1"/>
  <c r="Y38" i="1" s="1"/>
  <c r="W38" i="1"/>
  <c r="T38" i="1"/>
  <c r="R38" i="1"/>
  <c r="P38" i="1"/>
  <c r="N38" i="1"/>
  <c r="L38" i="1"/>
  <c r="J38" i="1"/>
  <c r="H38" i="1"/>
  <c r="F38" i="1"/>
  <c r="U38" i="1" s="1"/>
  <c r="AH37" i="1"/>
  <c r="AD37" i="1"/>
  <c r="AC37" i="1"/>
  <c r="AA37" i="1"/>
  <c r="Y37" i="1"/>
  <c r="AE37" i="1" s="1"/>
  <c r="W37" i="1"/>
  <c r="T37" i="1"/>
  <c r="R37" i="1"/>
  <c r="P37" i="1"/>
  <c r="N37" i="1"/>
  <c r="L37" i="1"/>
  <c r="AF37" i="1" s="1"/>
  <c r="J37" i="1"/>
  <c r="H37" i="1"/>
  <c r="F37" i="1"/>
  <c r="AH36" i="1"/>
  <c r="AC36" i="1"/>
  <c r="Z36" i="1"/>
  <c r="AF36" i="1" s="1"/>
  <c r="Y36" i="1"/>
  <c r="T36" i="1"/>
  <c r="R36" i="1"/>
  <c r="P36" i="1"/>
  <c r="N36" i="1"/>
  <c r="L36" i="1"/>
  <c r="J36" i="1"/>
  <c r="H36" i="1"/>
  <c r="F36" i="1"/>
  <c r="AH35" i="1"/>
  <c r="AC35" i="1"/>
  <c r="Z35" i="1"/>
  <c r="AD35" i="1" s="1"/>
  <c r="Y35" i="1"/>
  <c r="W35" i="1"/>
  <c r="T35" i="1"/>
  <c r="R35" i="1"/>
  <c r="P35" i="1"/>
  <c r="N35" i="1"/>
  <c r="L35" i="1"/>
  <c r="AF35" i="1" s="1"/>
  <c r="J35" i="1"/>
  <c r="J44" i="1" s="1"/>
  <c r="H35" i="1"/>
  <c r="F35" i="1"/>
  <c r="AH34" i="1"/>
  <c r="AC34" i="1"/>
  <c r="AA34" i="1"/>
  <c r="X34" i="1"/>
  <c r="Y34" i="1" s="1"/>
  <c r="AE34" i="1" s="1"/>
  <c r="W34" i="1"/>
  <c r="T34" i="1"/>
  <c r="R34" i="1"/>
  <c r="P34" i="1"/>
  <c r="N34" i="1"/>
  <c r="L34" i="1"/>
  <c r="AF34" i="1" s="1"/>
  <c r="J34" i="1"/>
  <c r="H34" i="1"/>
  <c r="F34" i="1"/>
  <c r="AH33" i="1"/>
  <c r="AD33" i="1"/>
  <c r="AC33" i="1"/>
  <c r="AA33" i="1"/>
  <c r="Y33" i="1"/>
  <c r="T33" i="1"/>
  <c r="R33" i="1"/>
  <c r="P33" i="1"/>
  <c r="N33" i="1"/>
  <c r="L33" i="1"/>
  <c r="AF33" i="1" s="1"/>
  <c r="J33" i="1"/>
  <c r="H33" i="1"/>
  <c r="F33" i="1"/>
  <c r="U33" i="1" s="1"/>
  <c r="AH32" i="1"/>
  <c r="AB32" i="1"/>
  <c r="AD32" i="1" s="1"/>
  <c r="Z32" i="1"/>
  <c r="AA32" i="1" s="1"/>
  <c r="X32" i="1"/>
  <c r="Y32" i="1" s="1"/>
  <c r="V32" i="1"/>
  <c r="W32" i="1" s="1"/>
  <c r="T32" i="1"/>
  <c r="R32" i="1"/>
  <c r="P32" i="1"/>
  <c r="N32" i="1"/>
  <c r="L32" i="1"/>
  <c r="J32" i="1"/>
  <c r="H32" i="1"/>
  <c r="F32" i="1"/>
  <c r="U32" i="1" s="1"/>
  <c r="AH31" i="1"/>
  <c r="AB31" i="1"/>
  <c r="AC31" i="1" s="1"/>
  <c r="Z31" i="1"/>
  <c r="AD31" i="1" s="1"/>
  <c r="Y31" i="1"/>
  <c r="X31" i="1"/>
  <c r="V31" i="1"/>
  <c r="W31" i="1" s="1"/>
  <c r="T31" i="1"/>
  <c r="R31" i="1"/>
  <c r="P31" i="1"/>
  <c r="N31" i="1"/>
  <c r="L31" i="1"/>
  <c r="J31" i="1"/>
  <c r="H31" i="1"/>
  <c r="F31" i="1"/>
  <c r="U31" i="1" s="1"/>
  <c r="AH30" i="1"/>
  <c r="AB30" i="1"/>
  <c r="AC30" i="1" s="1"/>
  <c r="Z30" i="1"/>
  <c r="AA30" i="1" s="1"/>
  <c r="X30" i="1"/>
  <c r="AD30" i="1" s="1"/>
  <c r="V30" i="1"/>
  <c r="W30" i="1" s="1"/>
  <c r="T30" i="1"/>
  <c r="R30" i="1"/>
  <c r="P30" i="1"/>
  <c r="N30" i="1"/>
  <c r="L30" i="1"/>
  <c r="J30" i="1"/>
  <c r="H30" i="1"/>
  <c r="F30" i="1"/>
  <c r="U30" i="1" s="1"/>
  <c r="AH29" i="1"/>
  <c r="AB29" i="1"/>
  <c r="AC29" i="1" s="1"/>
  <c r="Z29" i="1"/>
  <c r="AA29" i="1" s="1"/>
  <c r="X29" i="1"/>
  <c r="AD29" i="1" s="1"/>
  <c r="V29" i="1"/>
  <c r="W29" i="1" s="1"/>
  <c r="T29" i="1"/>
  <c r="R29" i="1"/>
  <c r="P29" i="1"/>
  <c r="N29" i="1"/>
  <c r="L29" i="1"/>
  <c r="J29" i="1"/>
  <c r="H29" i="1"/>
  <c r="F29" i="1"/>
  <c r="U29" i="1" s="1"/>
  <c r="AH28" i="1"/>
  <c r="AB28" i="1"/>
  <c r="AC28" i="1" s="1"/>
  <c r="Z28" i="1"/>
  <c r="AA28" i="1" s="1"/>
  <c r="X28" i="1"/>
  <c r="AD28" i="1" s="1"/>
  <c r="T28" i="1"/>
  <c r="R28" i="1"/>
  <c r="P28" i="1"/>
  <c r="N28" i="1"/>
  <c r="L28" i="1"/>
  <c r="AF28" i="1" s="1"/>
  <c r="J28" i="1"/>
  <c r="H28" i="1"/>
  <c r="F28" i="1"/>
  <c r="AH27" i="1"/>
  <c r="AB27" i="1"/>
  <c r="Z27" i="1"/>
  <c r="AA27" i="1" s="1"/>
  <c r="X27" i="1"/>
  <c r="Y27" i="1" s="1"/>
  <c r="T27" i="1"/>
  <c r="R27" i="1"/>
  <c r="P27" i="1"/>
  <c r="N27" i="1"/>
  <c r="L27" i="1"/>
  <c r="AF27" i="1" s="1"/>
  <c r="J27" i="1"/>
  <c r="H27" i="1"/>
  <c r="F27" i="1"/>
  <c r="T26" i="1"/>
  <c r="N26" i="1"/>
  <c r="E26" i="1"/>
  <c r="AH25" i="1"/>
  <c r="AB25" i="1"/>
  <c r="Z25" i="1"/>
  <c r="AF25" i="1" s="1"/>
  <c r="X25" i="1"/>
  <c r="AD25" i="1" s="1"/>
  <c r="U25" i="1"/>
  <c r="AH24" i="1"/>
  <c r="AB24" i="1"/>
  <c r="AC24" i="1" s="1"/>
  <c r="Z24" i="1"/>
  <c r="AA24" i="1" s="1"/>
  <c r="X24" i="1"/>
  <c r="X26" i="1" s="1"/>
  <c r="V24" i="1"/>
  <c r="V26" i="1" s="1"/>
  <c r="T24" i="1"/>
  <c r="R24" i="1"/>
  <c r="R26" i="1" s="1"/>
  <c r="P24" i="1"/>
  <c r="P26" i="1" s="1"/>
  <c r="N24" i="1"/>
  <c r="L24" i="1"/>
  <c r="L26" i="1" s="1"/>
  <c r="J24" i="1"/>
  <c r="J26" i="1" s="1"/>
  <c r="H24" i="1"/>
  <c r="H26" i="1" s="1"/>
  <c r="F24" i="1"/>
  <c r="U24" i="1" s="1"/>
  <c r="W23" i="1"/>
  <c r="V23" i="1"/>
  <c r="E23" i="1"/>
  <c r="E45" i="1" s="1"/>
  <c r="AH22" i="1"/>
  <c r="AF22" i="1"/>
  <c r="AC22" i="1"/>
  <c r="AB22" i="1"/>
  <c r="AA22" i="1"/>
  <c r="X22" i="1"/>
  <c r="AD22" i="1" s="1"/>
  <c r="T22" i="1"/>
  <c r="R22" i="1"/>
  <c r="P22" i="1"/>
  <c r="N22" i="1"/>
  <c r="L22" i="1"/>
  <c r="J22" i="1"/>
  <c r="H22" i="1"/>
  <c r="H23" i="1" s="1"/>
  <c r="F22" i="1"/>
  <c r="F23" i="1" s="1"/>
  <c r="AH21" i="1"/>
  <c r="AB21" i="1"/>
  <c r="AC21" i="1" s="1"/>
  <c r="Z21" i="1"/>
  <c r="AA21" i="1" s="1"/>
  <c r="Y21" i="1"/>
  <c r="X21" i="1"/>
  <c r="T21" i="1"/>
  <c r="R21" i="1"/>
  <c r="P21" i="1"/>
  <c r="N21" i="1"/>
  <c r="L21" i="1"/>
  <c r="J21" i="1"/>
  <c r="H21" i="1"/>
  <c r="F21" i="1"/>
  <c r="U21" i="1" s="1"/>
  <c r="AH20" i="1"/>
  <c r="AB20" i="1"/>
  <c r="AD20" i="1" s="1"/>
  <c r="Z20" i="1"/>
  <c r="AA20" i="1" s="1"/>
  <c r="X20" i="1"/>
  <c r="Y20" i="1" s="1"/>
  <c r="T20" i="1"/>
  <c r="R20" i="1"/>
  <c r="P20" i="1"/>
  <c r="N20" i="1"/>
  <c r="L20" i="1"/>
  <c r="J20" i="1"/>
  <c r="H20" i="1"/>
  <c r="F20" i="1"/>
  <c r="U20" i="1" s="1"/>
  <c r="AH19" i="1"/>
  <c r="AB19" i="1"/>
  <c r="Z19" i="1"/>
  <c r="Z23" i="1" s="1"/>
  <c r="X19" i="1"/>
  <c r="Y19" i="1" s="1"/>
  <c r="T19" i="1"/>
  <c r="R19" i="1"/>
  <c r="P19" i="1"/>
  <c r="N19" i="1"/>
  <c r="L19" i="1"/>
  <c r="J19" i="1"/>
  <c r="H19" i="1"/>
  <c r="F19" i="1"/>
  <c r="U19" i="1" s="1"/>
  <c r="U43" i="1" l="1"/>
  <c r="Y30" i="1"/>
  <c r="AE30" i="1" s="1"/>
  <c r="AD40" i="1"/>
  <c r="AB23" i="1"/>
  <c r="AD24" i="1"/>
  <c r="AC20" i="1"/>
  <c r="AF20" i="1"/>
  <c r="AA38" i="1"/>
  <c r="AG38" i="1" s="1"/>
  <c r="AI38" i="1" s="1"/>
  <c r="AH23" i="1"/>
  <c r="AA36" i="1"/>
  <c r="AE36" i="1" s="1"/>
  <c r="AE33" i="1"/>
  <c r="U39" i="1"/>
  <c r="AG39" i="1" s="1"/>
  <c r="AI39" i="1" s="1"/>
  <c r="AF19" i="1"/>
  <c r="AF23" i="1" s="1"/>
  <c r="Y22" i="1"/>
  <c r="Y23" i="1" s="1"/>
  <c r="AH26" i="1"/>
  <c r="AB44" i="1"/>
  <c r="AF30" i="1"/>
  <c r="AD34" i="1"/>
  <c r="U36" i="1"/>
  <c r="U37" i="1"/>
  <c r="AG37" i="1" s="1"/>
  <c r="AF40" i="1"/>
  <c r="F44" i="1"/>
  <c r="AF21" i="1"/>
  <c r="U22" i="1"/>
  <c r="R44" i="1"/>
  <c r="AF32" i="1"/>
  <c r="AD36" i="1"/>
  <c r="AD38" i="1"/>
  <c r="Y25" i="1"/>
  <c r="AE25" i="1" s="1"/>
  <c r="AF42" i="1"/>
  <c r="N23" i="1"/>
  <c r="P23" i="1"/>
  <c r="AD21" i="1"/>
  <c r="U28" i="1"/>
  <c r="L44" i="1"/>
  <c r="AA19" i="1"/>
  <c r="P44" i="1"/>
  <c r="J23" i="1"/>
  <c r="J45" i="1" s="1"/>
  <c r="T44" i="1"/>
  <c r="AF31" i="1"/>
  <c r="AB26" i="1"/>
  <c r="R23" i="1"/>
  <c r="R45" i="1" s="1"/>
  <c r="AH44" i="1"/>
  <c r="N44" i="1"/>
  <c r="N45" i="1" s="1"/>
  <c r="U35" i="1"/>
  <c r="T23" i="1"/>
  <c r="V45" i="1"/>
  <c r="U34" i="1"/>
  <c r="H44" i="1"/>
  <c r="AE43" i="1"/>
  <c r="AG21" i="1"/>
  <c r="AG28" i="1"/>
  <c r="AG43" i="1"/>
  <c r="AI43" i="1" s="1"/>
  <c r="AG20" i="1"/>
  <c r="AI20" i="1" s="1"/>
  <c r="AE20" i="1"/>
  <c r="AE21" i="1"/>
  <c r="AG42" i="1"/>
  <c r="AG30" i="1"/>
  <c r="AI30" i="1" s="1"/>
  <c r="W44" i="1"/>
  <c r="U26" i="1"/>
  <c r="H45" i="1"/>
  <c r="AE42" i="1"/>
  <c r="AG41" i="1"/>
  <c r="AI41" i="1" s="1"/>
  <c r="AG29" i="1"/>
  <c r="AG33" i="1"/>
  <c r="AI33" i="1" s="1"/>
  <c r="AG34" i="1"/>
  <c r="AI34" i="1" s="1"/>
  <c r="U23" i="1"/>
  <c r="AA23" i="1"/>
  <c r="AG36" i="1"/>
  <c r="AI36" i="1" s="1"/>
  <c r="AD26" i="1"/>
  <c r="W24" i="1"/>
  <c r="W26" i="1" s="1"/>
  <c r="AA31" i="1"/>
  <c r="AG31" i="1" s="1"/>
  <c r="AA25" i="1"/>
  <c r="AA26" i="1" s="1"/>
  <c r="Y28" i="1"/>
  <c r="AE28" i="1" s="1"/>
  <c r="AC32" i="1"/>
  <c r="AG32" i="1" s="1"/>
  <c r="AI32" i="1" s="1"/>
  <c r="AC40" i="1"/>
  <c r="AG40" i="1" s="1"/>
  <c r="X44" i="1"/>
  <c r="AD19" i="1"/>
  <c r="AD23" i="1" s="1"/>
  <c r="AA35" i="1"/>
  <c r="AE35" i="1" s="1"/>
  <c r="AC25" i="1"/>
  <c r="AC26" i="1" s="1"/>
  <c r="F26" i="1"/>
  <c r="Z44" i="1"/>
  <c r="Z26" i="1"/>
  <c r="AC27" i="1"/>
  <c r="Y29" i="1"/>
  <c r="AE29" i="1" s="1"/>
  <c r="AC19" i="1"/>
  <c r="AC23" i="1" s="1"/>
  <c r="AD27" i="1"/>
  <c r="X23" i="1"/>
  <c r="Y24" i="1"/>
  <c r="AD42" i="1"/>
  <c r="AF24" i="1"/>
  <c r="AF26" i="1" s="1"/>
  <c r="U27" i="1"/>
  <c r="AF29" i="1"/>
  <c r="L23" i="1"/>
  <c r="L45" i="1" s="1"/>
  <c r="AE22" i="1" l="1"/>
  <c r="AH45" i="1"/>
  <c r="AE38" i="1"/>
  <c r="W45" i="1"/>
  <c r="AI21" i="1"/>
  <c r="AI42" i="1"/>
  <c r="AD44" i="1"/>
  <c r="AG22" i="1"/>
  <c r="AI22" i="1" s="1"/>
  <c r="AE40" i="1"/>
  <c r="AF44" i="1"/>
  <c r="P45" i="1"/>
  <c r="AI37" i="1"/>
  <c r="F45" i="1"/>
  <c r="AE31" i="1"/>
  <c r="T45" i="1"/>
  <c r="AI29" i="1"/>
  <c r="Y44" i="1"/>
  <c r="AI40" i="1"/>
  <c r="AA44" i="1"/>
  <c r="AG35" i="1"/>
  <c r="AI35" i="1" s="1"/>
  <c r="Y26" i="1"/>
  <c r="AE24" i="1"/>
  <c r="AE26" i="1" s="1"/>
  <c r="AG25" i="1"/>
  <c r="AI25" i="1" s="1"/>
  <c r="AI31" i="1"/>
  <c r="AE32" i="1"/>
  <c r="AE19" i="1"/>
  <c r="AE23" i="1" s="1"/>
  <c r="AF45" i="1"/>
  <c r="AI28" i="1"/>
  <c r="AD45" i="1"/>
  <c r="AG19" i="1"/>
  <c r="AG23" i="1" s="1"/>
  <c r="U44" i="1"/>
  <c r="U45" i="1" s="1"/>
  <c r="AG27" i="1"/>
  <c r="AC44" i="1"/>
  <c r="AE27" i="1"/>
  <c r="AG24" i="1"/>
  <c r="AI19" i="1" l="1"/>
  <c r="AI23" i="1" s="1"/>
  <c r="AG26" i="1"/>
  <c r="AE44" i="1"/>
  <c r="AG44" i="1"/>
  <c r="AI24" i="1"/>
  <c r="AI26" i="1" s="1"/>
  <c r="AG45" i="1"/>
  <c r="AE45" i="1"/>
  <c r="AI27" i="1"/>
  <c r="AI44" i="1" s="1"/>
  <c r="AI45" i="1" s="1"/>
</calcChain>
</file>

<file path=xl/sharedStrings.xml><?xml version="1.0" encoding="utf-8"?>
<sst xmlns="http://schemas.openxmlformats.org/spreadsheetml/2006/main" count="123" uniqueCount="61">
  <si>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</si>
  <si>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</si>
  <si>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</si>
  <si>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</si>
  <si>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</si>
  <si>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</si>
  <si>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</si>
  <si>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</si>
  <si>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</si>
  <si>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</si>
  <si>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</si>
  <si>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</si>
  <si>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</si>
  <si>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</si>
  <si>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</si>
  <si>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</si>
  <si>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</si>
  <si>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</si>
  <si>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</si>
  <si>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</si>
  <si>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 LAS ARTES</t>
  </si>
  <si>
    <t>PEON VIGILANTE IV</t>
  </si>
  <si>
    <t>PEON VIGIALNTE V</t>
  </si>
  <si>
    <t>CONSERJE</t>
  </si>
  <si>
    <t>PILOTO II VEHICULOS PESADOS</t>
  </si>
  <si>
    <t>SECCIÓN DE SERVICIOS GENERALES</t>
  </si>
  <si>
    <t>28</t>
  </si>
  <si>
    <t>31</t>
  </si>
  <si>
    <t>30</t>
  </si>
  <si>
    <t>CENTRO CULTURAL DE ESCUINTLA, "ARISTIDES CRESPO VILLEGAS"</t>
  </si>
  <si>
    <t>CENTRO CULTURAL MIGUEL ANGEL ASTURIAS</t>
  </si>
  <si>
    <t>TRAMOYISTA</t>
  </si>
  <si>
    <t>ENCARGADA II DE OPERACIONES DE MAQUINARIA Y EQUIPO</t>
  </si>
  <si>
    <t>JARDINERO I</t>
  </si>
  <si>
    <t>TRABAJADORA VIVANDERA</t>
  </si>
  <si>
    <t>HERRERO II</t>
  </si>
  <si>
    <t>ELECTRICISTA III</t>
  </si>
  <si>
    <t>HERRERO III</t>
  </si>
  <si>
    <t>ELECTRICISTA II</t>
  </si>
  <si>
    <t>MENSAJERO II</t>
  </si>
  <si>
    <t>JARDINERO II</t>
  </si>
  <si>
    <t>CARPINTERO IV</t>
  </si>
  <si>
    <t>BODEGUERO IV</t>
  </si>
  <si>
    <t>OPERADOR DE EQUIPO</t>
  </si>
  <si>
    <t>sumas</t>
  </si>
  <si>
    <t>TOTAL 031</t>
  </si>
  <si>
    <t>MENSUAL</t>
  </si>
  <si>
    <t>ANUAL</t>
  </si>
  <si>
    <t>66-2000</t>
  </si>
  <si>
    <t>AJUSTE</t>
  </si>
  <si>
    <t>COMPENSACION</t>
  </si>
  <si>
    <t>TOTAL 033</t>
  </si>
  <si>
    <t>TOTAL DE PUESTOS</t>
  </si>
  <si>
    <t>TOTAL ANUAL</t>
  </si>
  <si>
    <t>Dependencia: Delegación de Recursos Humanos</t>
  </si>
  <si>
    <t>Responsable: Siria Alejandra Pérez Monroy</t>
  </si>
  <si>
    <t>Mayo</t>
  </si>
  <si>
    <t>Junio</t>
  </si>
  <si>
    <t>Julio</t>
  </si>
  <si>
    <t>Mes/ año: AGOSTO 2023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</si>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</sst>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0" fillId="2" borderId="0" xfId="0" applyFill="1"/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>
      <alignment horizontal="center" wrapText="1"/>
    </xf>
    <xf numFmtId="0" fontId="11" fillId="3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5" borderId="5" xfId="1" applyFont="1" applyFill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4" fontId="2" fillId="0" borderId="6" xfId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4" fontId="1" fillId="0" borderId="5" xfId="1" applyFont="1" applyBorder="1" applyAlignment="1">
      <alignment horizontal="center" vertical="center" wrapText="1"/>
    </xf>
    <xf numFmtId="164" fontId="13" fillId="4" borderId="5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/>
    </xf>
    <xf numFmtId="49" fontId="2" fillId="3" borderId="5" xfId="1" applyNumberFormat="1" applyFont="1" applyFill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center" vertical="center" wrapText="1"/>
    </xf>
    <xf numFmtId="44" fontId="1" fillId="0" borderId="5" xfId="0" applyNumberFormat="1" applyFont="1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44" fontId="0" fillId="0" borderId="5" xfId="1" applyFont="1" applyBorder="1"/>
    <xf numFmtId="0" fontId="0" fillId="0" borderId="5" xfId="0" applyBorder="1" applyAlignment="1">
      <alignment horizontal="center"/>
    </xf>
    <xf numFmtId="49" fontId="0" fillId="0" borderId="5" xfId="1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44" fontId="1" fillId="0" borderId="6" xfId="1" applyFont="1" applyBorder="1" applyAlignment="1">
      <alignment horizontal="center" vertical="center" wrapText="1"/>
    </xf>
    <xf numFmtId="44" fontId="2" fillId="5" borderId="6" xfId="1" applyFont="1" applyFill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9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49" fontId="0" fillId="0" borderId="8" xfId="1" applyNumberFormat="1" applyFont="1" applyBorder="1" applyAlignment="1">
      <alignment horizontal="center"/>
    </xf>
    <xf numFmtId="44" fontId="2" fillId="0" borderId="8" xfId="1" applyFont="1" applyBorder="1"/>
    <xf numFmtId="0" fontId="0" fillId="0" borderId="9" xfId="0" applyBorder="1"/>
    <xf numFmtId="0" fontId="2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0" fontId="12" fillId="0" borderId="5" xfId="2" applyFont="1" applyBorder="1" applyAlignment="1">
      <alignment horizontal="center"/>
    </xf>
    <xf numFmtId="0" fontId="8" fillId="6" borderId="5" xfId="2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44" fontId="2" fillId="8" borderId="5" xfId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4" fillId="0" borderId="5" xfId="2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4" xfId="2" xr:uid="{223C1F22-4720-4385-BAD2-3B6FD4535C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0</xdr:row>
      <xdr:rowOff>95249</xdr:rowOff>
    </xdr:from>
    <xdr:to>
      <xdr:col>3</xdr:col>
      <xdr:colOff>334735</xdr:colOff>
      <xdr:row>5</xdr:row>
      <xdr:rowOff>149678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244929" y="95249"/>
          <a:ext cx="3777342" cy="1006929"/>
        </a:xfrm>
        <a:prstGeom prst="rect">
          <a:avLst/>
        </a:prstGeom>
      </xdr:spPr>
    </xdr:pic>
    <xdr:clientData/>
  </xdr:twoCellAnchor>
  <xdr:twoCellAnchor editAs="oneCell">
    <xdr:from>
      <xdr:col>24</xdr:col>
      <xdr:colOff>367392</xdr:colOff>
      <xdr:row>1</xdr:row>
      <xdr:rowOff>81643</xdr:rowOff>
    </xdr:from>
    <xdr:to>
      <xdr:col>29</xdr:col>
      <xdr:colOff>1279071</xdr:colOff>
      <xdr:row>7</xdr:row>
      <xdr:rowOff>27214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FCEB63-9ACB-EE5C-EA57-84E55C8EF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36642" y="272143"/>
          <a:ext cx="4014107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244929</xdr:colOff>
      <xdr:row>0</xdr:row>
      <xdr:rowOff>95249</xdr:rowOff>
    </xdr:from>
    <xdr:to>
      <xdr:col>3</xdr:col>
      <xdr:colOff>334735</xdr:colOff>
      <xdr:row>5</xdr:row>
      <xdr:rowOff>149678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F781DA-7797-4748-A02A-8342CC0F98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244929" y="95249"/>
          <a:ext cx="3785506" cy="1006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0"/>
  <sheetViews>
    <sheetView showGridLines="0" tabSelected="1" zoomScale="70" zoomScaleNormal="70" zoomScaleSheetLayoutView="70" zoomScalePageLayoutView="85" workbookViewId="0">
      <pane ySplit="18" topLeftCell="A19" activePane="bottomLeft" state="frozen"/>
      <selection pane="bottomLeft" activeCell="G54" sqref="G54"/>
    </sheetView>
  </sheetViews>
  <sheetFormatPr baseColWidth="10" defaultRowHeight="15" x14ac:dyDescent="0.25"/>
  <cols>
    <col min="1" max="1" width="6" customWidth="1"/>
    <col min="2" max="2" width="21" customWidth="1"/>
    <col min="3" max="3" width="28.42578125" style="2" customWidth="1"/>
    <col min="4" max="4" width="11.42578125" style="3"/>
    <col min="5" max="5" width="12.7109375" style="4" customWidth="1"/>
    <col min="6" max="6" width="19.42578125" style="3" customWidth="1"/>
    <col min="7" max="7" width="12.7109375" style="4" customWidth="1"/>
    <col min="8" max="8" width="20.28515625" style="3" customWidth="1"/>
    <col min="9" max="9" width="12.7109375" style="5" customWidth="1"/>
    <col min="10" max="10" width="19.7109375" style="3" customWidth="1"/>
    <col min="11" max="11" width="12.7109375" style="4" customWidth="1"/>
    <col min="12" max="12" width="18.7109375" style="3" customWidth="1"/>
    <col min="13" max="13" width="14.85546875" style="3" customWidth="1"/>
    <col min="14" max="14" width="18.7109375" style="3" customWidth="1"/>
    <col min="15" max="15" width="18" style="3" customWidth="1"/>
    <col min="16" max="16" width="17.28515625" style="3" customWidth="1"/>
    <col min="17" max="17" width="18" style="3" customWidth="1"/>
    <col min="18" max="18" width="19.5703125" style="3" customWidth="1"/>
    <col min="19" max="19" width="18.7109375" style="3" customWidth="1"/>
    <col min="20" max="20" width="18.42578125" customWidth="1"/>
    <col min="21" max="21" width="17" customWidth="1"/>
    <col min="22" max="22" width="17" hidden="1" customWidth="1"/>
    <col min="23" max="27" width="20" hidden="1" customWidth="1"/>
    <col min="28" max="28" width="22.85546875" customWidth="1"/>
    <col min="29" max="29" width="18.140625" customWidth="1"/>
    <col min="30" max="30" width="19.42578125" style="3" customWidth="1"/>
    <col min="31" max="31" width="20.85546875" style="3" customWidth="1"/>
    <col min="32" max="32" width="23.7109375" style="3" customWidth="1"/>
    <col min="33" max="33" width="21.5703125" customWidth="1"/>
  </cols>
  <sheetData>
    <row r="1" spans="1:35" x14ac:dyDescent="0.25">
      <c r="C1"/>
      <c r="D1"/>
      <c r="E1"/>
      <c r="F1"/>
      <c r="G1"/>
    </row>
    <row r="2" spans="1:35" x14ac:dyDescent="0.25">
      <c r="C2"/>
      <c r="D2"/>
      <c r="E2"/>
      <c r="F2"/>
      <c r="G2"/>
    </row>
    <row r="3" spans="1:35" x14ac:dyDescent="0.25">
      <c r="C3"/>
      <c r="D3"/>
      <c r="E3"/>
      <c r="F3"/>
      <c r="G3"/>
    </row>
    <row r="4" spans="1:35" x14ac:dyDescent="0.25">
      <c r="C4"/>
      <c r="D4"/>
      <c r="E4"/>
      <c r="F4"/>
      <c r="G4"/>
    </row>
    <row r="5" spans="1:35" x14ac:dyDescent="0.25">
      <c r="C5"/>
      <c r="D5"/>
      <c r="E5"/>
      <c r="F5"/>
      <c r="G5"/>
    </row>
    <row r="6" spans="1:35" x14ac:dyDescent="0.25">
      <c r="C6"/>
      <c r="D6"/>
      <c r="E6"/>
      <c r="F6"/>
      <c r="G6"/>
    </row>
    <row r="7" spans="1:35" ht="26.25" x14ac:dyDescent="0.25">
      <c r="A7" s="12" t="s">
        <v>18</v>
      </c>
      <c r="B7" s="8"/>
      <c r="C7" s="8"/>
      <c r="D7"/>
      <c r="E7"/>
      <c r="F7"/>
      <c r="G7"/>
      <c r="L7" s="61"/>
      <c r="M7" s="61"/>
      <c r="N7" s="61"/>
      <c r="O7" s="61"/>
      <c r="P7" s="61"/>
      <c r="Q7" s="61"/>
      <c r="R7" s="61"/>
      <c r="T7" s="61"/>
    </row>
    <row r="8" spans="1:35" ht="18.75" customHeight="1" x14ac:dyDescent="0.25">
      <c r="A8" s="84" t="s">
        <v>19</v>
      </c>
      <c r="B8" s="84"/>
      <c r="C8" s="84"/>
      <c r="D8" s="84"/>
      <c r="E8" s="84"/>
      <c r="F8" s="84"/>
      <c r="G8" s="84"/>
    </row>
    <row r="9" spans="1:35" ht="23.25" x14ac:dyDescent="0.25">
      <c r="A9" s="8" t="s">
        <v>20</v>
      </c>
      <c r="B9" s="9"/>
      <c r="C9" s="10"/>
      <c r="D9"/>
      <c r="E9"/>
      <c r="F9"/>
      <c r="G9"/>
    </row>
    <row r="10" spans="1:35" ht="19.5" thickBot="1" x14ac:dyDescent="0.3">
      <c r="A10" s="85" t="s">
        <v>54</v>
      </c>
      <c r="B10" s="85"/>
      <c r="C10" s="85"/>
      <c r="D10"/>
      <c r="E10"/>
      <c r="F10"/>
      <c r="G10"/>
      <c r="U10" s="24"/>
      <c r="V10" s="24"/>
      <c r="W10" s="24"/>
      <c r="X10" s="24"/>
      <c r="Y10" s="24"/>
      <c r="Z10" s="24"/>
      <c r="AA10" s="24"/>
    </row>
    <row r="11" spans="1:35" ht="19.5" thickBot="1" x14ac:dyDescent="0.35">
      <c r="A11" s="13" t="s">
        <v>55</v>
      </c>
      <c r="B11" s="13"/>
      <c r="C11" s="13"/>
      <c r="D11"/>
      <c r="E11"/>
      <c r="F11"/>
      <c r="G11"/>
      <c r="K11" s="94"/>
      <c r="L11" s="95"/>
      <c r="M11" s="67"/>
      <c r="N11" s="67"/>
      <c r="O11" s="67"/>
      <c r="P11" s="67"/>
      <c r="Q11" s="67"/>
      <c r="R11" s="67"/>
      <c r="S11" s="56"/>
      <c r="U11" s="24"/>
      <c r="V11" s="24"/>
      <c r="W11" s="24"/>
      <c r="X11" s="24"/>
      <c r="Y11" s="24"/>
      <c r="Z11" s="24"/>
      <c r="AA11" s="24"/>
      <c r="AB11" s="24"/>
    </row>
    <row r="12" spans="1:35" ht="18.75" x14ac:dyDescent="0.25">
      <c r="A12" s="86" t="s">
        <v>59</v>
      </c>
      <c r="B12" s="86"/>
      <c r="C12" s="86"/>
      <c r="D12"/>
      <c r="E12"/>
      <c r="F12"/>
      <c r="G12"/>
      <c r="L12" s="11"/>
      <c r="M12" s="11"/>
      <c r="N12" s="11"/>
      <c r="O12" s="11"/>
      <c r="P12" s="11"/>
      <c r="Q12" s="11"/>
      <c r="R12" s="11"/>
      <c r="S12" s="11"/>
      <c r="U12" s="24"/>
      <c r="V12" s="24"/>
      <c r="W12" s="24"/>
      <c r="X12" s="24"/>
      <c r="Y12" s="24"/>
      <c r="Z12" s="24"/>
      <c r="AA12" s="24"/>
    </row>
    <row r="13" spans="1:35" x14ac:dyDescent="0.25">
      <c r="A13" s="1"/>
      <c r="U13" s="24"/>
      <c r="V13" s="24"/>
      <c r="W13" s="24"/>
      <c r="X13" s="24"/>
      <c r="Y13" s="24"/>
      <c r="Z13" s="24"/>
      <c r="AA13" s="24"/>
    </row>
    <row r="14" spans="1:35" s="63" customFormat="1" ht="15.75" thickBot="1" x14ac:dyDescent="0.3">
      <c r="C14" s="19"/>
      <c r="D14" s="64"/>
      <c r="F14" s="64">
        <v>31</v>
      </c>
      <c r="H14" s="64" t="s">
        <v>26</v>
      </c>
      <c r="I14" s="64"/>
      <c r="J14" s="64" t="s">
        <v>27</v>
      </c>
      <c r="L14" s="64" t="s">
        <v>28</v>
      </c>
      <c r="M14" s="64"/>
      <c r="N14" s="64" t="s">
        <v>27</v>
      </c>
      <c r="O14" s="64"/>
      <c r="P14" s="64" t="s">
        <v>28</v>
      </c>
      <c r="Q14" s="64"/>
      <c r="R14" s="64" t="s">
        <v>27</v>
      </c>
      <c r="S14" s="64"/>
      <c r="T14" s="64" t="s">
        <v>27</v>
      </c>
      <c r="U14" s="64"/>
      <c r="V14" s="65"/>
      <c r="AF14" s="64"/>
      <c r="AG14" s="64"/>
      <c r="AH14" s="64"/>
    </row>
    <row r="15" spans="1:35" s="14" customFormat="1" ht="35.1" customHeight="1" x14ac:dyDescent="0.25">
      <c r="A15" s="87" t="s">
        <v>0</v>
      </c>
      <c r="B15" s="89" t="s">
        <v>1</v>
      </c>
      <c r="C15" s="90" t="s">
        <v>2</v>
      </c>
      <c r="D15" s="92" t="s">
        <v>3</v>
      </c>
      <c r="E15" s="75" t="s">
        <v>4</v>
      </c>
      <c r="F15" s="76"/>
      <c r="G15" s="76"/>
      <c r="H15" s="76"/>
      <c r="I15" s="76"/>
      <c r="J15" s="76"/>
      <c r="K15" s="76"/>
      <c r="L15" s="76"/>
      <c r="M15" s="77"/>
      <c r="N15" s="77"/>
      <c r="O15" s="77"/>
      <c r="P15" s="77"/>
      <c r="Q15" s="77"/>
      <c r="R15" s="77"/>
      <c r="S15" s="77"/>
      <c r="T15" s="78"/>
      <c r="U15" s="54"/>
      <c r="V15" s="83" t="s">
        <v>5</v>
      </c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69" t="s">
        <v>6</v>
      </c>
    </row>
    <row r="16" spans="1:35" s="14" customFormat="1" ht="35.1" customHeight="1" x14ac:dyDescent="0.25">
      <c r="A16" s="88"/>
      <c r="B16" s="74"/>
      <c r="C16" s="91"/>
      <c r="D16" s="93"/>
      <c r="E16" s="79"/>
      <c r="F16" s="80"/>
      <c r="G16" s="80"/>
      <c r="H16" s="80"/>
      <c r="I16" s="80"/>
      <c r="J16" s="80"/>
      <c r="K16" s="80"/>
      <c r="L16" s="80"/>
      <c r="M16" s="81"/>
      <c r="N16" s="81"/>
      <c r="O16" s="81"/>
      <c r="P16" s="81"/>
      <c r="Q16" s="81"/>
      <c r="R16" s="81"/>
      <c r="S16" s="81"/>
      <c r="T16" s="82"/>
      <c r="U16" s="55"/>
      <c r="V16" s="71" t="s">
        <v>7</v>
      </c>
      <c r="W16" s="71"/>
      <c r="X16" s="71" t="s">
        <v>8</v>
      </c>
      <c r="Y16" s="71"/>
      <c r="Z16" s="71" t="s">
        <v>8</v>
      </c>
      <c r="AA16" s="71"/>
      <c r="AB16" s="71" t="s">
        <v>8</v>
      </c>
      <c r="AC16" s="71"/>
      <c r="AD16" s="71" t="s">
        <v>51</v>
      </c>
      <c r="AE16" s="71"/>
      <c r="AF16" s="72" t="s">
        <v>9</v>
      </c>
      <c r="AG16" s="72" t="s">
        <v>10</v>
      </c>
      <c r="AH16" s="72" t="s">
        <v>11</v>
      </c>
      <c r="AI16" s="70"/>
    </row>
    <row r="17" spans="1:35" s="14" customFormat="1" ht="35.1" customHeight="1" x14ac:dyDescent="0.25">
      <c r="A17" s="88"/>
      <c r="B17" s="74"/>
      <c r="C17" s="91"/>
      <c r="D17" s="93"/>
      <c r="E17" s="73" t="s">
        <v>12</v>
      </c>
      <c r="F17" s="73"/>
      <c r="G17" s="73" t="s">
        <v>13</v>
      </c>
      <c r="H17" s="73"/>
      <c r="I17" s="73" t="s">
        <v>14</v>
      </c>
      <c r="J17" s="73"/>
      <c r="K17" s="73" t="s">
        <v>15</v>
      </c>
      <c r="L17" s="73"/>
      <c r="M17" s="73" t="s">
        <v>56</v>
      </c>
      <c r="N17" s="73"/>
      <c r="O17" s="73" t="s">
        <v>57</v>
      </c>
      <c r="P17" s="73"/>
      <c r="Q17" s="73" t="s">
        <v>58</v>
      </c>
      <c r="R17" s="73"/>
      <c r="S17" s="73" t="s">
        <v>60</v>
      </c>
      <c r="T17" s="73"/>
      <c r="U17" s="53" t="s">
        <v>53</v>
      </c>
      <c r="V17" s="74" t="s">
        <v>46</v>
      </c>
      <c r="W17" s="74" t="s">
        <v>47</v>
      </c>
      <c r="X17" s="53" t="s">
        <v>46</v>
      </c>
      <c r="Y17" s="53" t="s">
        <v>47</v>
      </c>
      <c r="Z17" s="53" t="s">
        <v>46</v>
      </c>
      <c r="AA17" s="53" t="s">
        <v>47</v>
      </c>
      <c r="AB17" s="53" t="s">
        <v>46</v>
      </c>
      <c r="AC17" s="53" t="s">
        <v>47</v>
      </c>
      <c r="AD17" s="53" t="s">
        <v>46</v>
      </c>
      <c r="AE17" s="53" t="s">
        <v>47</v>
      </c>
      <c r="AF17" s="72"/>
      <c r="AG17" s="72"/>
      <c r="AH17" s="72"/>
      <c r="AI17" s="70"/>
    </row>
    <row r="18" spans="1:35" s="14" customFormat="1" ht="45" customHeight="1" x14ac:dyDescent="0.25">
      <c r="A18" s="88"/>
      <c r="B18" s="74"/>
      <c r="C18" s="91"/>
      <c r="D18" s="93"/>
      <c r="E18" s="30" t="s">
        <v>16</v>
      </c>
      <c r="F18" s="31" t="s">
        <v>6</v>
      </c>
      <c r="G18" s="30" t="s">
        <v>16</v>
      </c>
      <c r="H18" s="31" t="s">
        <v>6</v>
      </c>
      <c r="I18" s="32" t="s">
        <v>16</v>
      </c>
      <c r="J18" s="31" t="s">
        <v>6</v>
      </c>
      <c r="K18" s="30" t="s">
        <v>16</v>
      </c>
      <c r="L18" s="31" t="s">
        <v>6</v>
      </c>
      <c r="M18" s="30" t="s">
        <v>16</v>
      </c>
      <c r="N18" s="31" t="s">
        <v>6</v>
      </c>
      <c r="O18" s="30" t="s">
        <v>16</v>
      </c>
      <c r="P18" s="31" t="s">
        <v>6</v>
      </c>
      <c r="Q18" s="30" t="s">
        <v>16</v>
      </c>
      <c r="R18" s="31" t="s">
        <v>6</v>
      </c>
      <c r="S18" s="30" t="s">
        <v>16</v>
      </c>
      <c r="T18" s="31" t="s">
        <v>6</v>
      </c>
      <c r="U18" s="53" t="s">
        <v>45</v>
      </c>
      <c r="V18" s="74"/>
      <c r="W18" s="74"/>
      <c r="X18" s="53" t="s">
        <v>48</v>
      </c>
      <c r="Y18" s="53" t="s">
        <v>48</v>
      </c>
      <c r="Z18" s="53" t="s">
        <v>49</v>
      </c>
      <c r="AA18" s="53" t="s">
        <v>49</v>
      </c>
      <c r="AB18" s="53" t="s">
        <v>50</v>
      </c>
      <c r="AC18" s="53" t="s">
        <v>50</v>
      </c>
      <c r="AD18" s="53" t="s">
        <v>46</v>
      </c>
      <c r="AE18" s="53" t="s">
        <v>47</v>
      </c>
      <c r="AF18" s="72"/>
      <c r="AG18" s="72"/>
      <c r="AH18" s="72"/>
      <c r="AI18" s="70"/>
    </row>
    <row r="19" spans="1:35" s="6" customFormat="1" ht="54.95" customHeight="1" x14ac:dyDescent="0.25">
      <c r="A19" s="40">
        <v>1</v>
      </c>
      <c r="B19" s="17" t="s">
        <v>25</v>
      </c>
      <c r="C19" s="15" t="s">
        <v>21</v>
      </c>
      <c r="D19" s="28">
        <v>74.63</v>
      </c>
      <c r="E19" s="29">
        <v>2</v>
      </c>
      <c r="F19" s="27">
        <f>D19*31*E19</f>
        <v>4627.0600000000004</v>
      </c>
      <c r="G19" s="29">
        <v>2</v>
      </c>
      <c r="H19" s="27">
        <f>D19*28*G19</f>
        <v>4179.28</v>
      </c>
      <c r="I19" s="29">
        <v>2</v>
      </c>
      <c r="J19" s="27">
        <f>D19*31*I19</f>
        <v>4627.0600000000004</v>
      </c>
      <c r="K19" s="29">
        <v>2</v>
      </c>
      <c r="L19" s="27">
        <f>D19*30*K19</f>
        <v>4477.8</v>
      </c>
      <c r="M19" s="29">
        <v>2</v>
      </c>
      <c r="N19" s="27">
        <f>D19*M19*31</f>
        <v>4627.0600000000004</v>
      </c>
      <c r="O19" s="29">
        <v>2</v>
      </c>
      <c r="P19" s="27">
        <f>D19*O19*30</f>
        <v>4477.8</v>
      </c>
      <c r="Q19" s="29">
        <v>2</v>
      </c>
      <c r="R19" s="27">
        <f>D19*Q19*31</f>
        <v>4627.0600000000004</v>
      </c>
      <c r="S19" s="29">
        <v>2</v>
      </c>
      <c r="T19" s="27">
        <f>D19*S19*31</f>
        <v>4627.0600000000004</v>
      </c>
      <c r="U19" s="27">
        <f>F19+H19+J19+L19+N19+P19</f>
        <v>27016.06</v>
      </c>
      <c r="V19" s="33">
        <v>0</v>
      </c>
      <c r="W19" s="33">
        <v>0</v>
      </c>
      <c r="X19" s="33">
        <f>250*2</f>
        <v>500</v>
      </c>
      <c r="Y19" s="33">
        <f>X19*4</f>
        <v>2000</v>
      </c>
      <c r="Z19" s="33">
        <f>504*2</f>
        <v>1008</v>
      </c>
      <c r="AA19" s="33">
        <f>Z19*4</f>
        <v>4032</v>
      </c>
      <c r="AB19" s="33">
        <f>1500*2</f>
        <v>3000</v>
      </c>
      <c r="AC19" s="33">
        <f>AB19*4</f>
        <v>12000</v>
      </c>
      <c r="AD19" s="27">
        <f>X19+Z19+AB19</f>
        <v>4508</v>
      </c>
      <c r="AE19" s="27">
        <f>Y19+AA19+AC19</f>
        <v>18032</v>
      </c>
      <c r="AF19" s="27">
        <f>(((L19+V19+Z19+AB19)/365)*120)</f>
        <v>2789.85</v>
      </c>
      <c r="AG19" s="27">
        <f>(((U19+W19+AA19+AC19)/12))</f>
        <v>3587.34</v>
      </c>
      <c r="AH19" s="34">
        <f>(((200/365)*120))*2</f>
        <v>131.51</v>
      </c>
      <c r="AI19" s="41">
        <f>U19+W19+Y19+AA19+AC19+AF19+AG19+AH19</f>
        <v>51556.76</v>
      </c>
    </row>
    <row r="20" spans="1:35" ht="54.95" customHeight="1" x14ac:dyDescent="0.25">
      <c r="A20" s="7">
        <v>2</v>
      </c>
      <c r="B20" s="17" t="s">
        <v>25</v>
      </c>
      <c r="C20" s="15" t="s">
        <v>22</v>
      </c>
      <c r="D20" s="28">
        <v>75.64</v>
      </c>
      <c r="E20" s="29">
        <v>4</v>
      </c>
      <c r="F20" s="27">
        <f>D20*31*E20</f>
        <v>9379.36</v>
      </c>
      <c r="G20" s="29">
        <v>4</v>
      </c>
      <c r="H20" s="27">
        <f>D20*28*G20</f>
        <v>8471.68</v>
      </c>
      <c r="I20" s="29">
        <v>4</v>
      </c>
      <c r="J20" s="27">
        <f>D20*31*I20</f>
        <v>9379.36</v>
      </c>
      <c r="K20" s="29">
        <v>4</v>
      </c>
      <c r="L20" s="27">
        <f>D20*30*K20</f>
        <v>9076.7999999999993</v>
      </c>
      <c r="M20" s="29">
        <v>4</v>
      </c>
      <c r="N20" s="27">
        <f t="shared" ref="N20:N22" si="0">D20*M20*31</f>
        <v>9379.36</v>
      </c>
      <c r="O20" s="29">
        <v>4</v>
      </c>
      <c r="P20" s="27">
        <f t="shared" ref="P20:P22" si="1">D20*O20*30</f>
        <v>9076.7999999999993</v>
      </c>
      <c r="Q20" s="29">
        <v>4</v>
      </c>
      <c r="R20" s="27">
        <f t="shared" ref="R20:R22" si="2">D20*Q20*31</f>
        <v>9379.36</v>
      </c>
      <c r="S20" s="29">
        <v>4</v>
      </c>
      <c r="T20" s="27">
        <f>D20*3*31</f>
        <v>7034.52</v>
      </c>
      <c r="U20" s="27">
        <f>F20+H20+J20+L20+N20+P20</f>
        <v>54763.360000000001</v>
      </c>
      <c r="V20" s="33">
        <v>0</v>
      </c>
      <c r="W20" s="33">
        <v>0</v>
      </c>
      <c r="X20" s="33">
        <f>250*4</f>
        <v>1000</v>
      </c>
      <c r="Y20" s="33">
        <f t="shared" ref="Y20:Y22" si="3">X20*4</f>
        <v>4000</v>
      </c>
      <c r="Z20" s="33">
        <f>500*4</f>
        <v>2000</v>
      </c>
      <c r="AA20" s="33">
        <f>Z20*4</f>
        <v>8000</v>
      </c>
      <c r="AB20" s="33">
        <f>1500*4</f>
        <v>6000</v>
      </c>
      <c r="AC20" s="33">
        <f t="shared" ref="AC20:AC22" si="4">AB20*4</f>
        <v>24000</v>
      </c>
      <c r="AD20" s="27">
        <f t="shared" ref="AD20:AE21" si="5">X20+Z20+AB20</f>
        <v>9000</v>
      </c>
      <c r="AE20" s="27">
        <f t="shared" si="5"/>
        <v>36000</v>
      </c>
      <c r="AF20" s="27">
        <f>(((L20+V20+Z20+AB20)/365)*120)</f>
        <v>5614.29</v>
      </c>
      <c r="AG20" s="27">
        <f t="shared" ref="AG20:AG22" si="6">(((U20+W20+AA20+AC20)/12))</f>
        <v>7230.28</v>
      </c>
      <c r="AH20" s="34">
        <f>(((200/365)*120))*4</f>
        <v>263.01</v>
      </c>
      <c r="AI20" s="41">
        <f t="shared" ref="AI20:AI24" si="7">U20+W20+Y20+AA20+AC20+AF20+AG20+AH20</f>
        <v>103870.94</v>
      </c>
    </row>
    <row r="21" spans="1:35" ht="54.95" customHeight="1" x14ac:dyDescent="0.25">
      <c r="A21" s="7">
        <v>3</v>
      </c>
      <c r="B21" s="17" t="s">
        <v>25</v>
      </c>
      <c r="C21" s="15" t="s">
        <v>23</v>
      </c>
      <c r="D21" s="28">
        <v>71.400000000000006</v>
      </c>
      <c r="E21" s="29">
        <v>6</v>
      </c>
      <c r="F21" s="27">
        <f>D21*31*E21</f>
        <v>13280.4</v>
      </c>
      <c r="G21" s="29">
        <v>6</v>
      </c>
      <c r="H21" s="27">
        <f>D21*28*G21</f>
        <v>11995.2</v>
      </c>
      <c r="I21" s="29">
        <v>6</v>
      </c>
      <c r="J21" s="27">
        <f>D21*31*I21</f>
        <v>13280.4</v>
      </c>
      <c r="K21" s="29">
        <v>6</v>
      </c>
      <c r="L21" s="27">
        <f>D21*30*K21</f>
        <v>12852</v>
      </c>
      <c r="M21" s="29">
        <v>6</v>
      </c>
      <c r="N21" s="27">
        <f t="shared" si="0"/>
        <v>13280.4</v>
      </c>
      <c r="O21" s="29">
        <v>6</v>
      </c>
      <c r="P21" s="27">
        <f t="shared" si="1"/>
        <v>12852</v>
      </c>
      <c r="Q21" s="29">
        <v>6</v>
      </c>
      <c r="R21" s="27">
        <f t="shared" si="2"/>
        <v>13280.4</v>
      </c>
      <c r="S21" s="29">
        <v>6</v>
      </c>
      <c r="T21" s="27">
        <f>D21*5*31</f>
        <v>11067</v>
      </c>
      <c r="U21" s="27">
        <f>F21+H21+J21+L21+N21+P21</f>
        <v>77540.399999999994</v>
      </c>
      <c r="V21" s="33">
        <v>0</v>
      </c>
      <c r="W21" s="33">
        <v>0</v>
      </c>
      <c r="X21" s="33">
        <f>250*6</f>
        <v>1500</v>
      </c>
      <c r="Y21" s="33">
        <f t="shared" si="3"/>
        <v>6000</v>
      </c>
      <c r="Z21" s="33">
        <f>601*5</f>
        <v>3005</v>
      </c>
      <c r="AA21" s="33">
        <f>Z21*4</f>
        <v>12020</v>
      </c>
      <c r="AB21" s="33">
        <f>1500*6</f>
        <v>9000</v>
      </c>
      <c r="AC21" s="33">
        <f t="shared" si="4"/>
        <v>36000</v>
      </c>
      <c r="AD21" s="27">
        <f t="shared" si="5"/>
        <v>13505</v>
      </c>
      <c r="AE21" s="27">
        <f t="shared" si="5"/>
        <v>54020</v>
      </c>
      <c r="AF21" s="27">
        <f>(((L21+V21+Z21+AB21)/365)*120)</f>
        <v>8172.16</v>
      </c>
      <c r="AG21" s="27">
        <f t="shared" si="6"/>
        <v>10463.370000000001</v>
      </c>
      <c r="AH21" s="34">
        <f>(((200/365)*120))*6</f>
        <v>394.52</v>
      </c>
      <c r="AI21" s="41">
        <f t="shared" si="7"/>
        <v>150590.45000000001</v>
      </c>
    </row>
    <row r="22" spans="1:35" ht="54.95" customHeight="1" x14ac:dyDescent="0.25">
      <c r="A22" s="7">
        <v>4</v>
      </c>
      <c r="B22" s="17" t="s">
        <v>25</v>
      </c>
      <c r="C22" s="16" t="s">
        <v>24</v>
      </c>
      <c r="D22" s="28">
        <v>78.25</v>
      </c>
      <c r="E22" s="29">
        <v>2</v>
      </c>
      <c r="F22" s="27">
        <f>D22*31*E22</f>
        <v>4851.5</v>
      </c>
      <c r="G22" s="29">
        <v>2</v>
      </c>
      <c r="H22" s="27">
        <f>D22*28*G22</f>
        <v>4382</v>
      </c>
      <c r="I22" s="29">
        <v>2</v>
      </c>
      <c r="J22" s="27">
        <f>D22*31*I22</f>
        <v>4851.5</v>
      </c>
      <c r="K22" s="29">
        <v>2</v>
      </c>
      <c r="L22" s="27">
        <f>D22*30*K22</f>
        <v>4695</v>
      </c>
      <c r="M22" s="29">
        <v>2</v>
      </c>
      <c r="N22" s="27">
        <f t="shared" si="0"/>
        <v>4851.5</v>
      </c>
      <c r="O22" s="29">
        <v>2</v>
      </c>
      <c r="P22" s="27">
        <f t="shared" si="1"/>
        <v>4695</v>
      </c>
      <c r="Q22" s="29">
        <v>2</v>
      </c>
      <c r="R22" s="27">
        <f t="shared" si="2"/>
        <v>4851.5</v>
      </c>
      <c r="S22" s="29">
        <v>2</v>
      </c>
      <c r="T22" s="27">
        <f>D22*S22*31</f>
        <v>4851.5</v>
      </c>
      <c r="U22" s="27">
        <f>F22+H22+J22+L22+N22+P22</f>
        <v>28326.5</v>
      </c>
      <c r="V22" s="33">
        <v>0</v>
      </c>
      <c r="W22" s="33">
        <v>0</v>
      </c>
      <c r="X22" s="33">
        <f>250*2</f>
        <v>500</v>
      </c>
      <c r="Y22" s="33">
        <f t="shared" si="3"/>
        <v>2000</v>
      </c>
      <c r="Z22" s="33">
        <v>395</v>
      </c>
      <c r="AA22" s="33">
        <f>Z22*4</f>
        <v>1580</v>
      </c>
      <c r="AB22" s="33">
        <f>1500*2</f>
        <v>3000</v>
      </c>
      <c r="AC22" s="33">
        <f t="shared" si="4"/>
        <v>12000</v>
      </c>
      <c r="AD22" s="27">
        <f>X22+Z22+AB22</f>
        <v>3895</v>
      </c>
      <c r="AE22" s="27">
        <f>Y22+AA22+AC22</f>
        <v>15580</v>
      </c>
      <c r="AF22" s="27">
        <f>(((L22+V22+Z22+AB22)/365)*120)</f>
        <v>2659.73</v>
      </c>
      <c r="AG22" s="27">
        <f t="shared" si="6"/>
        <v>3492.21</v>
      </c>
      <c r="AH22" s="34">
        <f>(((200/365)*120))*2</f>
        <v>131.51</v>
      </c>
      <c r="AI22" s="41">
        <f t="shared" si="7"/>
        <v>50189.95</v>
      </c>
    </row>
    <row r="23" spans="1:35" ht="54.95" customHeight="1" x14ac:dyDescent="0.25">
      <c r="A23" s="7"/>
      <c r="B23" s="17" t="s">
        <v>44</v>
      </c>
      <c r="C23" s="16"/>
      <c r="D23" s="28"/>
      <c r="E23" s="58">
        <f>SUM(E19:E22)</f>
        <v>14</v>
      </c>
      <c r="F23" s="60">
        <f>SUM(F19:F22)</f>
        <v>32138.32</v>
      </c>
      <c r="G23" s="29"/>
      <c r="H23" s="21">
        <f>SUM(H19:H22)</f>
        <v>29028.16</v>
      </c>
      <c r="I23" s="29"/>
      <c r="J23" s="60">
        <f>SUM(J19:J22)</f>
        <v>32138.32</v>
      </c>
      <c r="K23" s="29"/>
      <c r="L23" s="60">
        <f>SUM(L19:L22)</f>
        <v>31101.599999999999</v>
      </c>
      <c r="M23" s="29"/>
      <c r="N23" s="60">
        <f>SUM(N19:N22)</f>
        <v>32138.32</v>
      </c>
      <c r="O23" s="29"/>
      <c r="P23" s="60">
        <f>SUM(P19:P22)</f>
        <v>31101.599999999999</v>
      </c>
      <c r="Q23" s="29"/>
      <c r="R23" s="60">
        <f>SUM(R19:R22)</f>
        <v>32138.32</v>
      </c>
      <c r="S23" s="29"/>
      <c r="T23" s="62">
        <f>SUM(T19:T22)</f>
        <v>27580.080000000002</v>
      </c>
      <c r="U23" s="21">
        <f>SUM(U19:U22)</f>
        <v>187646.32</v>
      </c>
      <c r="V23" s="23">
        <f t="shared" ref="V23:AE23" si="8">SUM(V19:V22)</f>
        <v>0</v>
      </c>
      <c r="W23" s="23">
        <f t="shared" si="8"/>
        <v>0</v>
      </c>
      <c r="X23" s="23">
        <f t="shared" si="8"/>
        <v>3500</v>
      </c>
      <c r="Y23" s="23">
        <f t="shared" si="8"/>
        <v>14000</v>
      </c>
      <c r="Z23" s="23">
        <f t="shared" si="8"/>
        <v>6408</v>
      </c>
      <c r="AA23" s="23">
        <f t="shared" si="8"/>
        <v>25632</v>
      </c>
      <c r="AB23" s="23">
        <f t="shared" si="8"/>
        <v>21000</v>
      </c>
      <c r="AC23" s="23">
        <f t="shared" si="8"/>
        <v>84000</v>
      </c>
      <c r="AD23" s="21">
        <f t="shared" si="8"/>
        <v>30908</v>
      </c>
      <c r="AE23" s="21">
        <f t="shared" si="8"/>
        <v>123632</v>
      </c>
      <c r="AF23" s="18">
        <f>SUM(AF19:AF22)</f>
        <v>19236.03</v>
      </c>
      <c r="AG23" s="18">
        <f>SUM(AG19:AG22)</f>
        <v>24773.200000000001</v>
      </c>
      <c r="AH23" s="18">
        <f>SUM(AH19:AH22)</f>
        <v>920.55</v>
      </c>
      <c r="AI23" s="25">
        <f>SUM(AI19:AI22)</f>
        <v>356208.1</v>
      </c>
    </row>
    <row r="24" spans="1:35" ht="54.95" customHeight="1" x14ac:dyDescent="0.25">
      <c r="A24" s="7">
        <v>1</v>
      </c>
      <c r="B24" s="17" t="s">
        <v>29</v>
      </c>
      <c r="C24" s="15" t="s">
        <v>21</v>
      </c>
      <c r="D24" s="28">
        <v>74.63</v>
      </c>
      <c r="E24" s="29">
        <v>6</v>
      </c>
      <c r="F24" s="27">
        <f>D24*31*E24</f>
        <v>13881.18</v>
      </c>
      <c r="G24" s="29">
        <v>6</v>
      </c>
      <c r="H24" s="27">
        <f t="shared" ref="H24" si="9">D24*28*G24</f>
        <v>12537.84</v>
      </c>
      <c r="I24" s="29">
        <v>6</v>
      </c>
      <c r="J24" s="27">
        <f t="shared" ref="J24" si="10">D24*31*I24</f>
        <v>13881.18</v>
      </c>
      <c r="K24" s="29">
        <v>6</v>
      </c>
      <c r="L24" s="27">
        <f t="shared" ref="L24" si="11">D24*30*K24</f>
        <v>13433.4</v>
      </c>
      <c r="M24" s="29">
        <v>6</v>
      </c>
      <c r="N24" s="27">
        <f>D24*M24*31</f>
        <v>13881.18</v>
      </c>
      <c r="O24" s="29">
        <v>6</v>
      </c>
      <c r="P24" s="27">
        <f>D24*O24*30</f>
        <v>13433.4</v>
      </c>
      <c r="Q24" s="29">
        <v>6</v>
      </c>
      <c r="R24" s="27">
        <f>D24*Q24*31</f>
        <v>13881.18</v>
      </c>
      <c r="S24" s="29">
        <v>6</v>
      </c>
      <c r="T24" s="27">
        <f>D24*E24*31</f>
        <v>13881.18</v>
      </c>
      <c r="U24" s="27">
        <f>F24+H24+J24+L24+N24+P24</f>
        <v>81048.179999999993</v>
      </c>
      <c r="V24" s="26">
        <f>50*4</f>
        <v>200</v>
      </c>
      <c r="W24" s="26">
        <f>V24*4</f>
        <v>800</v>
      </c>
      <c r="X24" s="26">
        <f>250*6</f>
        <v>1500</v>
      </c>
      <c r="Y24" s="26">
        <f>X24*4</f>
        <v>6000</v>
      </c>
      <c r="Z24" s="26">
        <f>500*3+504*3</f>
        <v>3012</v>
      </c>
      <c r="AA24" s="26">
        <f>Z24*4</f>
        <v>12048</v>
      </c>
      <c r="AB24" s="26">
        <f>1500*6</f>
        <v>9000</v>
      </c>
      <c r="AC24" s="26">
        <f>AB24*4</f>
        <v>36000</v>
      </c>
      <c r="AD24" s="27">
        <f>X24+Z24+AB24</f>
        <v>13512</v>
      </c>
      <c r="AE24" s="27">
        <f>Y24+AA24+AC24</f>
        <v>54048</v>
      </c>
      <c r="AF24" s="27">
        <f>(((L24+V24+Z24+AB24)/365)*120)</f>
        <v>8431.36</v>
      </c>
      <c r="AG24" s="27">
        <f>(((U24+W24+AA24+AC24)/12))</f>
        <v>10824.68</v>
      </c>
      <c r="AH24" s="34">
        <f>(((200/365)*120))*6</f>
        <v>394.52</v>
      </c>
      <c r="AI24" s="41">
        <f t="shared" si="7"/>
        <v>155546.74</v>
      </c>
    </row>
    <row r="25" spans="1:35" ht="54.95" customHeight="1" x14ac:dyDescent="0.25">
      <c r="A25" s="7">
        <v>2</v>
      </c>
      <c r="B25" s="17" t="s">
        <v>29</v>
      </c>
      <c r="C25" s="15" t="s">
        <v>22</v>
      </c>
      <c r="D25" s="28">
        <v>75.64</v>
      </c>
      <c r="E25" s="29">
        <v>1</v>
      </c>
      <c r="F25" s="27">
        <v>0</v>
      </c>
      <c r="G25" s="29">
        <v>1</v>
      </c>
      <c r="H25" s="27">
        <v>0</v>
      </c>
      <c r="I25" s="29">
        <v>1</v>
      </c>
      <c r="J25" s="27">
        <v>0</v>
      </c>
      <c r="K25" s="29">
        <v>1</v>
      </c>
      <c r="L25" s="27">
        <v>0</v>
      </c>
      <c r="M25" s="29">
        <v>1</v>
      </c>
      <c r="N25" s="27">
        <v>0</v>
      </c>
      <c r="O25" s="29">
        <v>1</v>
      </c>
      <c r="P25" s="27">
        <v>0</v>
      </c>
      <c r="Q25" s="29">
        <v>1</v>
      </c>
      <c r="R25" s="27">
        <v>0</v>
      </c>
      <c r="S25" s="29">
        <v>1</v>
      </c>
      <c r="T25" s="27">
        <v>0</v>
      </c>
      <c r="U25" s="27">
        <f>F25+H25+J25+L25+N25+P25</f>
        <v>0</v>
      </c>
      <c r="V25" s="26">
        <v>0</v>
      </c>
      <c r="W25" s="26">
        <v>0</v>
      </c>
      <c r="X25" s="26">
        <f>250</f>
        <v>250</v>
      </c>
      <c r="Y25" s="26">
        <f>X25*4</f>
        <v>1000</v>
      </c>
      <c r="Z25" s="26">
        <f>500</f>
        <v>500</v>
      </c>
      <c r="AA25" s="26">
        <f>Z25*4</f>
        <v>2000</v>
      </c>
      <c r="AB25" s="26">
        <f>1500</f>
        <v>1500</v>
      </c>
      <c r="AC25" s="26">
        <f>AB25*4</f>
        <v>6000</v>
      </c>
      <c r="AD25" s="27">
        <f>X25+Z25+AB25</f>
        <v>2250</v>
      </c>
      <c r="AE25" s="27">
        <f>Y25+AA25+AC25</f>
        <v>9000</v>
      </c>
      <c r="AF25" s="27">
        <f>(((L25+V25+Z25+AB25)/365)*120)</f>
        <v>657.53</v>
      </c>
      <c r="AG25" s="27">
        <f t="shared" ref="AG25:AG43" si="12">(((U25+W25+AA25+AC25)/12))</f>
        <v>666.67</v>
      </c>
      <c r="AH25" s="34">
        <f>(((200/365)*120))*1</f>
        <v>65.75</v>
      </c>
      <c r="AI25" s="41">
        <f>U25+W25+Y25+AA25+AC25+AF25+AG25+AH25</f>
        <v>10389.950000000001</v>
      </c>
    </row>
    <row r="26" spans="1:35" ht="54.95" customHeight="1" x14ac:dyDescent="0.25">
      <c r="A26" s="7"/>
      <c r="B26" s="17" t="s">
        <v>44</v>
      </c>
      <c r="C26" s="15"/>
      <c r="D26" s="28"/>
      <c r="E26" s="58">
        <f>SUM(E24:E25)</f>
        <v>7</v>
      </c>
      <c r="F26" s="60">
        <f>SUM(F24:F25)</f>
        <v>13881.18</v>
      </c>
      <c r="G26" s="29"/>
      <c r="H26" s="21">
        <f>SUM(H24:H25)</f>
        <v>12537.84</v>
      </c>
      <c r="I26" s="29"/>
      <c r="J26" s="60">
        <f>SUM(J24:J25)</f>
        <v>13881.18</v>
      </c>
      <c r="K26" s="29"/>
      <c r="L26" s="60">
        <f>SUM(L24:L25)</f>
        <v>13433.4</v>
      </c>
      <c r="M26" s="29"/>
      <c r="N26" s="60">
        <f>SUM(N24:N25)</f>
        <v>13881.18</v>
      </c>
      <c r="O26" s="29"/>
      <c r="P26" s="60">
        <f>SUM(P24:P25)</f>
        <v>13433.4</v>
      </c>
      <c r="Q26" s="29"/>
      <c r="R26" s="60">
        <f>SUM(R24:R25)</f>
        <v>13881.18</v>
      </c>
      <c r="S26" s="29"/>
      <c r="T26" s="62">
        <f>SUM(T24:T25)</f>
        <v>13881.18</v>
      </c>
      <c r="U26" s="21">
        <f>SUM(U24:U25)</f>
        <v>81048.179999999993</v>
      </c>
      <c r="V26" s="23">
        <f t="shared" ref="V26:AD26" si="13">SUM(V24:V25)</f>
        <v>200</v>
      </c>
      <c r="W26" s="23">
        <f t="shared" si="13"/>
        <v>800</v>
      </c>
      <c r="X26" s="23">
        <f t="shared" si="13"/>
        <v>1750</v>
      </c>
      <c r="Y26" s="23">
        <f t="shared" si="13"/>
        <v>7000</v>
      </c>
      <c r="Z26" s="23">
        <f t="shared" si="13"/>
        <v>3512</v>
      </c>
      <c r="AA26" s="23">
        <f t="shared" si="13"/>
        <v>14048</v>
      </c>
      <c r="AB26" s="23">
        <f t="shared" si="13"/>
        <v>10500</v>
      </c>
      <c r="AC26" s="23">
        <f t="shared" si="13"/>
        <v>42000</v>
      </c>
      <c r="AD26" s="21">
        <f t="shared" si="13"/>
        <v>15762</v>
      </c>
      <c r="AE26" s="21">
        <f>SUM(AE24:AE25)</f>
        <v>63048</v>
      </c>
      <c r="AF26" s="18">
        <f t="shared" ref="AF26:AG26" si="14">SUM(AF24:AF25)</f>
        <v>9088.89</v>
      </c>
      <c r="AG26" s="18">
        <f t="shared" si="14"/>
        <v>11491.35</v>
      </c>
      <c r="AH26" s="18">
        <f>SUM(AH24:AH25)</f>
        <v>460.27</v>
      </c>
      <c r="AI26" s="25">
        <f>SUM(AI24:AI25)</f>
        <v>165936.69</v>
      </c>
    </row>
    <row r="27" spans="1:35" ht="54.95" customHeight="1" x14ac:dyDescent="0.25">
      <c r="A27" s="7"/>
      <c r="B27" s="17" t="s">
        <v>30</v>
      </c>
      <c r="C27" s="15" t="s">
        <v>21</v>
      </c>
      <c r="D27" s="28">
        <v>74.63</v>
      </c>
      <c r="E27" s="29">
        <v>3</v>
      </c>
      <c r="F27" s="27">
        <f>D27*31*E27</f>
        <v>6940.59</v>
      </c>
      <c r="G27" s="29">
        <v>3</v>
      </c>
      <c r="H27" s="27">
        <f t="shared" ref="H27:H43" si="15">D27*28*G27</f>
        <v>6268.92</v>
      </c>
      <c r="I27" s="29">
        <v>3</v>
      </c>
      <c r="J27" s="27">
        <f t="shared" ref="J27:J43" si="16">D27*31*I27</f>
        <v>6940.59</v>
      </c>
      <c r="K27" s="29">
        <v>3</v>
      </c>
      <c r="L27" s="27">
        <f t="shared" ref="L27:L43" si="17">D27*30*K27</f>
        <v>6716.7</v>
      </c>
      <c r="M27" s="29">
        <v>3</v>
      </c>
      <c r="N27" s="27">
        <f>D27*M27*31</f>
        <v>6940.59</v>
      </c>
      <c r="O27" s="29">
        <v>3</v>
      </c>
      <c r="P27" s="27">
        <f>D27*E27*30</f>
        <v>6716.7</v>
      </c>
      <c r="Q27" s="29">
        <v>3</v>
      </c>
      <c r="R27" s="27">
        <f>D27*Q27*31</f>
        <v>6940.59</v>
      </c>
      <c r="S27" s="29">
        <v>3</v>
      </c>
      <c r="T27" s="27">
        <f>D27*S27*31</f>
        <v>6940.59</v>
      </c>
      <c r="U27" s="27">
        <f>F27+H27+J27+L27+N27+P27</f>
        <v>40524.089999999997</v>
      </c>
      <c r="V27" s="26">
        <v>0</v>
      </c>
      <c r="W27" s="26">
        <v>0</v>
      </c>
      <c r="X27" s="26">
        <f>250*3</f>
        <v>750</v>
      </c>
      <c r="Y27" s="26">
        <f>X27*4</f>
        <v>3000</v>
      </c>
      <c r="Z27" s="26">
        <f>504*3</f>
        <v>1512</v>
      </c>
      <c r="AA27" s="26">
        <f t="shared" ref="AA27:AA43" si="18">Z27*4</f>
        <v>6048</v>
      </c>
      <c r="AB27" s="26">
        <f>1500*3</f>
        <v>4500</v>
      </c>
      <c r="AC27" s="26">
        <f t="shared" ref="AC27:AC32" si="19">AB27*4</f>
        <v>18000</v>
      </c>
      <c r="AD27" s="27">
        <f t="shared" ref="AD27:AE43" si="20">X27+Z27+AB27</f>
        <v>6762</v>
      </c>
      <c r="AE27" s="27">
        <f t="shared" si="20"/>
        <v>27048</v>
      </c>
      <c r="AF27" s="27">
        <f t="shared" ref="AF27:AF43" si="21">(((L27+V27+Z27+AB27)/365)*120)</f>
        <v>4184.78</v>
      </c>
      <c r="AG27" s="27">
        <f t="shared" si="12"/>
        <v>5381.01</v>
      </c>
      <c r="AH27" s="34">
        <f>(((200/365)*120))*3</f>
        <v>197.26</v>
      </c>
      <c r="AI27" s="41">
        <f t="shared" ref="AI27:AI43" si="22">U27+W27+Y27+AA27+AC27+AF27+AG27+AH27</f>
        <v>77335.14</v>
      </c>
    </row>
    <row r="28" spans="1:35" ht="54.95" customHeight="1" x14ac:dyDescent="0.25">
      <c r="A28" s="7"/>
      <c r="B28" s="17" t="s">
        <v>30</v>
      </c>
      <c r="C28" s="16" t="s">
        <v>24</v>
      </c>
      <c r="D28" s="28">
        <v>78.25</v>
      </c>
      <c r="E28" s="29">
        <v>1</v>
      </c>
      <c r="F28" s="27">
        <f>D28*31*E28</f>
        <v>2425.75</v>
      </c>
      <c r="G28" s="29">
        <v>1</v>
      </c>
      <c r="H28" s="27">
        <f t="shared" si="15"/>
        <v>2191</v>
      </c>
      <c r="I28" s="29">
        <v>1</v>
      </c>
      <c r="J28" s="27">
        <f t="shared" si="16"/>
        <v>2425.75</v>
      </c>
      <c r="K28" s="29">
        <v>1</v>
      </c>
      <c r="L28" s="27">
        <f t="shared" si="17"/>
        <v>2347.5</v>
      </c>
      <c r="M28" s="29">
        <v>1</v>
      </c>
      <c r="N28" s="27">
        <f t="shared" ref="N28:N42" si="23">D28*M28*31</f>
        <v>2425.75</v>
      </c>
      <c r="O28" s="29">
        <v>1</v>
      </c>
      <c r="P28" s="27">
        <f t="shared" ref="P28:P43" si="24">D28*E28*30</f>
        <v>2347.5</v>
      </c>
      <c r="Q28" s="29">
        <v>1</v>
      </c>
      <c r="R28" s="27">
        <f t="shared" ref="R28:R43" si="25">D28*Q28*31</f>
        <v>2425.75</v>
      </c>
      <c r="S28" s="29">
        <v>1</v>
      </c>
      <c r="T28" s="27">
        <f t="shared" ref="T28:T42" si="26">D28*S28*31</f>
        <v>2425.75</v>
      </c>
      <c r="U28" s="27">
        <f t="shared" ref="U28:U43" si="27">F28+H28+J28+L28+N28+P28</f>
        <v>14163.25</v>
      </c>
      <c r="V28" s="26">
        <v>0</v>
      </c>
      <c r="W28" s="26">
        <v>0</v>
      </c>
      <c r="X28" s="26">
        <f>250</f>
        <v>250</v>
      </c>
      <c r="Y28" s="26">
        <f>X28*4</f>
        <v>1000</v>
      </c>
      <c r="Z28" s="26">
        <f>500</f>
        <v>500</v>
      </c>
      <c r="AA28" s="26">
        <f t="shared" si="18"/>
        <v>2000</v>
      </c>
      <c r="AB28" s="26">
        <f>1500</f>
        <v>1500</v>
      </c>
      <c r="AC28" s="26">
        <f t="shared" si="19"/>
        <v>6000</v>
      </c>
      <c r="AD28" s="27">
        <f t="shared" si="20"/>
        <v>2250</v>
      </c>
      <c r="AE28" s="27">
        <f t="shared" si="20"/>
        <v>9000</v>
      </c>
      <c r="AF28" s="27">
        <f t="shared" si="21"/>
        <v>1429.32</v>
      </c>
      <c r="AG28" s="27">
        <f t="shared" si="12"/>
        <v>1846.94</v>
      </c>
      <c r="AH28" s="34">
        <f>(((200/365)*120))*1</f>
        <v>65.75</v>
      </c>
      <c r="AI28" s="41">
        <f t="shared" si="22"/>
        <v>26505.26</v>
      </c>
    </row>
    <row r="29" spans="1:35" ht="54.95" customHeight="1" x14ac:dyDescent="0.25">
      <c r="A29" s="7"/>
      <c r="B29" s="17" t="s">
        <v>30</v>
      </c>
      <c r="C29" s="15" t="s">
        <v>22</v>
      </c>
      <c r="D29" s="28">
        <v>75.64</v>
      </c>
      <c r="E29" s="29">
        <v>14</v>
      </c>
      <c r="F29" s="27">
        <f>D29*31*E29</f>
        <v>32827.760000000002</v>
      </c>
      <c r="G29" s="29">
        <v>14</v>
      </c>
      <c r="H29" s="27">
        <f t="shared" si="15"/>
        <v>29650.880000000001</v>
      </c>
      <c r="I29" s="29">
        <v>14</v>
      </c>
      <c r="J29" s="27">
        <f t="shared" si="16"/>
        <v>32827.760000000002</v>
      </c>
      <c r="K29" s="29">
        <v>14</v>
      </c>
      <c r="L29" s="27">
        <f t="shared" si="17"/>
        <v>31768.799999999999</v>
      </c>
      <c r="M29" s="29">
        <v>14</v>
      </c>
      <c r="N29" s="27">
        <f t="shared" si="23"/>
        <v>32827.760000000002</v>
      </c>
      <c r="O29" s="29">
        <v>14</v>
      </c>
      <c r="P29" s="27">
        <f t="shared" si="24"/>
        <v>31768.799999999999</v>
      </c>
      <c r="Q29" s="29">
        <v>14</v>
      </c>
      <c r="R29" s="27">
        <f t="shared" si="25"/>
        <v>32827.760000000002</v>
      </c>
      <c r="S29" s="29">
        <v>14</v>
      </c>
      <c r="T29" s="27">
        <f t="shared" si="26"/>
        <v>32827.760000000002</v>
      </c>
      <c r="U29" s="27">
        <f t="shared" si="27"/>
        <v>191671.76</v>
      </c>
      <c r="V29" s="26">
        <f>50+50+50+50+75+75+50+50+50</f>
        <v>500</v>
      </c>
      <c r="W29" s="26">
        <f>V29*4</f>
        <v>2000</v>
      </c>
      <c r="X29" s="26">
        <f>250*14</f>
        <v>3500</v>
      </c>
      <c r="Y29" s="26">
        <f>X29*4</f>
        <v>14000</v>
      </c>
      <c r="Z29" s="26">
        <f>500+500+500+500+500+500+500+500+500+500+500+500+500+500</f>
        <v>7000</v>
      </c>
      <c r="AA29" s="26">
        <f t="shared" si="18"/>
        <v>28000</v>
      </c>
      <c r="AB29" s="26">
        <f>1500*14</f>
        <v>21000</v>
      </c>
      <c r="AC29" s="26">
        <f t="shared" si="19"/>
        <v>84000</v>
      </c>
      <c r="AD29" s="27">
        <f t="shared" si="20"/>
        <v>31500</v>
      </c>
      <c r="AE29" s="27">
        <f t="shared" si="20"/>
        <v>126000</v>
      </c>
      <c r="AF29" s="27">
        <f t="shared" si="21"/>
        <v>19814.400000000001</v>
      </c>
      <c r="AG29" s="27">
        <f t="shared" si="12"/>
        <v>25472.65</v>
      </c>
      <c r="AH29" s="34">
        <f>(((200/365)*120))*14</f>
        <v>920.55</v>
      </c>
      <c r="AI29" s="41">
        <f t="shared" si="22"/>
        <v>365879.36</v>
      </c>
    </row>
    <row r="30" spans="1:35" ht="54.95" customHeight="1" x14ac:dyDescent="0.25">
      <c r="A30" s="7"/>
      <c r="B30" s="17" t="s">
        <v>30</v>
      </c>
      <c r="C30" s="15" t="s">
        <v>23</v>
      </c>
      <c r="D30" s="28">
        <v>71.400000000000006</v>
      </c>
      <c r="E30" s="29">
        <v>9</v>
      </c>
      <c r="F30" s="27">
        <f t="shared" ref="F30:F43" si="28">D30*31*E30</f>
        <v>19920.599999999999</v>
      </c>
      <c r="G30" s="29">
        <v>9</v>
      </c>
      <c r="H30" s="27">
        <f t="shared" si="15"/>
        <v>17992.8</v>
      </c>
      <c r="I30" s="29">
        <v>9</v>
      </c>
      <c r="J30" s="27">
        <f t="shared" si="16"/>
        <v>19920.599999999999</v>
      </c>
      <c r="K30" s="29">
        <v>9</v>
      </c>
      <c r="L30" s="27">
        <f t="shared" si="17"/>
        <v>19278</v>
      </c>
      <c r="M30" s="29">
        <v>9</v>
      </c>
      <c r="N30" s="27">
        <f t="shared" si="23"/>
        <v>19920.599999999999</v>
      </c>
      <c r="O30" s="66">
        <v>9</v>
      </c>
      <c r="P30" s="27">
        <f>D30*8*30</f>
        <v>17136</v>
      </c>
      <c r="Q30" s="66">
        <v>9</v>
      </c>
      <c r="R30" s="27">
        <f>D30*8*31</f>
        <v>17707.2</v>
      </c>
      <c r="S30" s="66">
        <v>9</v>
      </c>
      <c r="T30" s="27">
        <f>D30*8*31</f>
        <v>17707.2</v>
      </c>
      <c r="U30" s="27">
        <f t="shared" si="27"/>
        <v>114168.6</v>
      </c>
      <c r="V30" s="26">
        <f>75+50+50+75</f>
        <v>250</v>
      </c>
      <c r="W30" s="26">
        <f>V30*4</f>
        <v>1000</v>
      </c>
      <c r="X30" s="26">
        <f>250*9</f>
        <v>2250</v>
      </c>
      <c r="Y30" s="26">
        <f>X30*9</f>
        <v>20250</v>
      </c>
      <c r="Z30" s="26">
        <f>551+551+566+551+601+500+500+601+526</f>
        <v>4947</v>
      </c>
      <c r="AA30" s="26">
        <f t="shared" si="18"/>
        <v>19788</v>
      </c>
      <c r="AB30" s="26">
        <f>1500*9</f>
        <v>13500</v>
      </c>
      <c r="AC30" s="26">
        <f t="shared" si="19"/>
        <v>54000</v>
      </c>
      <c r="AD30" s="27">
        <f t="shared" si="20"/>
        <v>20697</v>
      </c>
      <c r="AE30" s="27">
        <f t="shared" si="20"/>
        <v>94038</v>
      </c>
      <c r="AF30" s="27">
        <f t="shared" si="21"/>
        <v>12484.93</v>
      </c>
      <c r="AG30" s="27">
        <f t="shared" si="12"/>
        <v>15746.38</v>
      </c>
      <c r="AH30" s="34">
        <f>(((200/365)*120))*9</f>
        <v>591.78</v>
      </c>
      <c r="AI30" s="41">
        <f t="shared" si="22"/>
        <v>238029.69</v>
      </c>
    </row>
    <row r="31" spans="1:35" ht="54.95" customHeight="1" x14ac:dyDescent="0.25">
      <c r="A31" s="7"/>
      <c r="B31" s="17" t="s">
        <v>30</v>
      </c>
      <c r="C31" s="57" t="s">
        <v>31</v>
      </c>
      <c r="D31" s="28">
        <v>72.540000000000006</v>
      </c>
      <c r="E31" s="29">
        <v>6</v>
      </c>
      <c r="F31" s="27">
        <f t="shared" si="28"/>
        <v>13492.44</v>
      </c>
      <c r="G31" s="29">
        <v>6</v>
      </c>
      <c r="H31" s="27">
        <f t="shared" si="15"/>
        <v>12186.72</v>
      </c>
      <c r="I31" s="29">
        <v>6</v>
      </c>
      <c r="J31" s="27">
        <f t="shared" si="16"/>
        <v>13492.44</v>
      </c>
      <c r="K31" s="29">
        <v>6</v>
      </c>
      <c r="L31" s="27">
        <f t="shared" si="17"/>
        <v>13057.2</v>
      </c>
      <c r="M31" s="29">
        <v>5</v>
      </c>
      <c r="N31" s="27">
        <f t="shared" si="23"/>
        <v>11243.7</v>
      </c>
      <c r="O31" s="66">
        <v>5</v>
      </c>
      <c r="P31" s="27">
        <f>D31*5*30</f>
        <v>10881</v>
      </c>
      <c r="Q31" s="66">
        <v>5</v>
      </c>
      <c r="R31" s="27">
        <f>D31*5*31</f>
        <v>11243.7</v>
      </c>
      <c r="S31" s="66">
        <v>5</v>
      </c>
      <c r="T31" s="27">
        <f>D31*4*31</f>
        <v>8994.9599999999991</v>
      </c>
      <c r="U31" s="27">
        <f t="shared" si="27"/>
        <v>74353.5</v>
      </c>
      <c r="V31" s="26">
        <f>50</f>
        <v>50</v>
      </c>
      <c r="W31" s="26">
        <f>V31*4</f>
        <v>200</v>
      </c>
      <c r="X31" s="26">
        <f>250*6</f>
        <v>1500</v>
      </c>
      <c r="Y31" s="26">
        <f t="shared" ref="Y31:Y43" si="29">X31*4</f>
        <v>6000</v>
      </c>
      <c r="Z31" s="26">
        <f>532+567+567+567+532+567</f>
        <v>3332</v>
      </c>
      <c r="AA31" s="26">
        <f t="shared" si="18"/>
        <v>13328</v>
      </c>
      <c r="AB31" s="26">
        <f>1500*6</f>
        <v>9000</v>
      </c>
      <c r="AC31" s="26">
        <f t="shared" si="19"/>
        <v>36000</v>
      </c>
      <c r="AD31" s="27">
        <f t="shared" si="20"/>
        <v>13832</v>
      </c>
      <c r="AE31" s="27">
        <f t="shared" si="20"/>
        <v>55328</v>
      </c>
      <c r="AF31" s="27">
        <f t="shared" si="21"/>
        <v>8363.57</v>
      </c>
      <c r="AG31" s="27">
        <f t="shared" si="12"/>
        <v>10323.459999999999</v>
      </c>
      <c r="AH31" s="34">
        <f>(((200/365)*120))*6</f>
        <v>394.52</v>
      </c>
      <c r="AI31" s="41">
        <f t="shared" si="22"/>
        <v>148963.04999999999</v>
      </c>
    </row>
    <row r="32" spans="1:35" ht="54.95" customHeight="1" x14ac:dyDescent="0.25">
      <c r="A32" s="7"/>
      <c r="B32" s="17" t="s">
        <v>30</v>
      </c>
      <c r="C32" s="16" t="s">
        <v>32</v>
      </c>
      <c r="D32" s="28">
        <v>78.25</v>
      </c>
      <c r="E32" s="29">
        <v>2</v>
      </c>
      <c r="F32" s="27">
        <f t="shared" si="28"/>
        <v>4851.5</v>
      </c>
      <c r="G32" s="29">
        <v>2</v>
      </c>
      <c r="H32" s="27">
        <f t="shared" si="15"/>
        <v>4382</v>
      </c>
      <c r="I32" s="29">
        <v>2</v>
      </c>
      <c r="J32" s="27">
        <f>D32*31*1</f>
        <v>2425.75</v>
      </c>
      <c r="K32" s="29">
        <v>2</v>
      </c>
      <c r="L32" s="27">
        <f>D32*30*1</f>
        <v>2347.5</v>
      </c>
      <c r="M32" s="29">
        <v>1</v>
      </c>
      <c r="N32" s="27">
        <f t="shared" si="23"/>
        <v>2425.75</v>
      </c>
      <c r="O32" s="29">
        <v>1</v>
      </c>
      <c r="P32" s="27">
        <f>D32*E32*30</f>
        <v>4695</v>
      </c>
      <c r="Q32" s="29">
        <v>1</v>
      </c>
      <c r="R32" s="27">
        <f>D32*2*31</f>
        <v>4851.5</v>
      </c>
      <c r="S32" s="29">
        <v>1</v>
      </c>
      <c r="T32" s="27">
        <f>D32*2*31</f>
        <v>4851.5</v>
      </c>
      <c r="U32" s="27">
        <f t="shared" si="27"/>
        <v>21127.5</v>
      </c>
      <c r="V32" s="26">
        <f>0</f>
        <v>0</v>
      </c>
      <c r="W32" s="26">
        <f>V32*2</f>
        <v>0</v>
      </c>
      <c r="X32" s="26">
        <f>250*2</f>
        <v>500</v>
      </c>
      <c r="Y32" s="26">
        <f t="shared" si="29"/>
        <v>2000</v>
      </c>
      <c r="Z32" s="26">
        <f>500*2</f>
        <v>1000</v>
      </c>
      <c r="AA32" s="26">
        <f t="shared" si="18"/>
        <v>4000</v>
      </c>
      <c r="AB32" s="26">
        <f>1500*2</f>
        <v>3000</v>
      </c>
      <c r="AC32" s="26">
        <f t="shared" si="19"/>
        <v>12000</v>
      </c>
      <c r="AD32" s="27">
        <f t="shared" si="20"/>
        <v>4500</v>
      </c>
      <c r="AE32" s="27">
        <f t="shared" si="20"/>
        <v>18000</v>
      </c>
      <c r="AF32" s="27">
        <f t="shared" si="21"/>
        <v>2086.85</v>
      </c>
      <c r="AG32" s="27">
        <f t="shared" si="12"/>
        <v>3093.96</v>
      </c>
      <c r="AH32" s="34">
        <f>(((200/365)*120))*2</f>
        <v>131.51</v>
      </c>
      <c r="AI32" s="41">
        <f t="shared" si="22"/>
        <v>44439.82</v>
      </c>
    </row>
    <row r="33" spans="1:35" ht="54.95" customHeight="1" x14ac:dyDescent="0.25">
      <c r="A33" s="7"/>
      <c r="B33" s="17" t="s">
        <v>30</v>
      </c>
      <c r="C33" s="15" t="s">
        <v>33</v>
      </c>
      <c r="D33" s="28">
        <v>71.400000000000006</v>
      </c>
      <c r="E33" s="29">
        <v>1</v>
      </c>
      <c r="F33" s="27">
        <f t="shared" si="28"/>
        <v>2213.4</v>
      </c>
      <c r="G33" s="29">
        <v>1</v>
      </c>
      <c r="H33" s="27">
        <f t="shared" si="15"/>
        <v>1999.2</v>
      </c>
      <c r="I33" s="29">
        <v>1</v>
      </c>
      <c r="J33" s="27">
        <f t="shared" si="16"/>
        <v>2213.4</v>
      </c>
      <c r="K33" s="29">
        <v>1</v>
      </c>
      <c r="L33" s="27">
        <f t="shared" si="17"/>
        <v>2142</v>
      </c>
      <c r="M33" s="29">
        <v>1</v>
      </c>
      <c r="N33" s="27">
        <f t="shared" si="23"/>
        <v>2213.4</v>
      </c>
      <c r="O33" s="29">
        <v>1</v>
      </c>
      <c r="P33" s="27">
        <f t="shared" si="24"/>
        <v>2142</v>
      </c>
      <c r="Q33" s="29">
        <v>1</v>
      </c>
      <c r="R33" s="27">
        <f t="shared" si="25"/>
        <v>2213.4</v>
      </c>
      <c r="S33" s="29">
        <v>1</v>
      </c>
      <c r="T33" s="27">
        <f t="shared" si="26"/>
        <v>2213.4</v>
      </c>
      <c r="U33" s="27">
        <f t="shared" si="27"/>
        <v>12923.4</v>
      </c>
      <c r="V33" s="26">
        <v>0</v>
      </c>
      <c r="W33" s="26">
        <v>0</v>
      </c>
      <c r="X33" s="26">
        <v>250</v>
      </c>
      <c r="Y33" s="26">
        <f t="shared" si="29"/>
        <v>1000</v>
      </c>
      <c r="Z33" s="26">
        <v>601</v>
      </c>
      <c r="AA33" s="26">
        <f t="shared" si="18"/>
        <v>2404</v>
      </c>
      <c r="AB33" s="26">
        <v>1500</v>
      </c>
      <c r="AC33" s="26">
        <f>1500*4</f>
        <v>6000</v>
      </c>
      <c r="AD33" s="27">
        <f t="shared" si="20"/>
        <v>2351</v>
      </c>
      <c r="AE33" s="27">
        <f t="shared" si="20"/>
        <v>9404</v>
      </c>
      <c r="AF33" s="27">
        <f t="shared" si="21"/>
        <v>1394.96</v>
      </c>
      <c r="AG33" s="27">
        <f t="shared" si="12"/>
        <v>1777.28</v>
      </c>
      <c r="AH33" s="34">
        <f>(((200/365)*120))*1</f>
        <v>65.75</v>
      </c>
      <c r="AI33" s="41">
        <f t="shared" si="22"/>
        <v>25565.39</v>
      </c>
    </row>
    <row r="34" spans="1:35" ht="54.95" customHeight="1" x14ac:dyDescent="0.25">
      <c r="A34" s="7"/>
      <c r="B34" s="17" t="s">
        <v>30</v>
      </c>
      <c r="C34" s="15" t="s">
        <v>34</v>
      </c>
      <c r="D34" s="28">
        <v>72.540000000000006</v>
      </c>
      <c r="E34" s="29">
        <v>1</v>
      </c>
      <c r="F34" s="27">
        <f t="shared" si="28"/>
        <v>2248.7399999999998</v>
      </c>
      <c r="G34" s="29">
        <v>1</v>
      </c>
      <c r="H34" s="27">
        <f t="shared" si="15"/>
        <v>2031.12</v>
      </c>
      <c r="I34" s="29">
        <v>1</v>
      </c>
      <c r="J34" s="27">
        <f t="shared" si="16"/>
        <v>2248.7399999999998</v>
      </c>
      <c r="K34" s="29">
        <v>1</v>
      </c>
      <c r="L34" s="27">
        <f t="shared" si="17"/>
        <v>2176.1999999999998</v>
      </c>
      <c r="M34" s="29">
        <v>1</v>
      </c>
      <c r="N34" s="27">
        <f t="shared" si="23"/>
        <v>2248.7399999999998</v>
      </c>
      <c r="O34" s="29">
        <v>1</v>
      </c>
      <c r="P34" s="27">
        <f t="shared" si="24"/>
        <v>2176.1999999999998</v>
      </c>
      <c r="Q34" s="29">
        <v>1</v>
      </c>
      <c r="R34" s="27">
        <f t="shared" si="25"/>
        <v>2248.7399999999998</v>
      </c>
      <c r="S34" s="29">
        <v>1</v>
      </c>
      <c r="T34" s="27">
        <f t="shared" si="26"/>
        <v>2248.7399999999998</v>
      </c>
      <c r="U34" s="27">
        <f t="shared" si="27"/>
        <v>13129.74</v>
      </c>
      <c r="V34" s="26">
        <v>50</v>
      </c>
      <c r="W34" s="26">
        <f>V34*4</f>
        <v>200</v>
      </c>
      <c r="X34" s="26">
        <f>250</f>
        <v>250</v>
      </c>
      <c r="Y34" s="26">
        <f t="shared" si="29"/>
        <v>1000</v>
      </c>
      <c r="Z34" s="26">
        <v>517</v>
      </c>
      <c r="AA34" s="26">
        <f t="shared" si="18"/>
        <v>2068</v>
      </c>
      <c r="AB34" s="26">
        <v>1500</v>
      </c>
      <c r="AC34" s="26">
        <f t="shared" ref="AC34:AC43" si="30">AB34*4</f>
        <v>6000</v>
      </c>
      <c r="AD34" s="27">
        <f t="shared" si="20"/>
        <v>2267</v>
      </c>
      <c r="AE34" s="27">
        <f t="shared" si="20"/>
        <v>9068</v>
      </c>
      <c r="AF34" s="27">
        <f t="shared" si="21"/>
        <v>1395.02</v>
      </c>
      <c r="AG34" s="27">
        <f t="shared" si="12"/>
        <v>1783.15</v>
      </c>
      <c r="AH34" s="34">
        <f>(((200/365)*120))*1</f>
        <v>65.75</v>
      </c>
      <c r="AI34" s="41">
        <f t="shared" si="22"/>
        <v>25641.66</v>
      </c>
    </row>
    <row r="35" spans="1:35" ht="54.95" customHeight="1" x14ac:dyDescent="0.25">
      <c r="A35" s="7"/>
      <c r="B35" s="17" t="s">
        <v>30</v>
      </c>
      <c r="C35" s="15" t="s">
        <v>35</v>
      </c>
      <c r="D35" s="28">
        <v>73.59</v>
      </c>
      <c r="E35" s="29">
        <v>1</v>
      </c>
      <c r="F35" s="27">
        <f t="shared" si="28"/>
        <v>2281.29</v>
      </c>
      <c r="G35" s="29">
        <v>1</v>
      </c>
      <c r="H35" s="27">
        <f t="shared" si="15"/>
        <v>2060.52</v>
      </c>
      <c r="I35" s="29">
        <v>1</v>
      </c>
      <c r="J35" s="27">
        <f t="shared" si="16"/>
        <v>2281.29</v>
      </c>
      <c r="K35" s="29">
        <v>1</v>
      </c>
      <c r="L35" s="27">
        <f t="shared" si="17"/>
        <v>2207.6999999999998</v>
      </c>
      <c r="M35" s="29">
        <v>1</v>
      </c>
      <c r="N35" s="27">
        <f t="shared" si="23"/>
        <v>2281.29</v>
      </c>
      <c r="O35" s="29">
        <v>1</v>
      </c>
      <c r="P35" s="27">
        <f t="shared" si="24"/>
        <v>2207.6999999999998</v>
      </c>
      <c r="Q35" s="29">
        <v>1</v>
      </c>
      <c r="R35" s="27">
        <f t="shared" si="25"/>
        <v>2281.29</v>
      </c>
      <c r="S35" s="29">
        <v>1</v>
      </c>
      <c r="T35" s="27">
        <f t="shared" si="26"/>
        <v>2281.29</v>
      </c>
      <c r="U35" s="27">
        <f t="shared" si="27"/>
        <v>13319.79</v>
      </c>
      <c r="V35" s="26">
        <v>75</v>
      </c>
      <c r="W35" s="26">
        <f>V35*4</f>
        <v>300</v>
      </c>
      <c r="X35" s="26">
        <v>250</v>
      </c>
      <c r="Y35" s="26">
        <f t="shared" si="29"/>
        <v>1000</v>
      </c>
      <c r="Z35" s="26">
        <f>500</f>
        <v>500</v>
      </c>
      <c r="AA35" s="26">
        <f t="shared" si="18"/>
        <v>2000</v>
      </c>
      <c r="AB35" s="26">
        <v>1500</v>
      </c>
      <c r="AC35" s="26">
        <f t="shared" si="30"/>
        <v>6000</v>
      </c>
      <c r="AD35" s="27">
        <f t="shared" si="20"/>
        <v>2250</v>
      </c>
      <c r="AE35" s="27">
        <f t="shared" si="20"/>
        <v>9000</v>
      </c>
      <c r="AF35" s="27">
        <f t="shared" si="21"/>
        <v>1408.01</v>
      </c>
      <c r="AG35" s="27">
        <f t="shared" si="12"/>
        <v>1801.65</v>
      </c>
      <c r="AH35" s="34">
        <f>(((200/365)*120))*1</f>
        <v>65.75</v>
      </c>
      <c r="AI35" s="41">
        <f t="shared" si="22"/>
        <v>25895.200000000001</v>
      </c>
    </row>
    <row r="36" spans="1:35" ht="54.95" customHeight="1" x14ac:dyDescent="0.25">
      <c r="A36" s="7"/>
      <c r="B36" s="17" t="s">
        <v>30</v>
      </c>
      <c r="C36" s="15" t="s">
        <v>36</v>
      </c>
      <c r="D36" s="28">
        <v>75.64</v>
      </c>
      <c r="E36" s="29">
        <v>1</v>
      </c>
      <c r="F36" s="27">
        <f t="shared" si="28"/>
        <v>2344.84</v>
      </c>
      <c r="G36" s="29">
        <v>1</v>
      </c>
      <c r="H36" s="27">
        <f t="shared" si="15"/>
        <v>2117.92</v>
      </c>
      <c r="I36" s="29">
        <v>1</v>
      </c>
      <c r="J36" s="27">
        <f t="shared" si="16"/>
        <v>2344.84</v>
      </c>
      <c r="K36" s="29">
        <v>1</v>
      </c>
      <c r="L36" s="27">
        <f t="shared" si="17"/>
        <v>2269.1999999999998</v>
      </c>
      <c r="M36" s="29">
        <v>1</v>
      </c>
      <c r="N36" s="27">
        <f t="shared" si="23"/>
        <v>2344.84</v>
      </c>
      <c r="O36" s="29">
        <v>1</v>
      </c>
      <c r="P36" s="27">
        <f t="shared" si="24"/>
        <v>2269.1999999999998</v>
      </c>
      <c r="Q36" s="29">
        <v>1</v>
      </c>
      <c r="R36" s="27">
        <f t="shared" si="25"/>
        <v>2344.84</v>
      </c>
      <c r="S36" s="29">
        <v>1</v>
      </c>
      <c r="T36" s="27">
        <f t="shared" si="26"/>
        <v>2344.84</v>
      </c>
      <c r="U36" s="27">
        <f t="shared" si="27"/>
        <v>13690.84</v>
      </c>
      <c r="V36" s="26">
        <v>0</v>
      </c>
      <c r="W36" s="26">
        <v>0</v>
      </c>
      <c r="X36" s="26">
        <v>250</v>
      </c>
      <c r="Y36" s="26">
        <f t="shared" si="29"/>
        <v>1000</v>
      </c>
      <c r="Z36" s="26">
        <f>500</f>
        <v>500</v>
      </c>
      <c r="AA36" s="26">
        <f t="shared" si="18"/>
        <v>2000</v>
      </c>
      <c r="AB36" s="26">
        <v>1500</v>
      </c>
      <c r="AC36" s="26">
        <f t="shared" si="30"/>
        <v>6000</v>
      </c>
      <c r="AD36" s="27">
        <f t="shared" si="20"/>
        <v>2250</v>
      </c>
      <c r="AE36" s="27">
        <f t="shared" si="20"/>
        <v>9000</v>
      </c>
      <c r="AF36" s="27">
        <f t="shared" si="21"/>
        <v>1403.57</v>
      </c>
      <c r="AG36" s="27">
        <f t="shared" si="12"/>
        <v>1807.57</v>
      </c>
      <c r="AH36" s="34">
        <f>(((200/365)*120))*1</f>
        <v>65.75</v>
      </c>
      <c r="AI36" s="41">
        <f t="shared" si="22"/>
        <v>25967.73</v>
      </c>
    </row>
    <row r="37" spans="1:35" ht="54.95" customHeight="1" x14ac:dyDescent="0.25">
      <c r="A37" s="7"/>
      <c r="B37" s="17" t="s">
        <v>30</v>
      </c>
      <c r="C37" s="15" t="s">
        <v>37</v>
      </c>
      <c r="D37" s="28">
        <v>74.63</v>
      </c>
      <c r="E37" s="29">
        <v>1</v>
      </c>
      <c r="F37" s="27">
        <f t="shared" si="28"/>
        <v>2313.5300000000002</v>
      </c>
      <c r="G37" s="29">
        <v>1</v>
      </c>
      <c r="H37" s="27">
        <f t="shared" si="15"/>
        <v>2089.64</v>
      </c>
      <c r="I37" s="29">
        <v>1</v>
      </c>
      <c r="J37" s="27">
        <f t="shared" si="16"/>
        <v>2313.5300000000002</v>
      </c>
      <c r="K37" s="29">
        <v>1</v>
      </c>
      <c r="L37" s="27">
        <f t="shared" si="17"/>
        <v>2238.9</v>
      </c>
      <c r="M37" s="29">
        <v>1</v>
      </c>
      <c r="N37" s="27">
        <f t="shared" si="23"/>
        <v>2313.5300000000002</v>
      </c>
      <c r="O37" s="29">
        <v>1</v>
      </c>
      <c r="P37" s="27">
        <f t="shared" si="24"/>
        <v>2238.9</v>
      </c>
      <c r="Q37" s="66">
        <v>1</v>
      </c>
      <c r="R37" s="27">
        <f>D37*Q37*13</f>
        <v>970.19</v>
      </c>
      <c r="S37" s="66">
        <v>1</v>
      </c>
      <c r="T37" s="27">
        <f>D37*S37*31+522.41</f>
        <v>2835.94</v>
      </c>
      <c r="U37" s="27">
        <f t="shared" si="27"/>
        <v>13508.03</v>
      </c>
      <c r="V37" s="26">
        <v>75</v>
      </c>
      <c r="W37" s="26">
        <f t="shared" ref="W37:W42" si="31">V37*4</f>
        <v>300</v>
      </c>
      <c r="X37" s="26">
        <v>250</v>
      </c>
      <c r="Y37" s="26">
        <f t="shared" si="29"/>
        <v>1000</v>
      </c>
      <c r="Z37" s="26">
        <v>500</v>
      </c>
      <c r="AA37" s="26">
        <f t="shared" si="18"/>
        <v>2000</v>
      </c>
      <c r="AB37" s="26">
        <v>1500</v>
      </c>
      <c r="AC37" s="26">
        <f t="shared" si="30"/>
        <v>6000</v>
      </c>
      <c r="AD37" s="27">
        <f t="shared" si="20"/>
        <v>2250</v>
      </c>
      <c r="AE37" s="27">
        <f t="shared" si="20"/>
        <v>9000</v>
      </c>
      <c r="AF37" s="27">
        <f t="shared" si="21"/>
        <v>1418.27</v>
      </c>
      <c r="AG37" s="27">
        <f t="shared" si="12"/>
        <v>1817.34</v>
      </c>
      <c r="AH37" s="34">
        <f>(((200/365)*120))*1</f>
        <v>65.75</v>
      </c>
      <c r="AI37" s="41">
        <f t="shared" si="22"/>
        <v>26109.39</v>
      </c>
    </row>
    <row r="38" spans="1:35" ht="54.95" customHeight="1" x14ac:dyDescent="0.25">
      <c r="A38" s="7"/>
      <c r="B38" s="17" t="s">
        <v>30</v>
      </c>
      <c r="C38" s="15" t="s">
        <v>38</v>
      </c>
      <c r="D38" s="28">
        <v>74.63</v>
      </c>
      <c r="E38" s="29">
        <v>2</v>
      </c>
      <c r="F38" s="27">
        <f t="shared" si="28"/>
        <v>4627.0600000000004</v>
      </c>
      <c r="G38" s="29">
        <v>2</v>
      </c>
      <c r="H38" s="27">
        <f t="shared" si="15"/>
        <v>4179.28</v>
      </c>
      <c r="I38" s="29">
        <v>2</v>
      </c>
      <c r="J38" s="27">
        <f t="shared" si="16"/>
        <v>4627.0600000000004</v>
      </c>
      <c r="K38" s="29">
        <v>2</v>
      </c>
      <c r="L38" s="27">
        <f t="shared" si="17"/>
        <v>4477.8</v>
      </c>
      <c r="M38" s="29">
        <v>2</v>
      </c>
      <c r="N38" s="27">
        <f t="shared" si="23"/>
        <v>4627.0600000000004</v>
      </c>
      <c r="O38" s="29">
        <v>2</v>
      </c>
      <c r="P38" s="27">
        <f t="shared" si="24"/>
        <v>4477.8</v>
      </c>
      <c r="Q38" s="29">
        <v>2</v>
      </c>
      <c r="R38" s="27">
        <f t="shared" si="25"/>
        <v>4627.0600000000004</v>
      </c>
      <c r="S38" s="29">
        <v>2</v>
      </c>
      <c r="T38" s="27">
        <f>D38*1*31</f>
        <v>2313.5300000000002</v>
      </c>
      <c r="U38" s="27">
        <f t="shared" si="27"/>
        <v>27016.06</v>
      </c>
      <c r="V38" s="26">
        <v>50</v>
      </c>
      <c r="W38" s="26">
        <f t="shared" si="31"/>
        <v>200</v>
      </c>
      <c r="X38" s="26">
        <f>250*2</f>
        <v>500</v>
      </c>
      <c r="Y38" s="26">
        <f t="shared" si="29"/>
        <v>2000</v>
      </c>
      <c r="Z38" s="26">
        <f>504+500</f>
        <v>1004</v>
      </c>
      <c r="AA38" s="26">
        <f t="shared" si="18"/>
        <v>4016</v>
      </c>
      <c r="AB38" s="26">
        <f>1500*2</f>
        <v>3000</v>
      </c>
      <c r="AC38" s="26">
        <f t="shared" si="30"/>
        <v>12000</v>
      </c>
      <c r="AD38" s="27">
        <f t="shared" si="20"/>
        <v>4504</v>
      </c>
      <c r="AE38" s="27">
        <f t="shared" si="20"/>
        <v>18016</v>
      </c>
      <c r="AF38" s="27">
        <f t="shared" si="21"/>
        <v>2804.98</v>
      </c>
      <c r="AG38" s="27">
        <f t="shared" si="12"/>
        <v>3602.67</v>
      </c>
      <c r="AH38" s="34">
        <f>(((200/365)*120))*2</f>
        <v>131.51</v>
      </c>
      <c r="AI38" s="41">
        <f t="shared" si="22"/>
        <v>51771.22</v>
      </c>
    </row>
    <row r="39" spans="1:35" ht="54.95" customHeight="1" x14ac:dyDescent="0.25">
      <c r="A39" s="7"/>
      <c r="B39" s="17" t="s">
        <v>30</v>
      </c>
      <c r="C39" s="15" t="s">
        <v>39</v>
      </c>
      <c r="D39" s="28">
        <v>73.59</v>
      </c>
      <c r="E39" s="29">
        <v>1</v>
      </c>
      <c r="F39" s="27">
        <f t="shared" si="28"/>
        <v>2281.29</v>
      </c>
      <c r="G39" s="29">
        <v>1</v>
      </c>
      <c r="H39" s="27">
        <f t="shared" si="15"/>
        <v>2060.52</v>
      </c>
      <c r="I39" s="29">
        <v>1</v>
      </c>
      <c r="J39" s="27">
        <f t="shared" si="16"/>
        <v>2281.29</v>
      </c>
      <c r="K39" s="29">
        <v>1</v>
      </c>
      <c r="L39" s="27">
        <f t="shared" si="17"/>
        <v>2207.6999999999998</v>
      </c>
      <c r="M39" s="29">
        <v>1</v>
      </c>
      <c r="N39" s="27">
        <f t="shared" si="23"/>
        <v>2281.29</v>
      </c>
      <c r="O39" s="29">
        <v>1</v>
      </c>
      <c r="P39" s="27">
        <f t="shared" si="24"/>
        <v>2207.6999999999998</v>
      </c>
      <c r="Q39" s="29">
        <v>1</v>
      </c>
      <c r="R39" s="27">
        <f t="shared" si="25"/>
        <v>2281.29</v>
      </c>
      <c r="S39" s="29">
        <v>1</v>
      </c>
      <c r="T39" s="27">
        <f t="shared" si="26"/>
        <v>2281.29</v>
      </c>
      <c r="U39" s="27">
        <f t="shared" si="27"/>
        <v>13319.79</v>
      </c>
      <c r="V39" s="26">
        <v>75</v>
      </c>
      <c r="W39" s="26">
        <f t="shared" si="31"/>
        <v>300</v>
      </c>
      <c r="X39" s="26">
        <v>250</v>
      </c>
      <c r="Y39" s="26">
        <f t="shared" si="29"/>
        <v>1000</v>
      </c>
      <c r="Z39" s="26">
        <v>500</v>
      </c>
      <c r="AA39" s="26">
        <f t="shared" si="18"/>
        <v>2000</v>
      </c>
      <c r="AB39" s="26">
        <v>1500</v>
      </c>
      <c r="AC39" s="26">
        <f t="shared" si="30"/>
        <v>6000</v>
      </c>
      <c r="AD39" s="27">
        <f t="shared" si="20"/>
        <v>2250</v>
      </c>
      <c r="AE39" s="27">
        <f t="shared" si="20"/>
        <v>9000</v>
      </c>
      <c r="AF39" s="27">
        <f t="shared" si="21"/>
        <v>1408.01</v>
      </c>
      <c r="AG39" s="27">
        <f t="shared" si="12"/>
        <v>1801.65</v>
      </c>
      <c r="AH39" s="34">
        <f>(((200/365)*120))*1</f>
        <v>65.75</v>
      </c>
      <c r="AI39" s="41">
        <f t="shared" si="22"/>
        <v>25895.200000000001</v>
      </c>
    </row>
    <row r="40" spans="1:35" ht="54.95" customHeight="1" x14ac:dyDescent="0.25">
      <c r="A40" s="7"/>
      <c r="B40" s="17" t="s">
        <v>30</v>
      </c>
      <c r="C40" s="15" t="s">
        <v>40</v>
      </c>
      <c r="D40" s="28">
        <v>72.540000000000006</v>
      </c>
      <c r="E40" s="29">
        <v>4</v>
      </c>
      <c r="F40" s="27">
        <f t="shared" si="28"/>
        <v>8994.9599999999991</v>
      </c>
      <c r="G40" s="29">
        <v>4</v>
      </c>
      <c r="H40" s="27">
        <f t="shared" si="15"/>
        <v>8124.48</v>
      </c>
      <c r="I40" s="29">
        <v>4</v>
      </c>
      <c r="J40" s="27">
        <f t="shared" si="16"/>
        <v>8994.9599999999991</v>
      </c>
      <c r="K40" s="29">
        <v>4</v>
      </c>
      <c r="L40" s="27">
        <f t="shared" si="17"/>
        <v>8704.7999999999993</v>
      </c>
      <c r="M40" s="29">
        <v>4</v>
      </c>
      <c r="N40" s="27">
        <f t="shared" si="23"/>
        <v>8994.9599999999991</v>
      </c>
      <c r="O40" s="29">
        <v>4</v>
      </c>
      <c r="P40" s="27">
        <f t="shared" si="24"/>
        <v>8704.7999999999993</v>
      </c>
      <c r="Q40" s="29">
        <v>4</v>
      </c>
      <c r="R40" s="27">
        <f t="shared" si="25"/>
        <v>8994.9599999999991</v>
      </c>
      <c r="S40" s="29">
        <v>4</v>
      </c>
      <c r="T40" s="27">
        <f t="shared" si="26"/>
        <v>8994.9599999999991</v>
      </c>
      <c r="U40" s="27">
        <f t="shared" si="27"/>
        <v>52518.96</v>
      </c>
      <c r="V40" s="26">
        <f>50</f>
        <v>50</v>
      </c>
      <c r="W40" s="26">
        <f t="shared" si="31"/>
        <v>200</v>
      </c>
      <c r="X40" s="26">
        <f>250*4</f>
        <v>1000</v>
      </c>
      <c r="Y40" s="26">
        <f t="shared" si="29"/>
        <v>4000</v>
      </c>
      <c r="Z40" s="26">
        <f>532+567+567+567</f>
        <v>2233</v>
      </c>
      <c r="AA40" s="26">
        <f t="shared" si="18"/>
        <v>8932</v>
      </c>
      <c r="AB40" s="26">
        <f>1500*4</f>
        <v>6000</v>
      </c>
      <c r="AC40" s="26">
        <f t="shared" si="30"/>
        <v>24000</v>
      </c>
      <c r="AD40" s="27">
        <f t="shared" si="20"/>
        <v>9233</v>
      </c>
      <c r="AE40" s="27">
        <f t="shared" si="20"/>
        <v>36932</v>
      </c>
      <c r="AF40" s="27">
        <f t="shared" si="21"/>
        <v>5585.03</v>
      </c>
      <c r="AG40" s="27">
        <f t="shared" si="12"/>
        <v>7137.58</v>
      </c>
      <c r="AH40" s="34">
        <f>(((200/365)*120))*4</f>
        <v>263.01</v>
      </c>
      <c r="AI40" s="41">
        <f>U40+W40+Y40+AA40+AC40+AF40+AG40+AH40</f>
        <v>102636.58</v>
      </c>
    </row>
    <row r="41" spans="1:35" ht="54.95" customHeight="1" x14ac:dyDescent="0.25">
      <c r="A41" s="7"/>
      <c r="B41" s="17" t="s">
        <v>30</v>
      </c>
      <c r="C41" s="15" t="s">
        <v>41</v>
      </c>
      <c r="D41" s="28">
        <v>75.64</v>
      </c>
      <c r="E41" s="29">
        <v>1</v>
      </c>
      <c r="F41" s="27">
        <f t="shared" si="28"/>
        <v>2344.84</v>
      </c>
      <c r="G41" s="29">
        <v>1</v>
      </c>
      <c r="H41" s="27">
        <f t="shared" si="15"/>
        <v>2117.92</v>
      </c>
      <c r="I41" s="29">
        <v>1</v>
      </c>
      <c r="J41" s="27">
        <f t="shared" si="16"/>
        <v>2344.84</v>
      </c>
      <c r="K41" s="29">
        <v>1</v>
      </c>
      <c r="L41" s="27">
        <f t="shared" si="17"/>
        <v>2269.1999999999998</v>
      </c>
      <c r="M41" s="29">
        <v>1</v>
      </c>
      <c r="N41" s="27">
        <f t="shared" si="23"/>
        <v>2344.84</v>
      </c>
      <c r="O41" s="29">
        <v>1</v>
      </c>
      <c r="P41" s="27">
        <f t="shared" si="24"/>
        <v>2269.1999999999998</v>
      </c>
      <c r="Q41" s="29">
        <v>1</v>
      </c>
      <c r="R41" s="27">
        <f t="shared" si="25"/>
        <v>2344.84</v>
      </c>
      <c r="S41" s="29">
        <v>1</v>
      </c>
      <c r="T41" s="27">
        <f t="shared" si="26"/>
        <v>2344.84</v>
      </c>
      <c r="U41" s="27">
        <f t="shared" si="27"/>
        <v>13690.84</v>
      </c>
      <c r="V41" s="26">
        <v>50</v>
      </c>
      <c r="W41" s="26">
        <f t="shared" si="31"/>
        <v>200</v>
      </c>
      <c r="X41" s="26">
        <v>250</v>
      </c>
      <c r="Y41" s="26">
        <f t="shared" si="29"/>
        <v>1000</v>
      </c>
      <c r="Z41" s="26">
        <v>500</v>
      </c>
      <c r="AA41" s="26">
        <f t="shared" si="18"/>
        <v>2000</v>
      </c>
      <c r="AB41" s="26">
        <v>1500</v>
      </c>
      <c r="AC41" s="26">
        <f t="shared" si="30"/>
        <v>6000</v>
      </c>
      <c r="AD41" s="27">
        <f t="shared" si="20"/>
        <v>2250</v>
      </c>
      <c r="AE41" s="27">
        <f t="shared" si="20"/>
        <v>9000</v>
      </c>
      <c r="AF41" s="27">
        <f t="shared" si="21"/>
        <v>1420.01</v>
      </c>
      <c r="AG41" s="27">
        <f t="shared" si="12"/>
        <v>1824.24</v>
      </c>
      <c r="AH41" s="34">
        <f>(((200/365)*120))*1</f>
        <v>65.75</v>
      </c>
      <c r="AI41" s="41">
        <f t="shared" si="22"/>
        <v>26200.84</v>
      </c>
    </row>
    <row r="42" spans="1:35" ht="54.95" customHeight="1" x14ac:dyDescent="0.25">
      <c r="A42" s="7"/>
      <c r="B42" s="17" t="s">
        <v>30</v>
      </c>
      <c r="C42" s="15" t="s">
        <v>42</v>
      </c>
      <c r="D42" s="28">
        <v>76.59</v>
      </c>
      <c r="E42" s="29">
        <v>2</v>
      </c>
      <c r="F42" s="27">
        <f t="shared" si="28"/>
        <v>4748.58</v>
      </c>
      <c r="G42" s="29">
        <v>2</v>
      </c>
      <c r="H42" s="27">
        <f t="shared" si="15"/>
        <v>4289.04</v>
      </c>
      <c r="I42" s="29">
        <v>2</v>
      </c>
      <c r="J42" s="27">
        <f t="shared" si="16"/>
        <v>4748.58</v>
      </c>
      <c r="K42" s="29">
        <v>2</v>
      </c>
      <c r="L42" s="27">
        <f t="shared" si="17"/>
        <v>4595.3999999999996</v>
      </c>
      <c r="M42" s="29">
        <v>2</v>
      </c>
      <c r="N42" s="27">
        <f t="shared" si="23"/>
        <v>4748.58</v>
      </c>
      <c r="O42" s="29">
        <v>2</v>
      </c>
      <c r="P42" s="27">
        <f t="shared" si="24"/>
        <v>4595.3999999999996</v>
      </c>
      <c r="Q42" s="29">
        <v>2</v>
      </c>
      <c r="R42" s="27">
        <f t="shared" si="25"/>
        <v>4748.58</v>
      </c>
      <c r="S42" s="29">
        <v>2</v>
      </c>
      <c r="T42" s="27">
        <f t="shared" si="26"/>
        <v>4748.58</v>
      </c>
      <c r="U42" s="27">
        <f t="shared" si="27"/>
        <v>27725.58</v>
      </c>
      <c r="V42" s="26">
        <f>50</f>
        <v>50</v>
      </c>
      <c r="W42" s="26">
        <f t="shared" si="31"/>
        <v>200</v>
      </c>
      <c r="X42" s="26">
        <f>250*2</f>
        <v>500</v>
      </c>
      <c r="Y42" s="26">
        <f t="shared" si="29"/>
        <v>2000</v>
      </c>
      <c r="Z42" s="26">
        <f>500+500</f>
        <v>1000</v>
      </c>
      <c r="AA42" s="26">
        <f t="shared" si="18"/>
        <v>4000</v>
      </c>
      <c r="AB42" s="26">
        <f>1500*2</f>
        <v>3000</v>
      </c>
      <c r="AC42" s="26">
        <f t="shared" si="30"/>
        <v>12000</v>
      </c>
      <c r="AD42" s="27">
        <f t="shared" si="20"/>
        <v>4500</v>
      </c>
      <c r="AE42" s="27">
        <f t="shared" si="20"/>
        <v>18000</v>
      </c>
      <c r="AF42" s="27">
        <f t="shared" si="21"/>
        <v>2842.32</v>
      </c>
      <c r="AG42" s="27">
        <f t="shared" si="12"/>
        <v>3660.47</v>
      </c>
      <c r="AH42" s="34">
        <f>(((200/365)*120))*2</f>
        <v>131.51</v>
      </c>
      <c r="AI42" s="41">
        <f t="shared" si="22"/>
        <v>52559.88</v>
      </c>
    </row>
    <row r="43" spans="1:35" ht="54.95" customHeight="1" x14ac:dyDescent="0.25">
      <c r="A43" s="7"/>
      <c r="B43" s="17" t="s">
        <v>30</v>
      </c>
      <c r="C43" s="15" t="s">
        <v>43</v>
      </c>
      <c r="D43" s="28">
        <v>72.540000000000006</v>
      </c>
      <c r="E43" s="29">
        <v>1</v>
      </c>
      <c r="F43" s="27">
        <f t="shared" si="28"/>
        <v>2248.7399999999998</v>
      </c>
      <c r="G43" s="29">
        <v>1</v>
      </c>
      <c r="H43" s="27">
        <f t="shared" si="15"/>
        <v>2031.12</v>
      </c>
      <c r="I43" s="29">
        <v>1</v>
      </c>
      <c r="J43" s="27">
        <f t="shared" si="16"/>
        <v>2248.7399999999998</v>
      </c>
      <c r="K43" s="29">
        <v>1</v>
      </c>
      <c r="L43" s="27">
        <f t="shared" si="17"/>
        <v>2176.1999999999998</v>
      </c>
      <c r="M43" s="29">
        <v>1</v>
      </c>
      <c r="N43" s="27">
        <f>D43*M43*31</f>
        <v>2248.7399999999998</v>
      </c>
      <c r="O43" s="29">
        <v>1</v>
      </c>
      <c r="P43" s="27">
        <f t="shared" si="24"/>
        <v>2176.1999999999998</v>
      </c>
      <c r="Q43" s="29">
        <v>1</v>
      </c>
      <c r="R43" s="27">
        <f t="shared" si="25"/>
        <v>2248.7399999999998</v>
      </c>
      <c r="S43" s="29">
        <v>1</v>
      </c>
      <c r="T43" s="27">
        <f>D43*S43*31</f>
        <v>2248.7399999999998</v>
      </c>
      <c r="U43" s="27">
        <f t="shared" si="27"/>
        <v>13129.74</v>
      </c>
      <c r="V43" s="26">
        <v>0</v>
      </c>
      <c r="W43" s="26">
        <v>0</v>
      </c>
      <c r="X43" s="26">
        <v>250</v>
      </c>
      <c r="Y43" s="26">
        <f t="shared" si="29"/>
        <v>1000</v>
      </c>
      <c r="Z43" s="26">
        <v>567</v>
      </c>
      <c r="AA43" s="26">
        <f t="shared" si="18"/>
        <v>2268</v>
      </c>
      <c r="AB43" s="26">
        <f>1500</f>
        <v>1500</v>
      </c>
      <c r="AC43" s="26">
        <f t="shared" si="30"/>
        <v>6000</v>
      </c>
      <c r="AD43" s="27">
        <f t="shared" si="20"/>
        <v>2317</v>
      </c>
      <c r="AE43" s="27">
        <f t="shared" si="20"/>
        <v>9268</v>
      </c>
      <c r="AF43" s="27">
        <f t="shared" si="21"/>
        <v>1395.02</v>
      </c>
      <c r="AG43" s="27">
        <f t="shared" si="12"/>
        <v>1783.15</v>
      </c>
      <c r="AH43" s="34">
        <f>(((200/365)*120))*1</f>
        <v>65.75</v>
      </c>
      <c r="AI43" s="41">
        <f t="shared" si="22"/>
        <v>25641.66</v>
      </c>
    </row>
    <row r="44" spans="1:35" ht="54.95" customHeight="1" x14ac:dyDescent="0.25">
      <c r="A44" s="7"/>
      <c r="B44" s="17" t="s">
        <v>44</v>
      </c>
      <c r="C44" s="15"/>
      <c r="D44" s="28"/>
      <c r="E44" s="58">
        <f>SUM(E27:E43)</f>
        <v>51</v>
      </c>
      <c r="F44" s="60">
        <f>SUM(F27:F43)</f>
        <v>117105.91</v>
      </c>
      <c r="G44" s="29"/>
      <c r="H44" s="21">
        <f>SUM(H27:H43)</f>
        <v>105773.08</v>
      </c>
      <c r="I44" s="29"/>
      <c r="J44" s="60">
        <f>SUM(J27:J43)</f>
        <v>114680.16</v>
      </c>
      <c r="K44" s="29"/>
      <c r="L44" s="60">
        <f t="shared" ref="L44:AI44" si="32">SUM(L27:L43)</f>
        <v>110980.8</v>
      </c>
      <c r="M44" s="29"/>
      <c r="N44" s="60">
        <f t="shared" ref="N44" si="33">SUM(N27:N43)</f>
        <v>112431.42</v>
      </c>
      <c r="O44" s="29"/>
      <c r="P44" s="60">
        <f>SUM(P27:P43)</f>
        <v>109010.1</v>
      </c>
      <c r="Q44" s="29"/>
      <c r="R44" s="60">
        <f>SUM(R27:R43)</f>
        <v>111300.43</v>
      </c>
      <c r="S44" s="29"/>
      <c r="T44" s="62">
        <f>SUM(T27:T43)</f>
        <v>108603.91</v>
      </c>
      <c r="U44" s="21">
        <f>SUM(U27:U43)</f>
        <v>669981.47</v>
      </c>
      <c r="V44" s="23">
        <f t="shared" si="32"/>
        <v>1275</v>
      </c>
      <c r="W44" s="23">
        <f t="shared" si="32"/>
        <v>5100</v>
      </c>
      <c r="X44" s="23">
        <f t="shared" si="32"/>
        <v>12750</v>
      </c>
      <c r="Y44" s="23">
        <f t="shared" si="32"/>
        <v>62250</v>
      </c>
      <c r="Z44" s="23">
        <f t="shared" si="32"/>
        <v>26713</v>
      </c>
      <c r="AA44" s="23">
        <f t="shared" si="32"/>
        <v>106852</v>
      </c>
      <c r="AB44" s="23">
        <f t="shared" si="32"/>
        <v>76500</v>
      </c>
      <c r="AC44" s="23">
        <f t="shared" si="32"/>
        <v>306000</v>
      </c>
      <c r="AD44" s="21">
        <f t="shared" si="32"/>
        <v>115963</v>
      </c>
      <c r="AE44" s="21">
        <f t="shared" si="32"/>
        <v>475102</v>
      </c>
      <c r="AF44" s="18">
        <f t="shared" si="32"/>
        <v>70839.05</v>
      </c>
      <c r="AG44" s="18">
        <f t="shared" si="32"/>
        <v>90661.15</v>
      </c>
      <c r="AH44" s="18">
        <f t="shared" si="32"/>
        <v>3353.4</v>
      </c>
      <c r="AI44" s="25">
        <f t="shared" si="32"/>
        <v>1315037.07</v>
      </c>
    </row>
    <row r="45" spans="1:35" ht="54.95" customHeight="1" x14ac:dyDescent="0.25">
      <c r="A45" s="7"/>
      <c r="B45" s="20"/>
      <c r="C45" s="59" t="s">
        <v>52</v>
      </c>
      <c r="D45" s="28"/>
      <c r="E45" s="29">
        <f>E23+E26+E44</f>
        <v>72</v>
      </c>
      <c r="F45" s="22">
        <f>F23+F26+F44</f>
        <v>163125.41</v>
      </c>
      <c r="G45" s="22"/>
      <c r="H45" s="22">
        <f t="shared" ref="H45:J45" si="34">H23+H26+H44</f>
        <v>147339.07999999999</v>
      </c>
      <c r="I45" s="22"/>
      <c r="J45" s="22">
        <f t="shared" si="34"/>
        <v>160699.66</v>
      </c>
      <c r="K45" s="22"/>
      <c r="L45" s="22">
        <f>L23+L26+L44</f>
        <v>155515.79999999999</v>
      </c>
      <c r="M45" s="22"/>
      <c r="N45" s="22">
        <f>N23+N26+N44</f>
        <v>158450.92000000001</v>
      </c>
      <c r="O45" s="22"/>
      <c r="P45" s="22">
        <f>P23+P26+P44</f>
        <v>153545.1</v>
      </c>
      <c r="Q45" s="22"/>
      <c r="R45" s="22">
        <f>R23+R26+R44</f>
        <v>157319.93</v>
      </c>
      <c r="S45" s="22"/>
      <c r="T45" s="22">
        <f>T23+T26+T44</f>
        <v>150065.17000000001</v>
      </c>
      <c r="U45" s="22">
        <f>U23+U26+U44</f>
        <v>938675.97</v>
      </c>
      <c r="V45" s="22">
        <f t="shared" ref="V45:AE45" si="35">V23+V26+V44</f>
        <v>1475</v>
      </c>
      <c r="W45" s="22">
        <f t="shared" si="35"/>
        <v>5900</v>
      </c>
      <c r="X45" s="22"/>
      <c r="Y45" s="22"/>
      <c r="Z45" s="22"/>
      <c r="AA45" s="22"/>
      <c r="AB45" s="22"/>
      <c r="AC45" s="22"/>
      <c r="AD45" s="22">
        <f>AD23+AD26+AD44</f>
        <v>162633</v>
      </c>
      <c r="AE45" s="22">
        <f t="shared" si="35"/>
        <v>661782</v>
      </c>
      <c r="AF45" s="22">
        <f>AF23+AF26+AF44</f>
        <v>99163.97</v>
      </c>
      <c r="AG45" s="22">
        <f>AG23+AG26+AG44</f>
        <v>126925.7</v>
      </c>
      <c r="AH45" s="22">
        <f>AH23+AH26+AH44</f>
        <v>4734.22</v>
      </c>
      <c r="AI45" s="42">
        <f>AI44+AI26+AI23</f>
        <v>1837181.86</v>
      </c>
    </row>
    <row r="46" spans="1:35" x14ac:dyDescent="0.25">
      <c r="A46" s="43"/>
      <c r="B46" s="35"/>
      <c r="C46" s="36"/>
      <c r="D46" s="37"/>
      <c r="E46" s="38"/>
      <c r="F46" s="37"/>
      <c r="G46" s="38"/>
      <c r="H46" s="37"/>
      <c r="I46" s="39"/>
      <c r="J46" s="37"/>
      <c r="K46" s="38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7"/>
      <c r="AG46" s="37"/>
      <c r="AH46" s="37"/>
      <c r="AI46" s="44"/>
    </row>
    <row r="47" spans="1:35" ht="21.75" thickBot="1" x14ac:dyDescent="0.4">
      <c r="A47" s="45" t="s">
        <v>17</v>
      </c>
      <c r="B47" s="46"/>
      <c r="C47" s="47"/>
      <c r="D47" s="48"/>
      <c r="E47" s="49"/>
      <c r="F47" s="48"/>
      <c r="G47" s="49"/>
      <c r="H47" s="48"/>
      <c r="I47" s="50"/>
      <c r="J47" s="48"/>
      <c r="K47" s="49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8"/>
      <c r="AG47" s="48"/>
      <c r="AH47" s="51"/>
      <c r="AI47" s="52"/>
    </row>
    <row r="48" spans="1:35" x14ac:dyDescent="0.25">
      <c r="T48" s="3"/>
      <c r="U48" s="3"/>
      <c r="AD48"/>
      <c r="AE48"/>
      <c r="AG48" s="3"/>
      <c r="AH48" s="3"/>
    </row>
    <row r="49" spans="18:18" ht="15.75" thickBot="1" x14ac:dyDescent="0.3"/>
    <row r="50" spans="18:18" x14ac:dyDescent="0.25">
      <c r="R50" s="68"/>
    </row>
  </sheetData>
  <mergeCells count="29">
    <mergeCell ref="I17:J17"/>
    <mergeCell ref="K17:L17"/>
    <mergeCell ref="V16:W16"/>
    <mergeCell ref="X16:Y16"/>
    <mergeCell ref="M17:N17"/>
    <mergeCell ref="O17:P17"/>
    <mergeCell ref="E15:T16"/>
    <mergeCell ref="V15:AH15"/>
    <mergeCell ref="A8:G8"/>
    <mergeCell ref="A10:C10"/>
    <mergeCell ref="A12:C12"/>
    <mergeCell ref="A15:A18"/>
    <mergeCell ref="B15:B18"/>
    <mergeCell ref="C15:C18"/>
    <mergeCell ref="D15:D18"/>
    <mergeCell ref="E17:F17"/>
    <mergeCell ref="G17:H17"/>
    <mergeCell ref="K11:L11"/>
    <mergeCell ref="AB16:AC16"/>
    <mergeCell ref="AF16:AF18"/>
    <mergeCell ref="Q17:R17"/>
    <mergeCell ref="AI15:AI18"/>
    <mergeCell ref="AD16:AE16"/>
    <mergeCell ref="AG16:AG18"/>
    <mergeCell ref="AH16:AH18"/>
    <mergeCell ref="S17:T17"/>
    <mergeCell ref="V17:V18"/>
    <mergeCell ref="W17:W18"/>
    <mergeCell ref="Z16:AA16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3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Literal "B"</vt:lpstr>
      <vt:lpstr>'Literal "B"'!Área_de_impresión</vt:lpstr>
      <vt:lpstr>'Literal "B"'!Títulos_a_imprimir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VÁSQUEZ JUÁREZ JOSÉ ANDRÉS</cp:lastModifiedBy>
  <cp:lastPrinted>2023-04-03T17:42:22Z</cp:lastPrinted>
  <dcterms:created xsi:type="dcterms:W3CDTF">2022-03-31T18:56:32Z</dcterms:created>
  <dcterms:modified xsi:type="dcterms:W3CDTF">2023-09-11T17:16:48Z</dcterms:modified>
</cp:coreProperties>
</file>