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tes\Documents\2023\17 TER 2023\NOVIEMBRE 2023\"/>
    </mc:Choice>
  </mc:AlternateContent>
  <xr:revisionPtr revIDLastSave="0" documentId="13_ncr:1_{854FA044-786F-414F-A661-1B0820370E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8" i="1" l="1"/>
  <c r="AE48" i="1"/>
  <c r="AD48" i="1"/>
  <c r="AC48" i="1"/>
  <c r="AB48" i="1"/>
  <c r="E48" i="1"/>
  <c r="AN47" i="1"/>
  <c r="AN48" i="1" s="1"/>
  <c r="AH47" i="1"/>
  <c r="AL47" i="1" s="1"/>
  <c r="AL48" i="1" s="1"/>
  <c r="AG47" i="1"/>
  <c r="AG48" i="1" s="1"/>
  <c r="AE47" i="1"/>
  <c r="AA47" i="1"/>
  <c r="Z47" i="1"/>
  <c r="X47" i="1"/>
  <c r="V47" i="1"/>
  <c r="V48" i="1" s="1"/>
  <c r="Z46" i="1"/>
  <c r="X46" i="1"/>
  <c r="X48" i="1" s="1"/>
  <c r="Z45" i="1"/>
  <c r="Z48" i="1" s="1"/>
  <c r="AB44" i="1"/>
  <c r="E44" i="1"/>
  <c r="AN43" i="1"/>
  <c r="AH43" i="1"/>
  <c r="AJ43" i="1" s="1"/>
  <c r="AG43" i="1"/>
  <c r="AE43" i="1"/>
  <c r="V43" i="1"/>
  <c r="T43" i="1"/>
  <c r="R43" i="1"/>
  <c r="P43" i="1"/>
  <c r="N43" i="1"/>
  <c r="L43" i="1"/>
  <c r="AL43" i="1" s="1"/>
  <c r="J43" i="1"/>
  <c r="H43" i="1"/>
  <c r="AA43" i="1" s="1"/>
  <c r="F43" i="1"/>
  <c r="AN42" i="1"/>
  <c r="AJ42" i="1"/>
  <c r="AI42" i="1"/>
  <c r="AH42" i="1"/>
  <c r="AF42" i="1"/>
  <c r="AG42" i="1" s="1"/>
  <c r="AD42" i="1"/>
  <c r="AE42" i="1" s="1"/>
  <c r="AB42" i="1"/>
  <c r="AC42" i="1" s="1"/>
  <c r="Z42" i="1"/>
  <c r="X42" i="1"/>
  <c r="V42" i="1"/>
  <c r="T42" i="1"/>
  <c r="R42" i="1"/>
  <c r="P42" i="1"/>
  <c r="N42" i="1"/>
  <c r="L42" i="1"/>
  <c r="AA42" i="1" s="1"/>
  <c r="J42" i="1"/>
  <c r="H42" i="1"/>
  <c r="F42" i="1"/>
  <c r="AN41" i="1"/>
  <c r="AL41" i="1"/>
  <c r="AK41" i="1"/>
  <c r="AJ41" i="1"/>
  <c r="AI41" i="1"/>
  <c r="AG41" i="1"/>
  <c r="AE41" i="1"/>
  <c r="AC41" i="1"/>
  <c r="Z41" i="1"/>
  <c r="X41" i="1"/>
  <c r="V41" i="1"/>
  <c r="T41" i="1"/>
  <c r="R41" i="1"/>
  <c r="P41" i="1"/>
  <c r="N41" i="1"/>
  <c r="L41" i="1"/>
  <c r="J41" i="1"/>
  <c r="H41" i="1"/>
  <c r="F41" i="1"/>
  <c r="AA41" i="1" s="1"/>
  <c r="AN40" i="1"/>
  <c r="AJ40" i="1"/>
  <c r="AI40" i="1"/>
  <c r="AH40" i="1"/>
  <c r="AF40" i="1"/>
  <c r="AG40" i="1" s="1"/>
  <c r="AD40" i="1"/>
  <c r="AE40" i="1" s="1"/>
  <c r="AK40" i="1" s="1"/>
  <c r="AB40" i="1"/>
  <c r="AC40" i="1" s="1"/>
  <c r="Z40" i="1"/>
  <c r="X40" i="1"/>
  <c r="V40" i="1"/>
  <c r="T40" i="1"/>
  <c r="R40" i="1"/>
  <c r="P40" i="1"/>
  <c r="N40" i="1"/>
  <c r="L40" i="1"/>
  <c r="AL40" i="1" s="1"/>
  <c r="J40" i="1"/>
  <c r="H40" i="1"/>
  <c r="F40" i="1"/>
  <c r="AN39" i="1"/>
  <c r="AL39" i="1"/>
  <c r="AK39" i="1"/>
  <c r="AJ39" i="1"/>
  <c r="AI39" i="1"/>
  <c r="AG39" i="1"/>
  <c r="AE39" i="1"/>
  <c r="AC39" i="1"/>
  <c r="Z39" i="1"/>
  <c r="X39" i="1"/>
  <c r="V39" i="1"/>
  <c r="T39" i="1"/>
  <c r="R39" i="1"/>
  <c r="P39" i="1"/>
  <c r="N39" i="1"/>
  <c r="L39" i="1"/>
  <c r="J39" i="1"/>
  <c r="H39" i="1"/>
  <c r="F39" i="1"/>
  <c r="AA39" i="1" s="1"/>
  <c r="AN38" i="1"/>
  <c r="AJ38" i="1"/>
  <c r="AI38" i="1"/>
  <c r="AH38" i="1"/>
  <c r="AF38" i="1"/>
  <c r="AG38" i="1" s="1"/>
  <c r="AD38" i="1"/>
  <c r="AE38" i="1" s="1"/>
  <c r="AK38" i="1" s="1"/>
  <c r="AC38" i="1"/>
  <c r="Z38" i="1"/>
  <c r="X38" i="1"/>
  <c r="V38" i="1"/>
  <c r="T38" i="1"/>
  <c r="R38" i="1"/>
  <c r="P38" i="1"/>
  <c r="N38" i="1"/>
  <c r="L38" i="1"/>
  <c r="AL38" i="1" s="1"/>
  <c r="J38" i="1"/>
  <c r="AA38" i="1" s="1"/>
  <c r="H38" i="1"/>
  <c r="F38" i="1"/>
  <c r="AN37" i="1"/>
  <c r="AK37" i="1"/>
  <c r="AJ37" i="1"/>
  <c r="AI37" i="1"/>
  <c r="AG37" i="1"/>
  <c r="AE37" i="1"/>
  <c r="AC37" i="1"/>
  <c r="Z37" i="1"/>
  <c r="X37" i="1"/>
  <c r="V37" i="1"/>
  <c r="T37" i="1"/>
  <c r="R37" i="1"/>
  <c r="P37" i="1"/>
  <c r="N37" i="1"/>
  <c r="L37" i="1"/>
  <c r="AL37" i="1" s="1"/>
  <c r="J37" i="1"/>
  <c r="H37" i="1"/>
  <c r="F37" i="1"/>
  <c r="AA37" i="1" s="1"/>
  <c r="AN36" i="1"/>
  <c r="AI36" i="1"/>
  <c r="AG36" i="1"/>
  <c r="AK36" i="1" s="1"/>
  <c r="AF36" i="1"/>
  <c r="AJ36" i="1" s="1"/>
  <c r="AE36" i="1"/>
  <c r="Z36" i="1"/>
  <c r="X36" i="1"/>
  <c r="V36" i="1"/>
  <c r="T36" i="1"/>
  <c r="R36" i="1"/>
  <c r="P36" i="1"/>
  <c r="N36" i="1"/>
  <c r="L36" i="1"/>
  <c r="AL36" i="1" s="1"/>
  <c r="J36" i="1"/>
  <c r="H36" i="1"/>
  <c r="F36" i="1"/>
  <c r="AA36" i="1" s="1"/>
  <c r="AN35" i="1"/>
  <c r="AI35" i="1"/>
  <c r="AF35" i="1"/>
  <c r="AJ35" i="1" s="1"/>
  <c r="AE35" i="1"/>
  <c r="AC35" i="1"/>
  <c r="Z35" i="1"/>
  <c r="X35" i="1"/>
  <c r="V35" i="1"/>
  <c r="T35" i="1"/>
  <c r="R35" i="1"/>
  <c r="P35" i="1"/>
  <c r="N35" i="1"/>
  <c r="L35" i="1"/>
  <c r="AL35" i="1" s="1"/>
  <c r="J35" i="1"/>
  <c r="H35" i="1"/>
  <c r="F35" i="1"/>
  <c r="AA35" i="1" s="1"/>
  <c r="AN34" i="1"/>
  <c r="AI34" i="1"/>
  <c r="AG34" i="1"/>
  <c r="AD34" i="1"/>
  <c r="AJ34" i="1" s="1"/>
  <c r="AC34" i="1"/>
  <c r="Z34" i="1"/>
  <c r="X34" i="1"/>
  <c r="V34" i="1"/>
  <c r="T34" i="1"/>
  <c r="R34" i="1"/>
  <c r="P34" i="1"/>
  <c r="N34" i="1"/>
  <c r="N44" i="1" s="1"/>
  <c r="L34" i="1"/>
  <c r="AL34" i="1" s="1"/>
  <c r="J34" i="1"/>
  <c r="H34" i="1"/>
  <c r="F34" i="1"/>
  <c r="AN33" i="1"/>
  <c r="AL33" i="1"/>
  <c r="AK33" i="1"/>
  <c r="AJ33" i="1"/>
  <c r="AI33" i="1"/>
  <c r="AG33" i="1"/>
  <c r="AE33" i="1"/>
  <c r="Z33" i="1"/>
  <c r="X33" i="1"/>
  <c r="V33" i="1"/>
  <c r="T33" i="1"/>
  <c r="R33" i="1"/>
  <c r="P33" i="1"/>
  <c r="N33" i="1"/>
  <c r="L33" i="1"/>
  <c r="J33" i="1"/>
  <c r="H33" i="1"/>
  <c r="F33" i="1"/>
  <c r="AA33" i="1" s="1"/>
  <c r="AN32" i="1"/>
  <c r="AJ32" i="1"/>
  <c r="AI32" i="1"/>
  <c r="AH32" i="1"/>
  <c r="AF32" i="1"/>
  <c r="AG32" i="1" s="1"/>
  <c r="AD32" i="1"/>
  <c r="AE32" i="1" s="1"/>
  <c r="AB32" i="1"/>
  <c r="AC32" i="1" s="1"/>
  <c r="Z32" i="1"/>
  <c r="X32" i="1"/>
  <c r="V32" i="1"/>
  <c r="T32" i="1"/>
  <c r="R32" i="1"/>
  <c r="P32" i="1"/>
  <c r="N32" i="1"/>
  <c r="L32" i="1"/>
  <c r="AL32" i="1" s="1"/>
  <c r="J32" i="1"/>
  <c r="H32" i="1"/>
  <c r="F32" i="1"/>
  <c r="AN31" i="1"/>
  <c r="AL31" i="1"/>
  <c r="AI31" i="1"/>
  <c r="AH31" i="1"/>
  <c r="AF31" i="1"/>
  <c r="AG31" i="1" s="1"/>
  <c r="AD31" i="1"/>
  <c r="AE31" i="1" s="1"/>
  <c r="AK31" i="1" s="1"/>
  <c r="AC31" i="1"/>
  <c r="AB31" i="1"/>
  <c r="Z31" i="1"/>
  <c r="X31" i="1"/>
  <c r="V31" i="1"/>
  <c r="T31" i="1"/>
  <c r="R31" i="1"/>
  <c r="P31" i="1"/>
  <c r="P44" i="1" s="1"/>
  <c r="N31" i="1"/>
  <c r="L31" i="1"/>
  <c r="J31" i="1"/>
  <c r="H31" i="1"/>
  <c r="F31" i="1"/>
  <c r="AA31" i="1" s="1"/>
  <c r="AN30" i="1"/>
  <c r="AH30" i="1"/>
  <c r="AI30" i="1" s="1"/>
  <c r="AF30" i="1"/>
  <c r="AG30" i="1" s="1"/>
  <c r="AE30" i="1"/>
  <c r="AK30" i="1" s="1"/>
  <c r="AD30" i="1"/>
  <c r="AJ30" i="1" s="1"/>
  <c r="AB30" i="1"/>
  <c r="AC30" i="1" s="1"/>
  <c r="Z30" i="1"/>
  <c r="X30" i="1"/>
  <c r="V30" i="1"/>
  <c r="T30" i="1"/>
  <c r="R30" i="1"/>
  <c r="P30" i="1"/>
  <c r="N30" i="1"/>
  <c r="L30" i="1"/>
  <c r="J30" i="1"/>
  <c r="H30" i="1"/>
  <c r="F30" i="1"/>
  <c r="AA30" i="1" s="1"/>
  <c r="AN29" i="1"/>
  <c r="AH29" i="1"/>
  <c r="AI29" i="1" s="1"/>
  <c r="AG29" i="1"/>
  <c r="AF29" i="1"/>
  <c r="AJ29" i="1" s="1"/>
  <c r="AD29" i="1"/>
  <c r="AE29" i="1" s="1"/>
  <c r="AK29" i="1" s="1"/>
  <c r="AB29" i="1"/>
  <c r="AL29" i="1" s="1"/>
  <c r="Z29" i="1"/>
  <c r="X29" i="1"/>
  <c r="V29" i="1"/>
  <c r="T29" i="1"/>
  <c r="R29" i="1"/>
  <c r="P29" i="1"/>
  <c r="N29" i="1"/>
  <c r="L29" i="1"/>
  <c r="J29" i="1"/>
  <c r="H29" i="1"/>
  <c r="F29" i="1"/>
  <c r="AA29" i="1" s="1"/>
  <c r="AN28" i="1"/>
  <c r="AJ28" i="1"/>
  <c r="AI28" i="1"/>
  <c r="AH28" i="1"/>
  <c r="AL28" i="1" s="1"/>
  <c r="AF28" i="1"/>
  <c r="AG28" i="1" s="1"/>
  <c r="AD28" i="1"/>
  <c r="AE28" i="1" s="1"/>
  <c r="AK28" i="1" s="1"/>
  <c r="Z28" i="1"/>
  <c r="X28" i="1"/>
  <c r="V28" i="1"/>
  <c r="T28" i="1"/>
  <c r="R28" i="1"/>
  <c r="P28" i="1"/>
  <c r="N28" i="1"/>
  <c r="L28" i="1"/>
  <c r="J28" i="1"/>
  <c r="H28" i="1"/>
  <c r="F28" i="1"/>
  <c r="AA28" i="1" s="1"/>
  <c r="AN27" i="1"/>
  <c r="AN44" i="1" s="1"/>
  <c r="AJ27" i="1"/>
  <c r="AI27" i="1"/>
  <c r="AH27" i="1"/>
  <c r="AH44" i="1" s="1"/>
  <c r="AF27" i="1"/>
  <c r="AG27" i="1" s="1"/>
  <c r="AD27" i="1"/>
  <c r="AE27" i="1" s="1"/>
  <c r="Z27" i="1"/>
  <c r="Z44" i="1" s="1"/>
  <c r="X27" i="1"/>
  <c r="X44" i="1" s="1"/>
  <c r="V27" i="1"/>
  <c r="V44" i="1" s="1"/>
  <c r="T27" i="1"/>
  <c r="T44" i="1" s="1"/>
  <c r="R27" i="1"/>
  <c r="R44" i="1" s="1"/>
  <c r="P27" i="1"/>
  <c r="N27" i="1"/>
  <c r="L27" i="1"/>
  <c r="L44" i="1" s="1"/>
  <c r="J27" i="1"/>
  <c r="J44" i="1" s="1"/>
  <c r="H27" i="1"/>
  <c r="H44" i="1" s="1"/>
  <c r="F27" i="1"/>
  <c r="F44" i="1" s="1"/>
  <c r="E26" i="1"/>
  <c r="AN25" i="1"/>
  <c r="AM25" i="1"/>
  <c r="AL25" i="1"/>
  <c r="AI25" i="1"/>
  <c r="AH25" i="1"/>
  <c r="AG25" i="1"/>
  <c r="AF25" i="1"/>
  <c r="AD25" i="1"/>
  <c r="AJ25" i="1" s="1"/>
  <c r="AA25" i="1"/>
  <c r="AN24" i="1"/>
  <c r="AN26" i="1" s="1"/>
  <c r="AJ24" i="1"/>
  <c r="AI24" i="1"/>
  <c r="AI26" i="1" s="1"/>
  <c r="AH24" i="1"/>
  <c r="AH26" i="1" s="1"/>
  <c r="AF24" i="1"/>
  <c r="AG24" i="1" s="1"/>
  <c r="AG26" i="1" s="1"/>
  <c r="AD24" i="1"/>
  <c r="AE24" i="1" s="1"/>
  <c r="AB24" i="1"/>
  <c r="AB26" i="1" s="1"/>
  <c r="Z24" i="1"/>
  <c r="Z26" i="1" s="1"/>
  <c r="X24" i="1"/>
  <c r="X26" i="1" s="1"/>
  <c r="V24" i="1"/>
  <c r="V26" i="1" s="1"/>
  <c r="T24" i="1"/>
  <c r="T26" i="1" s="1"/>
  <c r="R24" i="1"/>
  <c r="R26" i="1" s="1"/>
  <c r="P24" i="1"/>
  <c r="P26" i="1" s="1"/>
  <c r="N24" i="1"/>
  <c r="N26" i="1" s="1"/>
  <c r="L24" i="1"/>
  <c r="L26" i="1" s="1"/>
  <c r="J24" i="1"/>
  <c r="J26" i="1" s="1"/>
  <c r="H24" i="1"/>
  <c r="H26" i="1" s="1"/>
  <c r="F24" i="1"/>
  <c r="F26" i="1" s="1"/>
  <c r="AD23" i="1"/>
  <c r="AC23" i="1"/>
  <c r="AB23" i="1"/>
  <c r="E23" i="1"/>
  <c r="E49" i="1" s="1"/>
  <c r="AN22" i="1"/>
  <c r="AI22" i="1"/>
  <c r="AH22" i="1"/>
  <c r="AG22" i="1"/>
  <c r="AE22" i="1"/>
  <c r="AK22" i="1" s="1"/>
  <c r="AD22" i="1"/>
  <c r="AJ22" i="1" s="1"/>
  <c r="Z22" i="1"/>
  <c r="X22" i="1"/>
  <c r="V22" i="1"/>
  <c r="T22" i="1"/>
  <c r="R22" i="1"/>
  <c r="P22" i="1"/>
  <c r="N22" i="1"/>
  <c r="L22" i="1"/>
  <c r="AL22" i="1" s="1"/>
  <c r="J22" i="1"/>
  <c r="H22" i="1"/>
  <c r="F22" i="1"/>
  <c r="AA22" i="1" s="1"/>
  <c r="AN21" i="1"/>
  <c r="AH21" i="1"/>
  <c r="AI21" i="1" s="1"/>
  <c r="AF21" i="1"/>
  <c r="AG21" i="1" s="1"/>
  <c r="AE21" i="1"/>
  <c r="AD21" i="1"/>
  <c r="AJ21" i="1" s="1"/>
  <c r="Z21" i="1"/>
  <c r="X21" i="1"/>
  <c r="V21" i="1"/>
  <c r="T21" i="1"/>
  <c r="R21" i="1"/>
  <c r="P21" i="1"/>
  <c r="N21" i="1"/>
  <c r="L21" i="1"/>
  <c r="J21" i="1"/>
  <c r="H21" i="1"/>
  <c r="F21" i="1"/>
  <c r="AA21" i="1" s="1"/>
  <c r="AN20" i="1"/>
  <c r="AH20" i="1"/>
  <c r="AI20" i="1" s="1"/>
  <c r="AF20" i="1"/>
  <c r="AG20" i="1" s="1"/>
  <c r="AE20" i="1"/>
  <c r="AD20" i="1"/>
  <c r="AJ20" i="1" s="1"/>
  <c r="Z20" i="1"/>
  <c r="X20" i="1"/>
  <c r="V20" i="1"/>
  <c r="T20" i="1"/>
  <c r="R20" i="1"/>
  <c r="P20" i="1"/>
  <c r="N20" i="1"/>
  <c r="L20" i="1"/>
  <c r="J20" i="1"/>
  <c r="H20" i="1"/>
  <c r="F20" i="1"/>
  <c r="AA20" i="1" s="1"/>
  <c r="AN19" i="1"/>
  <c r="AN23" i="1" s="1"/>
  <c r="AN49" i="1" s="1"/>
  <c r="AH19" i="1"/>
  <c r="AH23" i="1" s="1"/>
  <c r="AF19" i="1"/>
  <c r="AF23" i="1" s="1"/>
  <c r="AE19" i="1"/>
  <c r="AD19" i="1"/>
  <c r="AJ19" i="1" s="1"/>
  <c r="AJ23" i="1" s="1"/>
  <c r="Z19" i="1"/>
  <c r="Z23" i="1" s="1"/>
  <c r="X19" i="1"/>
  <c r="X23" i="1" s="1"/>
  <c r="X49" i="1" s="1"/>
  <c r="V19" i="1"/>
  <c r="V23" i="1" s="1"/>
  <c r="V49" i="1" s="1"/>
  <c r="T19" i="1"/>
  <c r="T23" i="1" s="1"/>
  <c r="T49" i="1" s="1"/>
  <c r="R19" i="1"/>
  <c r="R23" i="1" s="1"/>
  <c r="P19" i="1"/>
  <c r="P23" i="1" s="1"/>
  <c r="N19" i="1"/>
  <c r="N23" i="1" s="1"/>
  <c r="L19" i="1"/>
  <c r="L23" i="1" s="1"/>
  <c r="J19" i="1"/>
  <c r="J23" i="1" s="1"/>
  <c r="H19" i="1"/>
  <c r="H23" i="1" s="1"/>
  <c r="H49" i="1" s="1"/>
  <c r="F19" i="1"/>
  <c r="AA19" i="1" s="1"/>
  <c r="AM22" i="1" l="1"/>
  <c r="AO22" i="1" s="1"/>
  <c r="Z49" i="1"/>
  <c r="AM42" i="1"/>
  <c r="AK43" i="1"/>
  <c r="J49" i="1"/>
  <c r="AB49" i="1"/>
  <c r="AM33" i="1"/>
  <c r="AO33" i="1"/>
  <c r="L49" i="1"/>
  <c r="N49" i="1"/>
  <c r="AK20" i="1"/>
  <c r="AK21" i="1"/>
  <c r="AK27" i="1"/>
  <c r="AM30" i="1"/>
  <c r="AO30" i="1" s="1"/>
  <c r="AK32" i="1"/>
  <c r="AM36" i="1"/>
  <c r="AO36" i="1" s="1"/>
  <c r="AM37" i="1"/>
  <c r="AO37" i="1" s="1"/>
  <c r="AK42" i="1"/>
  <c r="AA23" i="1"/>
  <c r="P49" i="1"/>
  <c r="AM28" i="1"/>
  <c r="AO28" i="1" s="1"/>
  <c r="AJ26" i="1"/>
  <c r="AM31" i="1"/>
  <c r="AO31" i="1" s="1"/>
  <c r="AM41" i="1"/>
  <c r="AO41" i="1" s="1"/>
  <c r="R49" i="1"/>
  <c r="AH49" i="1"/>
  <c r="AM20" i="1"/>
  <c r="AM38" i="1"/>
  <c r="AO38" i="1" s="1"/>
  <c r="AM39" i="1"/>
  <c r="AO39" i="1" s="1"/>
  <c r="AO21" i="1"/>
  <c r="AM21" i="1"/>
  <c r="AE26" i="1"/>
  <c r="AK24" i="1"/>
  <c r="AK26" i="1" s="1"/>
  <c r="AA40" i="1"/>
  <c r="AL19" i="1"/>
  <c r="AL20" i="1"/>
  <c r="AO20" i="1" s="1"/>
  <c r="AL21" i="1"/>
  <c r="AL30" i="1"/>
  <c r="AJ31" i="1"/>
  <c r="AJ44" i="1" s="1"/>
  <c r="AJ49" i="1" s="1"/>
  <c r="AA34" i="1"/>
  <c r="AA45" i="1"/>
  <c r="AA48" i="1" s="1"/>
  <c r="AE25" i="1"/>
  <c r="AK25" i="1" s="1"/>
  <c r="AG19" i="1"/>
  <c r="AG23" i="1" s="1"/>
  <c r="AE23" i="1"/>
  <c r="AC24" i="1"/>
  <c r="AC26" i="1" s="1"/>
  <c r="AC49" i="1" s="1"/>
  <c r="AA27" i="1"/>
  <c r="AE34" i="1"/>
  <c r="AK34" i="1" s="1"/>
  <c r="AG35" i="1"/>
  <c r="AD44" i="1"/>
  <c r="AA46" i="1"/>
  <c r="AI47" i="1"/>
  <c r="AI48" i="1" s="1"/>
  <c r="AA32" i="1"/>
  <c r="F23" i="1"/>
  <c r="F49" i="1" s="1"/>
  <c r="AL24" i="1"/>
  <c r="AL26" i="1" s="1"/>
  <c r="AD26" i="1"/>
  <c r="AD49" i="1" s="1"/>
  <c r="AL27" i="1"/>
  <c r="AL42" i="1"/>
  <c r="AO42" i="1" s="1"/>
  <c r="AJ47" i="1"/>
  <c r="AJ48" i="1" s="1"/>
  <c r="AA24" i="1"/>
  <c r="AI19" i="1"/>
  <c r="AI23" i="1" s="1"/>
  <c r="AC29" i="1"/>
  <c r="AC44" i="1" s="1"/>
  <c r="AI43" i="1"/>
  <c r="AM43" i="1" s="1"/>
  <c r="AO43" i="1" s="1"/>
  <c r="AF44" i="1"/>
  <c r="AH48" i="1"/>
  <c r="AF26" i="1"/>
  <c r="AF49" i="1" s="1"/>
  <c r="AO35" i="1" l="1"/>
  <c r="AL44" i="1"/>
  <c r="AO34" i="1"/>
  <c r="AM34" i="1"/>
  <c r="AK35" i="1"/>
  <c r="AK44" i="1" s="1"/>
  <c r="AM27" i="1"/>
  <c r="AO27" i="1" s="1"/>
  <c r="AA44" i="1"/>
  <c r="AO25" i="1"/>
  <c r="AE44" i="1"/>
  <c r="AM29" i="1"/>
  <c r="AO29" i="1" s="1"/>
  <c r="AM40" i="1"/>
  <c r="AO40" i="1" s="1"/>
  <c r="AI49" i="1"/>
  <c r="AM32" i="1"/>
  <c r="AO32" i="1" s="1"/>
  <c r="AE49" i="1"/>
  <c r="AK47" i="1"/>
  <c r="AK48" i="1" s="1"/>
  <c r="AM19" i="1"/>
  <c r="AM23" i="1" s="1"/>
  <c r="AM35" i="1"/>
  <c r="AM47" i="1"/>
  <c r="AM24" i="1"/>
  <c r="AM26" i="1" s="1"/>
  <c r="AA26" i="1"/>
  <c r="AA49" i="1" s="1"/>
  <c r="AG44" i="1"/>
  <c r="AG49" i="1" s="1"/>
  <c r="AL23" i="1"/>
  <c r="AI44" i="1"/>
  <c r="AK19" i="1"/>
  <c r="AK23" i="1" s="1"/>
  <c r="AO44" i="1" l="1"/>
  <c r="AK49" i="1"/>
  <c r="AM48" i="1"/>
  <c r="AM49" i="1" s="1"/>
  <c r="AO47" i="1"/>
  <c r="AO48" i="1" s="1"/>
  <c r="AO24" i="1"/>
  <c r="AO26" i="1" s="1"/>
  <c r="AO19" i="1"/>
  <c r="AO23" i="1" s="1"/>
  <c r="AM44" i="1"/>
  <c r="AL49" i="1"/>
  <c r="AO49" i="1" l="1"/>
</calcChain>
</file>

<file path=xl/sharedStrings.xml><?xml version="1.0" encoding="utf-8"?>
<sst xmlns="http://schemas.openxmlformats.org/spreadsheetml/2006/main" count="141" uniqueCount="68">
  <si>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</si>
  <si>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</si>
  <si>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</si>
  <si>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</si>
  <si>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</si>
  <si>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</si>
  <si>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</si>
  <si>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</si>
  <si>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</si>
  <si>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</si>
  <si>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</si>
  <si>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</si>
  <si>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</si>
  <si>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</si>
  <si>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</si>
  <si>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</si>
  <si>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</si>
  <si>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</si>
  <si>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</si>
  <si>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</si>
  <si>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</si>
  <si>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</si>
  <si>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</si>
  <si>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</si>
  <si>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</si>
  <si>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</si>
  <si>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</si>
  <si>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</si>
  <si>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</si>
  <si>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</si>
  <si>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</si>
  <si>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</si>
  <si>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</si>
  <si>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</si>
  <si>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</si>
  <si>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</si>
  <si>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</si>
  <si>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</si>
  <si>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</si>
  <si>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</si>
  <si>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</si>
  <si>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</si>
  <si>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</si>
  <si>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</si>
  <si>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</si>
  <si>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</si>
  <si>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</si>
  <si>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</si>
  <si>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</si>
  <si>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</si>
  <si>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</si>
  <si>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</si>
  <si>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</si>
  <si>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</si>
  <si>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</si>
  <si>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</si>
  <si>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</si>
  <si>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</si>
  <si>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Julio</t>
  </si>
  <si>
    <t>Agosto</t>
  </si>
  <si>
    <t>Septiembre</t>
  </si>
  <si>
    <t>CORO NACIONAL PARA PERSONAS CON DISCAPACIDAD "César Augusto Hernández"</t>
  </si>
  <si>
    <t>Peón Vigilante V</t>
  </si>
  <si>
    <t>Conserje</t>
  </si>
  <si>
    <t>Tallerista</t>
  </si>
  <si>
    <t>Octubre</t>
  </si>
  <si>
    <t>Noviembre</t>
  </si>
  <si>
    <t>Mes/ año: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</si>
</sst>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164" fontId="10" fillId="4" borderId="5" xfId="2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44" fontId="8" fillId="0" borderId="5" xfId="2" applyNumberFormat="1" applyFont="1" applyBorder="1" applyAlignment="1">
      <alignment horizontal="center" vertical="center" wrapText="1"/>
    </xf>
    <xf numFmtId="44" fontId="0" fillId="0" borderId="0" xfId="1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367392</xdr:colOff>
      <xdr:row>1</xdr:row>
      <xdr:rowOff>81643</xdr:rowOff>
    </xdr:from>
    <xdr:to>
      <xdr:col>29</xdr:col>
      <xdr:colOff>1279071</xdr:colOff>
      <xdr:row>7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CEB63-9ACB-EE5C-EA57-84E55C8E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6642" y="272143"/>
          <a:ext cx="4014107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781DA-7797-4748-A02A-8342CC0F98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85506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2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G9" sqref="G9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.7109375" style="3" customWidth="1"/>
    <col min="20" max="20" width="18.42578125" customWidth="1"/>
    <col min="21" max="21" width="17" customWidth="1"/>
    <col min="22" max="22" width="17" hidden="1" customWidth="1"/>
    <col min="23" max="27" width="20" hidden="1" customWidth="1"/>
    <col min="28" max="28" width="22.85546875" customWidth="1"/>
    <col min="29" max="29" width="18.140625" customWidth="1"/>
    <col min="30" max="30" width="19.42578125" style="3" customWidth="1"/>
    <col min="31" max="31" width="20.85546875" style="3" customWidth="1"/>
    <col min="32" max="32" width="23.7109375" style="3" customWidth="1"/>
    <col min="33" max="33" width="21.5703125" customWidth="1"/>
  </cols>
  <sheetData>
    <row r="1" spans="1:41" x14ac:dyDescent="0.25">
      <c r="C1"/>
      <c r="D1"/>
      <c r="E1"/>
      <c r="F1"/>
      <c r="G1"/>
    </row>
    <row r="2" spans="1:41" x14ac:dyDescent="0.25">
      <c r="C2"/>
      <c r="D2"/>
      <c r="E2"/>
      <c r="F2"/>
      <c r="G2"/>
    </row>
    <row r="3" spans="1:41" x14ac:dyDescent="0.25">
      <c r="C3"/>
      <c r="D3"/>
      <c r="E3"/>
      <c r="F3"/>
      <c r="G3"/>
    </row>
    <row r="4" spans="1:41" x14ac:dyDescent="0.25">
      <c r="C4"/>
      <c r="D4"/>
      <c r="E4"/>
      <c r="F4"/>
      <c r="G4"/>
    </row>
    <row r="5" spans="1:41" x14ac:dyDescent="0.25">
      <c r="C5"/>
      <c r="D5"/>
      <c r="E5"/>
      <c r="F5"/>
      <c r="G5"/>
    </row>
    <row r="6" spans="1:41" x14ac:dyDescent="0.25">
      <c r="C6"/>
      <c r="D6"/>
      <c r="E6"/>
      <c r="F6"/>
      <c r="G6"/>
    </row>
    <row r="7" spans="1:41" ht="26.25" x14ac:dyDescent="0.25">
      <c r="A7" s="12" t="s">
        <v>18</v>
      </c>
      <c r="B7" s="8"/>
      <c r="C7" s="8"/>
      <c r="D7"/>
      <c r="E7"/>
      <c r="F7"/>
      <c r="G7"/>
      <c r="L7" s="60"/>
      <c r="M7" s="60"/>
      <c r="N7" s="60"/>
      <c r="O7" s="60"/>
      <c r="P7" s="60"/>
      <c r="Q7" s="60"/>
      <c r="R7" s="60"/>
      <c r="T7" s="60"/>
    </row>
    <row r="8" spans="1:41" ht="18.75" customHeight="1" x14ac:dyDescent="0.25">
      <c r="A8" s="87" t="s">
        <v>19</v>
      </c>
      <c r="B8" s="87"/>
      <c r="C8" s="87"/>
      <c r="D8" s="87"/>
      <c r="E8" s="87"/>
      <c r="F8" s="87"/>
      <c r="G8" s="87"/>
    </row>
    <row r="9" spans="1:41" ht="23.25" x14ac:dyDescent="0.25">
      <c r="A9" s="8" t="s">
        <v>20</v>
      </c>
      <c r="B9" s="9"/>
      <c r="C9" s="10"/>
      <c r="D9"/>
      <c r="E9"/>
      <c r="F9"/>
      <c r="G9"/>
    </row>
    <row r="10" spans="1:41" ht="19.5" thickBot="1" x14ac:dyDescent="0.3">
      <c r="A10" s="88" t="s">
        <v>54</v>
      </c>
      <c r="B10" s="88"/>
      <c r="C10" s="88"/>
      <c r="D10"/>
      <c r="E10"/>
      <c r="F10"/>
      <c r="G10"/>
      <c r="U10" s="24"/>
      <c r="V10" s="24"/>
      <c r="W10" s="24"/>
      <c r="X10" s="24"/>
      <c r="Y10" s="24"/>
      <c r="Z10" s="24"/>
      <c r="AA10" s="24"/>
    </row>
    <row r="11" spans="1:41" ht="19.5" thickBot="1" x14ac:dyDescent="0.35">
      <c r="A11" s="13" t="s">
        <v>55</v>
      </c>
      <c r="B11" s="13"/>
      <c r="C11" s="13"/>
      <c r="D11"/>
      <c r="E11"/>
      <c r="F11"/>
      <c r="G11"/>
      <c r="K11" s="76"/>
      <c r="L11" s="77"/>
      <c r="M11" s="65"/>
      <c r="N11" s="65"/>
      <c r="O11" s="65"/>
      <c r="P11" s="65"/>
      <c r="Q11" s="65"/>
      <c r="R11" s="65"/>
      <c r="S11" s="55"/>
      <c r="U11" s="24"/>
      <c r="V11" s="24"/>
      <c r="W11" s="24"/>
      <c r="X11" s="24"/>
      <c r="Y11" s="24"/>
      <c r="Z11" s="24"/>
      <c r="AA11" s="24"/>
      <c r="AB11" s="24"/>
    </row>
    <row r="12" spans="1:41" ht="18.75" x14ac:dyDescent="0.25">
      <c r="A12" s="89" t="s">
        <v>67</v>
      </c>
      <c r="B12" s="89"/>
      <c r="C12" s="89"/>
      <c r="D12"/>
      <c r="E12"/>
      <c r="F12"/>
      <c r="G12"/>
      <c r="L12" s="11"/>
      <c r="M12" s="11"/>
      <c r="N12" s="11"/>
      <c r="O12" s="11"/>
      <c r="P12" s="11"/>
      <c r="Q12" s="11"/>
      <c r="R12" s="11"/>
      <c r="S12" s="11"/>
      <c r="U12" s="24"/>
      <c r="V12" s="24"/>
      <c r="W12" s="24"/>
      <c r="X12" s="24"/>
      <c r="Y12" s="24"/>
      <c r="Z12" s="24"/>
      <c r="AA12" s="24"/>
    </row>
    <row r="13" spans="1:41" x14ac:dyDescent="0.25">
      <c r="A13" s="1"/>
      <c r="T13" s="3"/>
      <c r="U13" s="3"/>
      <c r="V13" s="3"/>
      <c r="W13" s="3"/>
      <c r="X13" s="3"/>
      <c r="Y13" s="3"/>
      <c r="AA13" s="24"/>
      <c r="AB13" s="24"/>
      <c r="AC13" s="24"/>
      <c r="AD13" s="24"/>
      <c r="AE13" s="24"/>
      <c r="AF13" s="24"/>
      <c r="AG13" s="24"/>
      <c r="AJ13" s="3"/>
      <c r="AK13" s="3"/>
      <c r="AL13" s="3"/>
    </row>
    <row r="14" spans="1:41" s="61" customFormat="1" ht="15.75" thickBot="1" x14ac:dyDescent="0.3">
      <c r="C14" s="19"/>
      <c r="D14" s="62"/>
      <c r="F14" s="62">
        <v>31</v>
      </c>
      <c r="H14" s="62" t="s">
        <v>26</v>
      </c>
      <c r="I14" s="62"/>
      <c r="J14" s="62" t="s">
        <v>27</v>
      </c>
      <c r="L14" s="62" t="s">
        <v>28</v>
      </c>
      <c r="M14" s="62"/>
      <c r="N14" s="62" t="s">
        <v>27</v>
      </c>
      <c r="O14" s="62"/>
      <c r="P14" s="62" t="s">
        <v>28</v>
      </c>
      <c r="Q14" s="62"/>
      <c r="R14" s="62" t="s">
        <v>27</v>
      </c>
      <c r="S14" s="62"/>
      <c r="T14" s="62" t="s">
        <v>27</v>
      </c>
      <c r="U14" s="62"/>
      <c r="V14" s="62" t="s">
        <v>28</v>
      </c>
      <c r="W14" s="62"/>
      <c r="X14" s="62" t="s">
        <v>27</v>
      </c>
      <c r="Y14" s="62"/>
      <c r="Z14" s="62" t="s">
        <v>28</v>
      </c>
      <c r="AA14" s="62"/>
      <c r="AB14" s="63"/>
      <c r="AL14" s="62"/>
      <c r="AM14" s="62"/>
      <c r="AN14" s="62"/>
    </row>
    <row r="15" spans="1:41" s="14" customFormat="1" ht="35.1" customHeight="1" x14ac:dyDescent="0.25">
      <c r="A15" s="90" t="s">
        <v>0</v>
      </c>
      <c r="B15" s="92" t="s">
        <v>1</v>
      </c>
      <c r="C15" s="93" t="s">
        <v>2</v>
      </c>
      <c r="D15" s="95" t="s">
        <v>3</v>
      </c>
      <c r="E15" s="78" t="s">
        <v>4</v>
      </c>
      <c r="F15" s="79"/>
      <c r="G15" s="79"/>
      <c r="H15" s="79"/>
      <c r="I15" s="79"/>
      <c r="J15" s="79"/>
      <c r="K15" s="79"/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53"/>
      <c r="AB15" s="86" t="s">
        <v>5</v>
      </c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70" t="s">
        <v>6</v>
      </c>
    </row>
    <row r="16" spans="1:41" s="14" customFormat="1" ht="35.1" customHeight="1" x14ac:dyDescent="0.25">
      <c r="A16" s="91"/>
      <c r="B16" s="75"/>
      <c r="C16" s="94"/>
      <c r="D16" s="96"/>
      <c r="E16" s="82"/>
      <c r="F16" s="83"/>
      <c r="G16" s="83"/>
      <c r="H16" s="83"/>
      <c r="I16" s="83"/>
      <c r="J16" s="83"/>
      <c r="K16" s="83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54"/>
      <c r="AB16" s="72" t="s">
        <v>7</v>
      </c>
      <c r="AC16" s="72"/>
      <c r="AD16" s="72" t="s">
        <v>8</v>
      </c>
      <c r="AE16" s="72"/>
      <c r="AF16" s="72" t="s">
        <v>8</v>
      </c>
      <c r="AG16" s="72"/>
      <c r="AH16" s="72" t="s">
        <v>8</v>
      </c>
      <c r="AI16" s="72"/>
      <c r="AJ16" s="72" t="s">
        <v>51</v>
      </c>
      <c r="AK16" s="72"/>
      <c r="AL16" s="73" t="s">
        <v>9</v>
      </c>
      <c r="AM16" s="73" t="s">
        <v>10</v>
      </c>
      <c r="AN16" s="73" t="s">
        <v>11</v>
      </c>
      <c r="AO16" s="71"/>
    </row>
    <row r="17" spans="1:41" s="14" customFormat="1" ht="35.1" customHeight="1" x14ac:dyDescent="0.25">
      <c r="A17" s="91"/>
      <c r="B17" s="75"/>
      <c r="C17" s="94"/>
      <c r="D17" s="96"/>
      <c r="E17" s="74" t="s">
        <v>12</v>
      </c>
      <c r="F17" s="74"/>
      <c r="G17" s="74" t="s">
        <v>13</v>
      </c>
      <c r="H17" s="74"/>
      <c r="I17" s="74" t="s">
        <v>14</v>
      </c>
      <c r="J17" s="74"/>
      <c r="K17" s="74" t="s">
        <v>15</v>
      </c>
      <c r="L17" s="74"/>
      <c r="M17" s="74" t="s">
        <v>56</v>
      </c>
      <c r="N17" s="74"/>
      <c r="O17" s="74" t="s">
        <v>57</v>
      </c>
      <c r="P17" s="74"/>
      <c r="Q17" s="74" t="s">
        <v>58</v>
      </c>
      <c r="R17" s="74"/>
      <c r="S17" s="74" t="s">
        <v>59</v>
      </c>
      <c r="T17" s="74"/>
      <c r="U17" s="74" t="s">
        <v>60</v>
      </c>
      <c r="V17" s="74"/>
      <c r="W17" s="74" t="s">
        <v>65</v>
      </c>
      <c r="X17" s="74"/>
      <c r="Y17" s="74" t="s">
        <v>66</v>
      </c>
      <c r="Z17" s="74"/>
      <c r="AA17" s="52" t="s">
        <v>53</v>
      </c>
      <c r="AB17" s="75" t="s">
        <v>46</v>
      </c>
      <c r="AC17" s="75" t="s">
        <v>47</v>
      </c>
      <c r="AD17" s="52" t="s">
        <v>46</v>
      </c>
      <c r="AE17" s="52" t="s">
        <v>47</v>
      </c>
      <c r="AF17" s="52" t="s">
        <v>46</v>
      </c>
      <c r="AG17" s="52" t="s">
        <v>47</v>
      </c>
      <c r="AH17" s="52" t="s">
        <v>46</v>
      </c>
      <c r="AI17" s="52" t="s">
        <v>47</v>
      </c>
      <c r="AJ17" s="52" t="s">
        <v>46</v>
      </c>
      <c r="AK17" s="52" t="s">
        <v>47</v>
      </c>
      <c r="AL17" s="73"/>
      <c r="AM17" s="73"/>
      <c r="AN17" s="73"/>
      <c r="AO17" s="71"/>
    </row>
    <row r="18" spans="1:41" s="14" customFormat="1" ht="45" customHeight="1" x14ac:dyDescent="0.25">
      <c r="A18" s="91"/>
      <c r="B18" s="75"/>
      <c r="C18" s="94"/>
      <c r="D18" s="96"/>
      <c r="E18" s="30" t="s">
        <v>16</v>
      </c>
      <c r="F18" s="31" t="s">
        <v>6</v>
      </c>
      <c r="G18" s="30" t="s">
        <v>16</v>
      </c>
      <c r="H18" s="31" t="s">
        <v>6</v>
      </c>
      <c r="I18" s="32" t="s">
        <v>16</v>
      </c>
      <c r="J18" s="31" t="s">
        <v>6</v>
      </c>
      <c r="K18" s="30" t="s">
        <v>16</v>
      </c>
      <c r="L18" s="31" t="s">
        <v>6</v>
      </c>
      <c r="M18" s="30" t="s">
        <v>16</v>
      </c>
      <c r="N18" s="31" t="s">
        <v>6</v>
      </c>
      <c r="O18" s="30" t="s">
        <v>16</v>
      </c>
      <c r="P18" s="31" t="s">
        <v>6</v>
      </c>
      <c r="Q18" s="30" t="s">
        <v>16</v>
      </c>
      <c r="R18" s="31" t="s">
        <v>6</v>
      </c>
      <c r="S18" s="30" t="s">
        <v>16</v>
      </c>
      <c r="T18" s="31" t="s">
        <v>6</v>
      </c>
      <c r="U18" s="30" t="s">
        <v>16</v>
      </c>
      <c r="V18" s="31" t="s">
        <v>6</v>
      </c>
      <c r="W18" s="30" t="s">
        <v>16</v>
      </c>
      <c r="X18" s="31" t="s">
        <v>6</v>
      </c>
      <c r="Y18" s="30" t="s">
        <v>16</v>
      </c>
      <c r="Z18" s="31" t="s">
        <v>6</v>
      </c>
      <c r="AA18" s="52" t="s">
        <v>45</v>
      </c>
      <c r="AB18" s="75"/>
      <c r="AC18" s="75"/>
      <c r="AD18" s="52" t="s">
        <v>48</v>
      </c>
      <c r="AE18" s="52" t="s">
        <v>48</v>
      </c>
      <c r="AF18" s="52" t="s">
        <v>49</v>
      </c>
      <c r="AG18" s="52" t="s">
        <v>49</v>
      </c>
      <c r="AH18" s="52" t="s">
        <v>50</v>
      </c>
      <c r="AI18" s="52" t="s">
        <v>50</v>
      </c>
      <c r="AJ18" s="52" t="s">
        <v>46</v>
      </c>
      <c r="AK18" s="52" t="s">
        <v>47</v>
      </c>
      <c r="AL18" s="73"/>
      <c r="AM18" s="73"/>
      <c r="AN18" s="73"/>
      <c r="AO18" s="71"/>
    </row>
    <row r="19" spans="1:41" s="6" customFormat="1" ht="54.95" customHeight="1" x14ac:dyDescent="0.25">
      <c r="A19" s="40">
        <v>1</v>
      </c>
      <c r="B19" s="17" t="s">
        <v>25</v>
      </c>
      <c r="C19" s="15" t="s">
        <v>21</v>
      </c>
      <c r="D19" s="28">
        <v>74.63</v>
      </c>
      <c r="E19" s="29">
        <v>2</v>
      </c>
      <c r="F19" s="27">
        <f>D19*31*E19</f>
        <v>4627.0600000000004</v>
      </c>
      <c r="G19" s="29">
        <v>2</v>
      </c>
      <c r="H19" s="27">
        <f>D19*28*G19</f>
        <v>4179.28</v>
      </c>
      <c r="I19" s="29">
        <v>2</v>
      </c>
      <c r="J19" s="27">
        <f>D19*31*I19</f>
        <v>4627.0600000000004</v>
      </c>
      <c r="K19" s="29">
        <v>2</v>
      </c>
      <c r="L19" s="27">
        <f>D19*30*K19</f>
        <v>4477.8</v>
      </c>
      <c r="M19" s="29">
        <v>2</v>
      </c>
      <c r="N19" s="27">
        <f>D19*M19*31</f>
        <v>4627.0600000000004</v>
      </c>
      <c r="O19" s="29">
        <v>2</v>
      </c>
      <c r="P19" s="27">
        <f>D19*O19*30</f>
        <v>4477.8</v>
      </c>
      <c r="Q19" s="29">
        <v>2</v>
      </c>
      <c r="R19" s="27">
        <f>D19*Q19*31</f>
        <v>4627.0600000000004</v>
      </c>
      <c r="S19" s="29">
        <v>2</v>
      </c>
      <c r="T19" s="27">
        <f>D19*S19*31</f>
        <v>4627.0600000000004</v>
      </c>
      <c r="U19" s="29">
        <v>2</v>
      </c>
      <c r="V19" s="27">
        <f>D19*S19*30</f>
        <v>4477.8</v>
      </c>
      <c r="W19" s="29">
        <v>2</v>
      </c>
      <c r="X19" s="27">
        <f>D19*W19*31</f>
        <v>4627.0600000000004</v>
      </c>
      <c r="Y19" s="29">
        <v>2</v>
      </c>
      <c r="Z19" s="27">
        <f>D19*Y19*30</f>
        <v>4477.8</v>
      </c>
      <c r="AA19" s="27">
        <f>F19+H19+J19+L19+N19+P19+R19+T19+V19+X19+Z19</f>
        <v>49852.84</v>
      </c>
      <c r="AB19" s="33">
        <v>0</v>
      </c>
      <c r="AC19" s="33">
        <v>0</v>
      </c>
      <c r="AD19" s="33">
        <f>250*2</f>
        <v>500</v>
      </c>
      <c r="AE19" s="33">
        <f>AD19*4</f>
        <v>2000</v>
      </c>
      <c r="AF19" s="33">
        <f>504*2</f>
        <v>1008</v>
      </c>
      <c r="AG19" s="33">
        <f>AF19*4</f>
        <v>4032</v>
      </c>
      <c r="AH19" s="33">
        <f>1500*2</f>
        <v>3000</v>
      </c>
      <c r="AI19" s="33">
        <f>AH19*4</f>
        <v>12000</v>
      </c>
      <c r="AJ19" s="27">
        <f>AD19+AF19+AH19</f>
        <v>4508</v>
      </c>
      <c r="AK19" s="27">
        <f>AE19+AG19+AI19</f>
        <v>18032</v>
      </c>
      <c r="AL19" s="27">
        <f>(((L19+AB19+AF19+AH19)/365)*120)</f>
        <v>2789.85</v>
      </c>
      <c r="AM19" s="27">
        <f>(((AA19+AC19+AG19+AI19)/12))</f>
        <v>5490.4</v>
      </c>
      <c r="AN19" s="34">
        <f>(((200/365)*120))*2</f>
        <v>131.51</v>
      </c>
      <c r="AO19" s="41">
        <f>AA19+AC19+AE19+AG19+AI19+AL19+AM19+AN19</f>
        <v>76296.600000000006</v>
      </c>
    </row>
    <row r="20" spans="1:41" ht="54.95" customHeight="1" x14ac:dyDescent="0.25">
      <c r="A20" s="7">
        <v>2</v>
      </c>
      <c r="B20" s="17" t="s">
        <v>25</v>
      </c>
      <c r="C20" s="15" t="s">
        <v>22</v>
      </c>
      <c r="D20" s="28">
        <v>75.64</v>
      </c>
      <c r="E20" s="29">
        <v>4</v>
      </c>
      <c r="F20" s="27">
        <f>D20*31*E20</f>
        <v>9379.36</v>
      </c>
      <c r="G20" s="29">
        <v>4</v>
      </c>
      <c r="H20" s="27">
        <f>D20*28*G20</f>
        <v>8471.68</v>
      </c>
      <c r="I20" s="29">
        <v>4</v>
      </c>
      <c r="J20" s="27">
        <f>D20*31*I20</f>
        <v>9379.36</v>
      </c>
      <c r="K20" s="29">
        <v>4</v>
      </c>
      <c r="L20" s="27">
        <f>D20*30*K20</f>
        <v>9076.7999999999993</v>
      </c>
      <c r="M20" s="29">
        <v>4</v>
      </c>
      <c r="N20" s="27">
        <f t="shared" ref="N20:N22" si="0">D20*M20*31</f>
        <v>9379.36</v>
      </c>
      <c r="O20" s="29">
        <v>4</v>
      </c>
      <c r="P20" s="27">
        <f t="shared" ref="P20:P22" si="1">D20*O20*30</f>
        <v>9076.7999999999993</v>
      </c>
      <c r="Q20" s="29">
        <v>4</v>
      </c>
      <c r="R20" s="27">
        <f t="shared" ref="R20:R22" si="2">D20*Q20*31</f>
        <v>9379.36</v>
      </c>
      <c r="S20" s="29">
        <v>4</v>
      </c>
      <c r="T20" s="27">
        <f>D20*3*31</f>
        <v>7034.52</v>
      </c>
      <c r="U20" s="29">
        <v>4</v>
      </c>
      <c r="V20" s="27">
        <f>D20*S20*30+605.12</f>
        <v>9681.92</v>
      </c>
      <c r="W20" s="29">
        <v>4</v>
      </c>
      <c r="X20" s="27">
        <f>D20*W20*31</f>
        <v>9379.36</v>
      </c>
      <c r="Y20" s="29">
        <v>4</v>
      </c>
      <c r="Z20" s="27">
        <f>D20*Y20*30</f>
        <v>9076.7999999999993</v>
      </c>
      <c r="AA20" s="27">
        <f t="shared" ref="AA20:AA22" si="3">F20+H20+J20+L20+N20+P20+R20+T20+V20+X20+Z20</f>
        <v>99315.32</v>
      </c>
      <c r="AB20" s="33">
        <v>0</v>
      </c>
      <c r="AC20" s="33">
        <v>0</v>
      </c>
      <c r="AD20" s="33">
        <f>250*4</f>
        <v>1000</v>
      </c>
      <c r="AE20" s="33">
        <f t="shared" ref="AE20:AE22" si="4">AD20*4</f>
        <v>4000</v>
      </c>
      <c r="AF20" s="33">
        <f>500*4</f>
        <v>2000</v>
      </c>
      <c r="AG20" s="33">
        <f>AF20*4</f>
        <v>8000</v>
      </c>
      <c r="AH20" s="33">
        <f>1500*4</f>
        <v>6000</v>
      </c>
      <c r="AI20" s="33">
        <f t="shared" ref="AI20:AI22" si="5">AH20*4</f>
        <v>24000</v>
      </c>
      <c r="AJ20" s="27">
        <f t="shared" ref="AJ20:AK21" si="6">AD20+AF20+AH20</f>
        <v>9000</v>
      </c>
      <c r="AK20" s="27">
        <f t="shared" si="6"/>
        <v>36000</v>
      </c>
      <c r="AL20" s="27">
        <f>(((L20+AB20+AF20+AH20)/365)*120)</f>
        <v>5614.29</v>
      </c>
      <c r="AM20" s="27">
        <f t="shared" ref="AM20:AM22" si="7">(((AA20+AC20+AG20+AI20)/12))</f>
        <v>10942.94</v>
      </c>
      <c r="AN20" s="34">
        <f>(((200/365)*120))*4</f>
        <v>263.01</v>
      </c>
      <c r="AO20" s="41">
        <f t="shared" ref="AO20:AO24" si="8">AA20+AC20+AE20+AG20+AI20+AL20+AM20+AN20</f>
        <v>152135.56</v>
      </c>
    </row>
    <row r="21" spans="1:41" ht="54.95" customHeight="1" x14ac:dyDescent="0.25">
      <c r="A21" s="7">
        <v>3</v>
      </c>
      <c r="B21" s="17" t="s">
        <v>25</v>
      </c>
      <c r="C21" s="15" t="s">
        <v>23</v>
      </c>
      <c r="D21" s="28">
        <v>71.400000000000006</v>
      </c>
      <c r="E21" s="29">
        <v>6</v>
      </c>
      <c r="F21" s="27">
        <f>D21*31*E21</f>
        <v>13280.4</v>
      </c>
      <c r="G21" s="29">
        <v>6</v>
      </c>
      <c r="H21" s="27">
        <f>D21*28*G21</f>
        <v>11995.2</v>
      </c>
      <c r="I21" s="29">
        <v>6</v>
      </c>
      <c r="J21" s="27">
        <f>D21*31*I21</f>
        <v>13280.4</v>
      </c>
      <c r="K21" s="29">
        <v>6</v>
      </c>
      <c r="L21" s="27">
        <f>D21*30*K21</f>
        <v>12852</v>
      </c>
      <c r="M21" s="29">
        <v>6</v>
      </c>
      <c r="N21" s="27">
        <f t="shared" si="0"/>
        <v>13280.4</v>
      </c>
      <c r="O21" s="29">
        <v>6</v>
      </c>
      <c r="P21" s="27">
        <f t="shared" si="1"/>
        <v>12852</v>
      </c>
      <c r="Q21" s="29">
        <v>6</v>
      </c>
      <c r="R21" s="27">
        <f t="shared" si="2"/>
        <v>13280.4</v>
      </c>
      <c r="S21" s="29">
        <v>6</v>
      </c>
      <c r="T21" s="27">
        <f>D21*5*31</f>
        <v>11067</v>
      </c>
      <c r="U21" s="29">
        <v>6</v>
      </c>
      <c r="V21" s="27">
        <f>D21*5*30</f>
        <v>10710</v>
      </c>
      <c r="W21" s="29">
        <v>6</v>
      </c>
      <c r="X21" s="27">
        <f>D21*5*31+3641.4</f>
        <v>14708.4</v>
      </c>
      <c r="Y21" s="29">
        <v>6</v>
      </c>
      <c r="Z21" s="27">
        <f>D21*Y21*30</f>
        <v>12852</v>
      </c>
      <c r="AA21" s="27">
        <f t="shared" si="3"/>
        <v>140158.20000000001</v>
      </c>
      <c r="AB21" s="33">
        <v>0</v>
      </c>
      <c r="AC21" s="33">
        <v>0</v>
      </c>
      <c r="AD21" s="33">
        <f>250*6</f>
        <v>1500</v>
      </c>
      <c r="AE21" s="33">
        <f t="shared" si="4"/>
        <v>6000</v>
      </c>
      <c r="AF21" s="33">
        <f>601*5</f>
        <v>3005</v>
      </c>
      <c r="AG21" s="33">
        <f>AF21*4</f>
        <v>12020</v>
      </c>
      <c r="AH21" s="33">
        <f>1500*6</f>
        <v>9000</v>
      </c>
      <c r="AI21" s="33">
        <f t="shared" si="5"/>
        <v>36000</v>
      </c>
      <c r="AJ21" s="27">
        <f t="shared" si="6"/>
        <v>13505</v>
      </c>
      <c r="AK21" s="27">
        <f t="shared" si="6"/>
        <v>54020</v>
      </c>
      <c r="AL21" s="27">
        <f>(((L21+AB21+AF21+AH21)/365)*120)</f>
        <v>8172.16</v>
      </c>
      <c r="AM21" s="27">
        <f t="shared" si="7"/>
        <v>15681.52</v>
      </c>
      <c r="AN21" s="34">
        <f>(((200/365)*120))*6</f>
        <v>394.52</v>
      </c>
      <c r="AO21" s="41">
        <f t="shared" si="8"/>
        <v>218426.4</v>
      </c>
    </row>
    <row r="22" spans="1:41" ht="54.95" customHeight="1" x14ac:dyDescent="0.25">
      <c r="A22" s="7">
        <v>4</v>
      </c>
      <c r="B22" s="17" t="s">
        <v>25</v>
      </c>
      <c r="C22" s="16" t="s">
        <v>24</v>
      </c>
      <c r="D22" s="28">
        <v>78.25</v>
      </c>
      <c r="E22" s="29">
        <v>2</v>
      </c>
      <c r="F22" s="27">
        <f>D22*31*E22</f>
        <v>4851.5</v>
      </c>
      <c r="G22" s="29">
        <v>2</v>
      </c>
      <c r="H22" s="27">
        <f>D22*28*G22</f>
        <v>4382</v>
      </c>
      <c r="I22" s="29">
        <v>2</v>
      </c>
      <c r="J22" s="27">
        <f>D22*31*I22</f>
        <v>4851.5</v>
      </c>
      <c r="K22" s="29">
        <v>2</v>
      </c>
      <c r="L22" s="27">
        <f>D22*30*K22</f>
        <v>4695</v>
      </c>
      <c r="M22" s="29">
        <v>2</v>
      </c>
      <c r="N22" s="27">
        <f t="shared" si="0"/>
        <v>4851.5</v>
      </c>
      <c r="O22" s="29">
        <v>2</v>
      </c>
      <c r="P22" s="27">
        <f t="shared" si="1"/>
        <v>4695</v>
      </c>
      <c r="Q22" s="29">
        <v>2</v>
      </c>
      <c r="R22" s="27">
        <f t="shared" si="2"/>
        <v>4851.5</v>
      </c>
      <c r="S22" s="29">
        <v>2</v>
      </c>
      <c r="T22" s="27">
        <f>D22*S22*31</f>
        <v>4851.5</v>
      </c>
      <c r="U22" s="29">
        <v>2</v>
      </c>
      <c r="V22" s="27">
        <f>D22*2*30</f>
        <v>4695</v>
      </c>
      <c r="W22" s="29">
        <v>2</v>
      </c>
      <c r="X22" s="27">
        <f>D22*W22*31</f>
        <v>4851.5</v>
      </c>
      <c r="Y22" s="29">
        <v>2</v>
      </c>
      <c r="Z22" s="27">
        <f>D22*Y22*30</f>
        <v>4695</v>
      </c>
      <c r="AA22" s="27">
        <f t="shared" si="3"/>
        <v>52271</v>
      </c>
      <c r="AB22" s="33">
        <v>0</v>
      </c>
      <c r="AC22" s="33">
        <v>0</v>
      </c>
      <c r="AD22" s="33">
        <f>250*2</f>
        <v>500</v>
      </c>
      <c r="AE22" s="33">
        <f t="shared" si="4"/>
        <v>2000</v>
      </c>
      <c r="AF22" s="33">
        <v>395</v>
      </c>
      <c r="AG22" s="33">
        <f>AF22*4</f>
        <v>1580</v>
      </c>
      <c r="AH22" s="33">
        <f>1500*2</f>
        <v>3000</v>
      </c>
      <c r="AI22" s="33">
        <f t="shared" si="5"/>
        <v>12000</v>
      </c>
      <c r="AJ22" s="27">
        <f>AD22+AF22+AH22</f>
        <v>3895</v>
      </c>
      <c r="AK22" s="27">
        <f>AE22+AG22+AI22</f>
        <v>15580</v>
      </c>
      <c r="AL22" s="27">
        <f>(((L22+AB22+AF22+AH22)/365)*120)</f>
        <v>2659.73</v>
      </c>
      <c r="AM22" s="27">
        <f t="shared" si="7"/>
        <v>5487.58</v>
      </c>
      <c r="AN22" s="34">
        <f>(((200/365)*120))*2</f>
        <v>131.51</v>
      </c>
      <c r="AO22" s="41">
        <f t="shared" si="8"/>
        <v>76129.820000000007</v>
      </c>
    </row>
    <row r="23" spans="1:41" ht="54.95" customHeight="1" x14ac:dyDescent="0.25">
      <c r="A23" s="7"/>
      <c r="B23" s="17" t="s">
        <v>44</v>
      </c>
      <c r="C23" s="16"/>
      <c r="D23" s="28"/>
      <c r="E23" s="57">
        <f>SUM(E19:E22)</f>
        <v>14</v>
      </c>
      <c r="F23" s="59">
        <f>SUM(F19:F22)</f>
        <v>32138.32</v>
      </c>
      <c r="G23" s="29"/>
      <c r="H23" s="21">
        <f>SUM(H19:H22)</f>
        <v>29028.16</v>
      </c>
      <c r="I23" s="29"/>
      <c r="J23" s="59">
        <f>SUM(J19:J22)</f>
        <v>32138.32</v>
      </c>
      <c r="K23" s="29"/>
      <c r="L23" s="59">
        <f>SUM(L19:L22)</f>
        <v>31101.599999999999</v>
      </c>
      <c r="M23" s="29"/>
      <c r="N23" s="59">
        <f>SUM(N19:N22)</f>
        <v>32138.32</v>
      </c>
      <c r="O23" s="29"/>
      <c r="P23" s="59">
        <f>SUM(P19:P22)</f>
        <v>31101.599999999999</v>
      </c>
      <c r="Q23" s="29"/>
      <c r="R23" s="59">
        <f>SUM(R19:R22)</f>
        <v>32138.32</v>
      </c>
      <c r="S23" s="29"/>
      <c r="T23" s="59">
        <f>SUM(T19:T22)</f>
        <v>27580.080000000002</v>
      </c>
      <c r="U23" s="29"/>
      <c r="V23" s="59">
        <f>SUM(V19:V22)</f>
        <v>29564.720000000001</v>
      </c>
      <c r="W23" s="29"/>
      <c r="X23" s="59">
        <f>SUM(X19:X22)</f>
        <v>33566.32</v>
      </c>
      <c r="Y23" s="29"/>
      <c r="Z23" s="59">
        <f>SUM(Z19:Z22)</f>
        <v>31101.599999999999</v>
      </c>
      <c r="AA23" s="21">
        <f>SUM(AA19:AA22)</f>
        <v>341597.36</v>
      </c>
      <c r="AB23" s="23">
        <f t="shared" ref="AB23:AK23" si="9">SUM(AB19:AB22)</f>
        <v>0</v>
      </c>
      <c r="AC23" s="23">
        <f t="shared" si="9"/>
        <v>0</v>
      </c>
      <c r="AD23" s="23">
        <f t="shared" si="9"/>
        <v>3500</v>
      </c>
      <c r="AE23" s="23">
        <f t="shared" si="9"/>
        <v>14000</v>
      </c>
      <c r="AF23" s="23">
        <f t="shared" si="9"/>
        <v>6408</v>
      </c>
      <c r="AG23" s="23">
        <f t="shared" si="9"/>
        <v>25632</v>
      </c>
      <c r="AH23" s="23">
        <f t="shared" si="9"/>
        <v>21000</v>
      </c>
      <c r="AI23" s="23">
        <f t="shared" si="9"/>
        <v>84000</v>
      </c>
      <c r="AJ23" s="21">
        <f t="shared" si="9"/>
        <v>30908</v>
      </c>
      <c r="AK23" s="21">
        <f t="shared" si="9"/>
        <v>123632</v>
      </c>
      <c r="AL23" s="18">
        <f>SUM(AL19:AL22)</f>
        <v>19236.03</v>
      </c>
      <c r="AM23" s="18">
        <f>SUM(AM19:AM22)</f>
        <v>37602.44</v>
      </c>
      <c r="AN23" s="18">
        <f>SUM(AN19:AN22)</f>
        <v>920.55</v>
      </c>
      <c r="AO23" s="25">
        <f>SUM(AO19:AO22)</f>
        <v>522988.38</v>
      </c>
    </row>
    <row r="24" spans="1:41" ht="54.95" customHeight="1" x14ac:dyDescent="0.25">
      <c r="A24" s="7">
        <v>1</v>
      </c>
      <c r="B24" s="17" t="s">
        <v>29</v>
      </c>
      <c r="C24" s="15" t="s">
        <v>21</v>
      </c>
      <c r="D24" s="28">
        <v>74.63</v>
      </c>
      <c r="E24" s="29">
        <v>6</v>
      </c>
      <c r="F24" s="27">
        <f>D24*31*E24</f>
        <v>13881.18</v>
      </c>
      <c r="G24" s="29">
        <v>6</v>
      </c>
      <c r="H24" s="27">
        <f t="shared" ref="H24" si="10">D24*28*G24</f>
        <v>12537.84</v>
      </c>
      <c r="I24" s="29">
        <v>6</v>
      </c>
      <c r="J24" s="27">
        <f t="shared" ref="J24" si="11">D24*31*I24</f>
        <v>13881.18</v>
      </c>
      <c r="K24" s="29">
        <v>6</v>
      </c>
      <c r="L24" s="27">
        <f t="shared" ref="L24" si="12">D24*30*K24</f>
        <v>13433.4</v>
      </c>
      <c r="M24" s="29">
        <v>6</v>
      </c>
      <c r="N24" s="27">
        <f>D24*M24*31</f>
        <v>13881.18</v>
      </c>
      <c r="O24" s="29">
        <v>6</v>
      </c>
      <c r="P24" s="27">
        <f>D24*O24*30</f>
        <v>13433.4</v>
      </c>
      <c r="Q24" s="29">
        <v>6</v>
      </c>
      <c r="R24" s="27">
        <f>D24*Q24*31</f>
        <v>13881.18</v>
      </c>
      <c r="S24" s="29">
        <v>6</v>
      </c>
      <c r="T24" s="27">
        <f>D24*E24*31</f>
        <v>13881.18</v>
      </c>
      <c r="U24" s="29">
        <v>6</v>
      </c>
      <c r="V24" s="27">
        <f>D24*S24*30</f>
        <v>13433.4</v>
      </c>
      <c r="W24" s="29">
        <v>6</v>
      </c>
      <c r="X24" s="27">
        <f>D24*U24*31</f>
        <v>13881.18</v>
      </c>
      <c r="Y24" s="29">
        <v>6</v>
      </c>
      <c r="Z24" s="27">
        <f>D24*Y24*30</f>
        <v>13433.4</v>
      </c>
      <c r="AA24" s="27">
        <f>F24+H24+J24+L24+N24+P24+R24+T24+V24+X24+Z24</f>
        <v>149558.51999999999</v>
      </c>
      <c r="AB24" s="26">
        <f>50*4</f>
        <v>200</v>
      </c>
      <c r="AC24" s="26">
        <f>AB24*4</f>
        <v>800</v>
      </c>
      <c r="AD24" s="26">
        <f>250*6</f>
        <v>1500</v>
      </c>
      <c r="AE24" s="26">
        <f>AD24*4</f>
        <v>6000</v>
      </c>
      <c r="AF24" s="26">
        <f>500*3+504*3</f>
        <v>3012</v>
      </c>
      <c r="AG24" s="26">
        <f>AF24*4</f>
        <v>12048</v>
      </c>
      <c r="AH24" s="26">
        <f>1500*6</f>
        <v>9000</v>
      </c>
      <c r="AI24" s="26">
        <f>AH24*4</f>
        <v>36000</v>
      </c>
      <c r="AJ24" s="27">
        <f>AD24+AF24+AH24</f>
        <v>13512</v>
      </c>
      <c r="AK24" s="27">
        <f>AE24+AG24+AI24</f>
        <v>54048</v>
      </c>
      <c r="AL24" s="27">
        <f>(((L24+AB24+AF24+AH24)/365)*120)</f>
        <v>8431.36</v>
      </c>
      <c r="AM24" s="27">
        <f>(((AA24+AC24+AG24+AI24)/12))</f>
        <v>16533.88</v>
      </c>
      <c r="AN24" s="34">
        <f>(((200/365)*120))*6</f>
        <v>394.52</v>
      </c>
      <c r="AO24" s="41">
        <f t="shared" si="8"/>
        <v>229766.28</v>
      </c>
    </row>
    <row r="25" spans="1:41" ht="54.95" customHeight="1" x14ac:dyDescent="0.25">
      <c r="A25" s="7">
        <v>2</v>
      </c>
      <c r="B25" s="17" t="s">
        <v>29</v>
      </c>
      <c r="C25" s="15" t="s">
        <v>22</v>
      </c>
      <c r="D25" s="28">
        <v>75.64</v>
      </c>
      <c r="E25" s="29">
        <v>1</v>
      </c>
      <c r="F25" s="27">
        <v>0</v>
      </c>
      <c r="G25" s="29">
        <v>1</v>
      </c>
      <c r="H25" s="27">
        <v>0</v>
      </c>
      <c r="I25" s="29">
        <v>1</v>
      </c>
      <c r="J25" s="27">
        <v>0</v>
      </c>
      <c r="K25" s="29">
        <v>1</v>
      </c>
      <c r="L25" s="27">
        <v>0</v>
      </c>
      <c r="M25" s="29">
        <v>1</v>
      </c>
      <c r="N25" s="27">
        <v>0</v>
      </c>
      <c r="O25" s="29">
        <v>1</v>
      </c>
      <c r="P25" s="27">
        <v>0</v>
      </c>
      <c r="Q25" s="29">
        <v>1</v>
      </c>
      <c r="R25" s="27">
        <v>0</v>
      </c>
      <c r="S25" s="29">
        <v>1</v>
      </c>
      <c r="T25" s="27">
        <v>0</v>
      </c>
      <c r="U25" s="29">
        <v>1</v>
      </c>
      <c r="V25" s="27">
        <v>0</v>
      </c>
      <c r="W25" s="29">
        <v>1</v>
      </c>
      <c r="X25" s="27">
        <v>0</v>
      </c>
      <c r="Y25" s="29">
        <v>1</v>
      </c>
      <c r="Z25" s="27">
        <v>0</v>
      </c>
      <c r="AA25" s="27">
        <f t="shared" ref="AA25" si="13">F25+H25+J25+L25+N25+P25+R25+T25+V25+X25+Z25</f>
        <v>0</v>
      </c>
      <c r="AB25" s="26">
        <v>0</v>
      </c>
      <c r="AC25" s="26">
        <v>0</v>
      </c>
      <c r="AD25" s="26">
        <f>250</f>
        <v>250</v>
      </c>
      <c r="AE25" s="26">
        <f>AD25*4</f>
        <v>1000</v>
      </c>
      <c r="AF25" s="26">
        <f>500</f>
        <v>500</v>
      </c>
      <c r="AG25" s="26">
        <f>AF25*4</f>
        <v>2000</v>
      </c>
      <c r="AH25" s="26">
        <f>1500</f>
        <v>1500</v>
      </c>
      <c r="AI25" s="26">
        <f>AH25*4</f>
        <v>6000</v>
      </c>
      <c r="AJ25" s="27">
        <f>AD25+AF25+AH25</f>
        <v>2250</v>
      </c>
      <c r="AK25" s="27">
        <f>AE25+AG25+AI25</f>
        <v>9000</v>
      </c>
      <c r="AL25" s="27">
        <f>(((L25+AB25+AF25+AH25)/365)*120)</f>
        <v>657.53</v>
      </c>
      <c r="AM25" s="27">
        <f t="shared" ref="AM25:AM43" si="14">(((AA25+AC25+AG25+AI25)/12))</f>
        <v>666.67</v>
      </c>
      <c r="AN25" s="34">
        <f>(((200/365)*120))*1</f>
        <v>65.75</v>
      </c>
      <c r="AO25" s="41">
        <f>AA25+AC25+AE25+AG25+AI25+AL25+AM25+AN25</f>
        <v>10389.950000000001</v>
      </c>
    </row>
    <row r="26" spans="1:41" ht="54.95" customHeight="1" x14ac:dyDescent="0.25">
      <c r="A26" s="7"/>
      <c r="B26" s="17" t="s">
        <v>44</v>
      </c>
      <c r="C26" s="15"/>
      <c r="D26" s="28"/>
      <c r="E26" s="57">
        <f>SUM(E24:E25)</f>
        <v>7</v>
      </c>
      <c r="F26" s="59">
        <f>SUM(F24:F25)</f>
        <v>13881.18</v>
      </c>
      <c r="G26" s="29"/>
      <c r="H26" s="21">
        <f>SUM(H24:H25)</f>
        <v>12537.84</v>
      </c>
      <c r="I26" s="29"/>
      <c r="J26" s="59">
        <f>SUM(J24:J25)</f>
        <v>13881.18</v>
      </c>
      <c r="K26" s="29"/>
      <c r="L26" s="59">
        <f>SUM(L24:L25)</f>
        <v>13433.4</v>
      </c>
      <c r="M26" s="29"/>
      <c r="N26" s="59">
        <f>SUM(N24:N25)</f>
        <v>13881.18</v>
      </c>
      <c r="O26" s="29"/>
      <c r="P26" s="59">
        <f>SUM(P24:P25)</f>
        <v>13433.4</v>
      </c>
      <c r="Q26" s="29"/>
      <c r="R26" s="59">
        <f>SUM(R24:R25)</f>
        <v>13881.18</v>
      </c>
      <c r="S26" s="29"/>
      <c r="T26" s="59">
        <f>SUM(T24:T25)</f>
        <v>13881.18</v>
      </c>
      <c r="U26" s="29"/>
      <c r="V26" s="59">
        <f>SUM(V24:V25)</f>
        <v>13433.4</v>
      </c>
      <c r="W26" s="29"/>
      <c r="X26" s="59">
        <f>SUM(X24:X25)</f>
        <v>13881.18</v>
      </c>
      <c r="Y26" s="29"/>
      <c r="Z26" s="59">
        <f>SUM(Z24:Z25)</f>
        <v>13433.4</v>
      </c>
      <c r="AA26" s="21">
        <f>SUM(AA24:AA25)</f>
        <v>149558.51999999999</v>
      </c>
      <c r="AB26" s="23">
        <f t="shared" ref="AB26:AJ26" si="15">SUM(AB24:AB25)</f>
        <v>200</v>
      </c>
      <c r="AC26" s="23">
        <f t="shared" si="15"/>
        <v>800</v>
      </c>
      <c r="AD26" s="23">
        <f t="shared" si="15"/>
        <v>1750</v>
      </c>
      <c r="AE26" s="23">
        <f t="shared" si="15"/>
        <v>7000</v>
      </c>
      <c r="AF26" s="23">
        <f t="shared" si="15"/>
        <v>3512</v>
      </c>
      <c r="AG26" s="23">
        <f t="shared" si="15"/>
        <v>14048</v>
      </c>
      <c r="AH26" s="23">
        <f t="shared" si="15"/>
        <v>10500</v>
      </c>
      <c r="AI26" s="23">
        <f t="shared" si="15"/>
        <v>42000</v>
      </c>
      <c r="AJ26" s="21">
        <f t="shared" si="15"/>
        <v>15762</v>
      </c>
      <c r="AK26" s="21">
        <f>SUM(AK24:AK25)</f>
        <v>63048</v>
      </c>
      <c r="AL26" s="18">
        <f t="shared" ref="AL26:AM26" si="16">SUM(AL24:AL25)</f>
        <v>9088.89</v>
      </c>
      <c r="AM26" s="18">
        <f t="shared" si="16"/>
        <v>17200.55</v>
      </c>
      <c r="AN26" s="18">
        <f>SUM(AN24:AN25)</f>
        <v>460.27</v>
      </c>
      <c r="AO26" s="25">
        <f>SUM(AO24:AO25)</f>
        <v>240156.23</v>
      </c>
    </row>
    <row r="27" spans="1:41" ht="54.95" customHeight="1" x14ac:dyDescent="0.25">
      <c r="A27" s="7"/>
      <c r="B27" s="17" t="s">
        <v>30</v>
      </c>
      <c r="C27" s="15" t="s">
        <v>21</v>
      </c>
      <c r="D27" s="28">
        <v>74.63</v>
      </c>
      <c r="E27" s="29">
        <v>3</v>
      </c>
      <c r="F27" s="27">
        <f>D27*31*E27</f>
        <v>6940.59</v>
      </c>
      <c r="G27" s="29">
        <v>3</v>
      </c>
      <c r="H27" s="27">
        <f t="shared" ref="H27:H43" si="17">D27*28*G27</f>
        <v>6268.92</v>
      </c>
      <c r="I27" s="29">
        <v>3</v>
      </c>
      <c r="J27" s="27">
        <f t="shared" ref="J27:J43" si="18">D27*31*I27</f>
        <v>6940.59</v>
      </c>
      <c r="K27" s="29">
        <v>3</v>
      </c>
      <c r="L27" s="27">
        <f t="shared" ref="L27:L43" si="19">D27*30*K27</f>
        <v>6716.7</v>
      </c>
      <c r="M27" s="29">
        <v>3</v>
      </c>
      <c r="N27" s="27">
        <f>D27*M27*31</f>
        <v>6940.59</v>
      </c>
      <c r="O27" s="29">
        <v>3</v>
      </c>
      <c r="P27" s="27">
        <f>D27*E27*30</f>
        <v>6716.7</v>
      </c>
      <c r="Q27" s="29">
        <v>3</v>
      </c>
      <c r="R27" s="27">
        <f>D27*Q27*31</f>
        <v>6940.59</v>
      </c>
      <c r="S27" s="29">
        <v>3</v>
      </c>
      <c r="T27" s="27">
        <f>D27*S27*31</f>
        <v>6940.59</v>
      </c>
      <c r="U27" s="29">
        <v>3</v>
      </c>
      <c r="V27" s="27">
        <f>D27*S27*30</f>
        <v>6716.7</v>
      </c>
      <c r="W27" s="29">
        <v>3</v>
      </c>
      <c r="X27" s="27">
        <f>D27*U27*31</f>
        <v>6940.59</v>
      </c>
      <c r="Y27" s="29">
        <v>3</v>
      </c>
      <c r="Z27" s="27">
        <f>D27*Y27*30</f>
        <v>6716.7</v>
      </c>
      <c r="AA27" s="27">
        <f>F27+H27+J27+L27+N27+P27+R27+T27+V27+X27+Z27</f>
        <v>74779.259999999995</v>
      </c>
      <c r="AB27" s="26">
        <v>0</v>
      </c>
      <c r="AC27" s="26">
        <v>0</v>
      </c>
      <c r="AD27" s="26">
        <f>250*3</f>
        <v>750</v>
      </c>
      <c r="AE27" s="26">
        <f>AD27*4</f>
        <v>3000</v>
      </c>
      <c r="AF27" s="26">
        <f>504*3</f>
        <v>1512</v>
      </c>
      <c r="AG27" s="26">
        <f t="shared" ref="AG27:AG43" si="20">AF27*4</f>
        <v>6048</v>
      </c>
      <c r="AH27" s="26">
        <f>1500*3</f>
        <v>4500</v>
      </c>
      <c r="AI27" s="26">
        <f t="shared" ref="AI27:AI32" si="21">AH27*4</f>
        <v>18000</v>
      </c>
      <c r="AJ27" s="27">
        <f t="shared" ref="AJ27:AK43" si="22">AD27+AF27+AH27</f>
        <v>6762</v>
      </c>
      <c r="AK27" s="27">
        <f t="shared" si="22"/>
        <v>27048</v>
      </c>
      <c r="AL27" s="27">
        <f t="shared" ref="AL27:AL43" si="23">(((L27+AB27+AF27+AH27)/365)*120)</f>
        <v>4184.78</v>
      </c>
      <c r="AM27" s="27">
        <f t="shared" si="14"/>
        <v>8235.61</v>
      </c>
      <c r="AN27" s="34">
        <f>(((200/365)*120))*3</f>
        <v>197.26</v>
      </c>
      <c r="AO27" s="41">
        <f t="shared" ref="AO27:AO43" si="24">AA27+AC27+AE27+AG27+AI27+AL27+AM27+AN27</f>
        <v>114444.91</v>
      </c>
    </row>
    <row r="28" spans="1:41" ht="54.95" customHeight="1" x14ac:dyDescent="0.25">
      <c r="A28" s="7"/>
      <c r="B28" s="17" t="s">
        <v>30</v>
      </c>
      <c r="C28" s="16" t="s">
        <v>24</v>
      </c>
      <c r="D28" s="28">
        <v>78.25</v>
      </c>
      <c r="E28" s="29">
        <v>1</v>
      </c>
      <c r="F28" s="27">
        <f>D28*31*E28</f>
        <v>2425.75</v>
      </c>
      <c r="G28" s="29">
        <v>1</v>
      </c>
      <c r="H28" s="27">
        <f t="shared" si="17"/>
        <v>2191</v>
      </c>
      <c r="I28" s="29">
        <v>1</v>
      </c>
      <c r="J28" s="27">
        <f t="shared" si="18"/>
        <v>2425.75</v>
      </c>
      <c r="K28" s="29">
        <v>1</v>
      </c>
      <c r="L28" s="27">
        <f t="shared" si="19"/>
        <v>2347.5</v>
      </c>
      <c r="M28" s="29">
        <v>1</v>
      </c>
      <c r="N28" s="27">
        <f t="shared" ref="N28:N42" si="25">D28*M28*31</f>
        <v>2425.75</v>
      </c>
      <c r="O28" s="29">
        <v>1</v>
      </c>
      <c r="P28" s="27">
        <f t="shared" ref="P28:P43" si="26">D28*E28*30</f>
        <v>2347.5</v>
      </c>
      <c r="Q28" s="29">
        <v>1</v>
      </c>
      <c r="R28" s="27">
        <f t="shared" ref="R28:R43" si="27">D28*Q28*31</f>
        <v>2425.75</v>
      </c>
      <c r="S28" s="29">
        <v>1</v>
      </c>
      <c r="T28" s="27">
        <f t="shared" ref="T28:T42" si="28">D28*S28*31</f>
        <v>2425.75</v>
      </c>
      <c r="U28" s="29">
        <v>1</v>
      </c>
      <c r="V28" s="27">
        <f t="shared" ref="V28:V43" si="29">D28*S28*30</f>
        <v>2347.5</v>
      </c>
      <c r="W28" s="29">
        <v>1</v>
      </c>
      <c r="X28" s="27">
        <f>D28*U28*31</f>
        <v>2425.75</v>
      </c>
      <c r="Y28" s="29">
        <v>1</v>
      </c>
      <c r="Z28" s="27">
        <f t="shared" ref="Z28:Z42" si="30">D28*Y28*30</f>
        <v>2347.5</v>
      </c>
      <c r="AA28" s="27">
        <f t="shared" ref="AA28:AA42" si="31">F28+H28+J28+L28+N28+P28+R28+T28+V28+X28+Z28</f>
        <v>26135.5</v>
      </c>
      <c r="AB28" s="26">
        <v>0</v>
      </c>
      <c r="AC28" s="26">
        <v>0</v>
      </c>
      <c r="AD28" s="26">
        <f>250</f>
        <v>250</v>
      </c>
      <c r="AE28" s="26">
        <f>AD28*4</f>
        <v>1000</v>
      </c>
      <c r="AF28" s="26">
        <f>500</f>
        <v>500</v>
      </c>
      <c r="AG28" s="26">
        <f t="shared" si="20"/>
        <v>2000</v>
      </c>
      <c r="AH28" s="26">
        <f>1500</f>
        <v>1500</v>
      </c>
      <c r="AI28" s="26">
        <f t="shared" si="21"/>
        <v>6000</v>
      </c>
      <c r="AJ28" s="27">
        <f t="shared" si="22"/>
        <v>2250</v>
      </c>
      <c r="AK28" s="27">
        <f t="shared" si="22"/>
        <v>9000</v>
      </c>
      <c r="AL28" s="27">
        <f t="shared" si="23"/>
        <v>1429.32</v>
      </c>
      <c r="AM28" s="27">
        <f t="shared" si="14"/>
        <v>2844.63</v>
      </c>
      <c r="AN28" s="34">
        <f>(((200/365)*120))*1</f>
        <v>65.75</v>
      </c>
      <c r="AO28" s="41">
        <f t="shared" si="24"/>
        <v>39475.199999999997</v>
      </c>
    </row>
    <row r="29" spans="1:41" ht="54.95" customHeight="1" x14ac:dyDescent="0.25">
      <c r="A29" s="7"/>
      <c r="B29" s="17" t="s">
        <v>30</v>
      </c>
      <c r="C29" s="15" t="s">
        <v>22</v>
      </c>
      <c r="D29" s="28">
        <v>75.64</v>
      </c>
      <c r="E29" s="29">
        <v>14</v>
      </c>
      <c r="F29" s="27">
        <f>D29*31*E29</f>
        <v>32827.760000000002</v>
      </c>
      <c r="G29" s="29">
        <v>14</v>
      </c>
      <c r="H29" s="27">
        <f t="shared" si="17"/>
        <v>29650.880000000001</v>
      </c>
      <c r="I29" s="29">
        <v>14</v>
      </c>
      <c r="J29" s="27">
        <f t="shared" si="18"/>
        <v>32827.760000000002</v>
      </c>
      <c r="K29" s="29">
        <v>14</v>
      </c>
      <c r="L29" s="27">
        <f t="shared" si="19"/>
        <v>31768.799999999999</v>
      </c>
      <c r="M29" s="29">
        <v>14</v>
      </c>
      <c r="N29" s="27">
        <f t="shared" si="25"/>
        <v>32827.760000000002</v>
      </c>
      <c r="O29" s="29">
        <v>14</v>
      </c>
      <c r="P29" s="27">
        <f t="shared" si="26"/>
        <v>31768.799999999999</v>
      </c>
      <c r="Q29" s="29">
        <v>14</v>
      </c>
      <c r="R29" s="27">
        <f t="shared" si="27"/>
        <v>32827.760000000002</v>
      </c>
      <c r="S29" s="29">
        <v>14</v>
      </c>
      <c r="T29" s="27">
        <f t="shared" si="28"/>
        <v>32827.760000000002</v>
      </c>
      <c r="U29" s="29">
        <v>14</v>
      </c>
      <c r="V29" s="27">
        <f t="shared" si="29"/>
        <v>31768.799999999999</v>
      </c>
      <c r="W29" s="29">
        <v>14</v>
      </c>
      <c r="X29" s="27">
        <f>D29*U29*31</f>
        <v>32827.760000000002</v>
      </c>
      <c r="Y29" s="29">
        <v>14</v>
      </c>
      <c r="Z29" s="27">
        <f>D29*Y29*30</f>
        <v>31768.799999999999</v>
      </c>
      <c r="AA29" s="27">
        <f t="shared" si="31"/>
        <v>353692.64</v>
      </c>
      <c r="AB29" s="26">
        <f>50+50+50+50+75+75+50+50+50</f>
        <v>500</v>
      </c>
      <c r="AC29" s="26">
        <f>AB29*4</f>
        <v>2000</v>
      </c>
      <c r="AD29" s="26">
        <f>250*14</f>
        <v>3500</v>
      </c>
      <c r="AE29" s="26">
        <f>AD29*4</f>
        <v>14000</v>
      </c>
      <c r="AF29" s="26">
        <f>500+500+500+500+500+500+500+500+500+500+500+500+500+500</f>
        <v>7000</v>
      </c>
      <c r="AG29" s="26">
        <f t="shared" si="20"/>
        <v>28000</v>
      </c>
      <c r="AH29" s="26">
        <f>1500*14</f>
        <v>21000</v>
      </c>
      <c r="AI29" s="26">
        <f t="shared" si="21"/>
        <v>84000</v>
      </c>
      <c r="AJ29" s="27">
        <f t="shared" si="22"/>
        <v>31500</v>
      </c>
      <c r="AK29" s="27">
        <f t="shared" si="22"/>
        <v>126000</v>
      </c>
      <c r="AL29" s="27">
        <f t="shared" si="23"/>
        <v>19814.400000000001</v>
      </c>
      <c r="AM29" s="27">
        <f t="shared" si="14"/>
        <v>38974.39</v>
      </c>
      <c r="AN29" s="34">
        <f>(((200/365)*120))*14</f>
        <v>920.55</v>
      </c>
      <c r="AO29" s="41">
        <f t="shared" si="24"/>
        <v>541401.98</v>
      </c>
    </row>
    <row r="30" spans="1:41" ht="54.95" customHeight="1" x14ac:dyDescent="0.25">
      <c r="A30" s="7"/>
      <c r="B30" s="17" t="s">
        <v>30</v>
      </c>
      <c r="C30" s="15" t="s">
        <v>23</v>
      </c>
      <c r="D30" s="28">
        <v>71.400000000000006</v>
      </c>
      <c r="E30" s="29">
        <v>9</v>
      </c>
      <c r="F30" s="27">
        <f t="shared" ref="F30:F43" si="32">D30*31*E30</f>
        <v>19920.599999999999</v>
      </c>
      <c r="G30" s="29">
        <v>9</v>
      </c>
      <c r="H30" s="27">
        <f t="shared" si="17"/>
        <v>17992.8</v>
      </c>
      <c r="I30" s="29">
        <v>9</v>
      </c>
      <c r="J30" s="27">
        <f t="shared" si="18"/>
        <v>19920.599999999999</v>
      </c>
      <c r="K30" s="29">
        <v>9</v>
      </c>
      <c r="L30" s="27">
        <f t="shared" si="19"/>
        <v>19278</v>
      </c>
      <c r="M30" s="29">
        <v>9</v>
      </c>
      <c r="N30" s="27">
        <f t="shared" si="25"/>
        <v>19920.599999999999</v>
      </c>
      <c r="O30" s="64">
        <v>9</v>
      </c>
      <c r="P30" s="27">
        <f>D30*8*30</f>
        <v>17136</v>
      </c>
      <c r="Q30" s="64">
        <v>9</v>
      </c>
      <c r="R30" s="27">
        <f>D30*8*31</f>
        <v>17707.2</v>
      </c>
      <c r="S30" s="64">
        <v>9</v>
      </c>
      <c r="T30" s="27">
        <f>D30*8*31</f>
        <v>17707.2</v>
      </c>
      <c r="U30" s="64">
        <v>9</v>
      </c>
      <c r="V30" s="27">
        <f>D30*8*30</f>
        <v>17136</v>
      </c>
      <c r="W30" s="64">
        <v>9</v>
      </c>
      <c r="X30" s="27">
        <f>D30*7*31</f>
        <v>15493.8</v>
      </c>
      <c r="Y30" s="64">
        <v>9</v>
      </c>
      <c r="Z30" s="27">
        <f>D30*7*30</f>
        <v>14994</v>
      </c>
      <c r="AA30" s="27">
        <f t="shared" si="31"/>
        <v>197206.8</v>
      </c>
      <c r="AB30" s="26">
        <f>75+50+50+75</f>
        <v>250</v>
      </c>
      <c r="AC30" s="26">
        <f>AB30*4</f>
        <v>1000</v>
      </c>
      <c r="AD30" s="26">
        <f>250*9</f>
        <v>2250</v>
      </c>
      <c r="AE30" s="26">
        <f>AD30*9</f>
        <v>20250</v>
      </c>
      <c r="AF30" s="26">
        <f>551+551+566+551+601+500+500+601+526</f>
        <v>4947</v>
      </c>
      <c r="AG30" s="26">
        <f t="shared" si="20"/>
        <v>19788</v>
      </c>
      <c r="AH30" s="26">
        <f>1500*9</f>
        <v>13500</v>
      </c>
      <c r="AI30" s="26">
        <f t="shared" si="21"/>
        <v>54000</v>
      </c>
      <c r="AJ30" s="27">
        <f t="shared" si="22"/>
        <v>20697</v>
      </c>
      <c r="AK30" s="27">
        <f t="shared" si="22"/>
        <v>94038</v>
      </c>
      <c r="AL30" s="27">
        <f t="shared" si="23"/>
        <v>12484.93</v>
      </c>
      <c r="AM30" s="27">
        <f t="shared" si="14"/>
        <v>22666.23</v>
      </c>
      <c r="AN30" s="34">
        <f>(((200/365)*120))*9</f>
        <v>591.78</v>
      </c>
      <c r="AO30" s="41">
        <f t="shared" si="24"/>
        <v>327987.74</v>
      </c>
    </row>
    <row r="31" spans="1:41" ht="54.95" customHeight="1" x14ac:dyDescent="0.25">
      <c r="A31" s="7"/>
      <c r="B31" s="17" t="s">
        <v>30</v>
      </c>
      <c r="C31" s="56" t="s">
        <v>31</v>
      </c>
      <c r="D31" s="28">
        <v>72.540000000000006</v>
      </c>
      <c r="E31" s="29">
        <v>6</v>
      </c>
      <c r="F31" s="27">
        <f t="shared" si="32"/>
        <v>13492.44</v>
      </c>
      <c r="G31" s="29">
        <v>6</v>
      </c>
      <c r="H31" s="27">
        <f t="shared" si="17"/>
        <v>12186.72</v>
      </c>
      <c r="I31" s="29">
        <v>6</v>
      </c>
      <c r="J31" s="27">
        <f t="shared" si="18"/>
        <v>13492.44</v>
      </c>
      <c r="K31" s="29">
        <v>6</v>
      </c>
      <c r="L31" s="27">
        <f t="shared" si="19"/>
        <v>13057.2</v>
      </c>
      <c r="M31" s="29">
        <v>5</v>
      </c>
      <c r="N31" s="27">
        <f t="shared" si="25"/>
        <v>11243.7</v>
      </c>
      <c r="O31" s="64">
        <v>5</v>
      </c>
      <c r="P31" s="27">
        <f>D31*5*30</f>
        <v>10881</v>
      </c>
      <c r="Q31" s="64">
        <v>5</v>
      </c>
      <c r="R31" s="27">
        <f>D31*5*31</f>
        <v>11243.7</v>
      </c>
      <c r="S31" s="64">
        <v>5</v>
      </c>
      <c r="T31" s="27">
        <f>D31*4*31</f>
        <v>8994.9599999999991</v>
      </c>
      <c r="U31" s="64">
        <v>5</v>
      </c>
      <c r="V31" s="27">
        <f>D31*4*30</f>
        <v>8704.7999999999993</v>
      </c>
      <c r="W31" s="64">
        <v>5</v>
      </c>
      <c r="X31" s="27">
        <f>D31*3*31</f>
        <v>6746.22</v>
      </c>
      <c r="Y31" s="64">
        <v>5</v>
      </c>
      <c r="Z31" s="27">
        <f>D31*3*30+3336.84</f>
        <v>9865.44</v>
      </c>
      <c r="AA31" s="27">
        <f t="shared" si="31"/>
        <v>119908.62</v>
      </c>
      <c r="AB31" s="26">
        <f>50</f>
        <v>50</v>
      </c>
      <c r="AC31" s="26">
        <f>AB31*4</f>
        <v>200</v>
      </c>
      <c r="AD31" s="26">
        <f>250*6</f>
        <v>1500</v>
      </c>
      <c r="AE31" s="26">
        <f t="shared" ref="AE31:AE43" si="33">AD31*4</f>
        <v>6000</v>
      </c>
      <c r="AF31" s="26">
        <f>532+567+567+567+532+567</f>
        <v>3332</v>
      </c>
      <c r="AG31" s="26">
        <f t="shared" si="20"/>
        <v>13328</v>
      </c>
      <c r="AH31" s="26">
        <f>1500*6</f>
        <v>9000</v>
      </c>
      <c r="AI31" s="26">
        <f t="shared" si="21"/>
        <v>36000</v>
      </c>
      <c r="AJ31" s="27">
        <f t="shared" si="22"/>
        <v>13832</v>
      </c>
      <c r="AK31" s="27">
        <f t="shared" si="22"/>
        <v>55328</v>
      </c>
      <c r="AL31" s="27">
        <f t="shared" si="23"/>
        <v>8363.57</v>
      </c>
      <c r="AM31" s="27">
        <f t="shared" si="14"/>
        <v>14119.72</v>
      </c>
      <c r="AN31" s="34">
        <f>(((200/365)*120))*6</f>
        <v>394.52</v>
      </c>
      <c r="AO31" s="41">
        <f t="shared" si="24"/>
        <v>198314.43</v>
      </c>
    </row>
    <row r="32" spans="1:41" ht="54.95" customHeight="1" x14ac:dyDescent="0.25">
      <c r="A32" s="7"/>
      <c r="B32" s="17" t="s">
        <v>30</v>
      </c>
      <c r="C32" s="16" t="s">
        <v>32</v>
      </c>
      <c r="D32" s="28">
        <v>78.25</v>
      </c>
      <c r="E32" s="29">
        <v>2</v>
      </c>
      <c r="F32" s="27">
        <f t="shared" si="32"/>
        <v>4851.5</v>
      </c>
      <c r="G32" s="29">
        <v>2</v>
      </c>
      <c r="H32" s="27">
        <f t="shared" si="17"/>
        <v>4382</v>
      </c>
      <c r="I32" s="29">
        <v>2</v>
      </c>
      <c r="J32" s="27">
        <f>D32*31*1</f>
        <v>2425.75</v>
      </c>
      <c r="K32" s="29">
        <v>2</v>
      </c>
      <c r="L32" s="27">
        <f>D32*30*1</f>
        <v>2347.5</v>
      </c>
      <c r="M32" s="29">
        <v>1</v>
      </c>
      <c r="N32" s="27">
        <f t="shared" si="25"/>
        <v>2425.75</v>
      </c>
      <c r="O32" s="29">
        <v>1</v>
      </c>
      <c r="P32" s="27">
        <f>D32*E32*30</f>
        <v>4695</v>
      </c>
      <c r="Q32" s="29">
        <v>1</v>
      </c>
      <c r="R32" s="27">
        <f>D32*2*31</f>
        <v>4851.5</v>
      </c>
      <c r="S32" s="29">
        <v>1</v>
      </c>
      <c r="T32" s="27">
        <f>D32*2*31</f>
        <v>4851.5</v>
      </c>
      <c r="U32" s="29">
        <v>1</v>
      </c>
      <c r="V32" s="27">
        <f>D32*2*30</f>
        <v>4695</v>
      </c>
      <c r="W32" s="29">
        <v>1</v>
      </c>
      <c r="X32" s="27">
        <f>D32*2*31</f>
        <v>4851.5</v>
      </c>
      <c r="Y32" s="29">
        <v>1</v>
      </c>
      <c r="Z32" s="27">
        <f>D32*2*30</f>
        <v>4695</v>
      </c>
      <c r="AA32" s="27">
        <f t="shared" si="31"/>
        <v>45072</v>
      </c>
      <c r="AB32" s="26">
        <f>0</f>
        <v>0</v>
      </c>
      <c r="AC32" s="26">
        <f>AB32*2</f>
        <v>0</v>
      </c>
      <c r="AD32" s="26">
        <f>250*2</f>
        <v>500</v>
      </c>
      <c r="AE32" s="26">
        <f t="shared" si="33"/>
        <v>2000</v>
      </c>
      <c r="AF32" s="26">
        <f>500*2</f>
        <v>1000</v>
      </c>
      <c r="AG32" s="26">
        <f t="shared" si="20"/>
        <v>4000</v>
      </c>
      <c r="AH32" s="26">
        <f>1500*2</f>
        <v>3000</v>
      </c>
      <c r="AI32" s="26">
        <f t="shared" si="21"/>
        <v>12000</v>
      </c>
      <c r="AJ32" s="27">
        <f t="shared" si="22"/>
        <v>4500</v>
      </c>
      <c r="AK32" s="27">
        <f t="shared" si="22"/>
        <v>18000</v>
      </c>
      <c r="AL32" s="27">
        <f t="shared" si="23"/>
        <v>2086.85</v>
      </c>
      <c r="AM32" s="27">
        <f t="shared" si="14"/>
        <v>5089.33</v>
      </c>
      <c r="AN32" s="34">
        <f>(((200/365)*120))*2</f>
        <v>131.51</v>
      </c>
      <c r="AO32" s="41">
        <f t="shared" si="24"/>
        <v>70379.69</v>
      </c>
    </row>
    <row r="33" spans="1:41" ht="54.95" customHeight="1" x14ac:dyDescent="0.25">
      <c r="A33" s="7"/>
      <c r="B33" s="17" t="s">
        <v>30</v>
      </c>
      <c r="C33" s="15" t="s">
        <v>33</v>
      </c>
      <c r="D33" s="28">
        <v>71.400000000000006</v>
      </c>
      <c r="E33" s="29">
        <v>1</v>
      </c>
      <c r="F33" s="27">
        <f t="shared" si="32"/>
        <v>2213.4</v>
      </c>
      <c r="G33" s="29">
        <v>1</v>
      </c>
      <c r="H33" s="27">
        <f t="shared" si="17"/>
        <v>1999.2</v>
      </c>
      <c r="I33" s="29">
        <v>1</v>
      </c>
      <c r="J33" s="27">
        <f t="shared" si="18"/>
        <v>2213.4</v>
      </c>
      <c r="K33" s="29">
        <v>1</v>
      </c>
      <c r="L33" s="27">
        <f t="shared" si="19"/>
        <v>2142</v>
      </c>
      <c r="M33" s="29">
        <v>1</v>
      </c>
      <c r="N33" s="27">
        <f t="shared" si="25"/>
        <v>2213.4</v>
      </c>
      <c r="O33" s="29">
        <v>1</v>
      </c>
      <c r="P33" s="27">
        <f t="shared" si="26"/>
        <v>2142</v>
      </c>
      <c r="Q33" s="29">
        <v>1</v>
      </c>
      <c r="R33" s="27">
        <f t="shared" si="27"/>
        <v>2213.4</v>
      </c>
      <c r="S33" s="29">
        <v>1</v>
      </c>
      <c r="T33" s="27">
        <f t="shared" si="28"/>
        <v>2213.4</v>
      </c>
      <c r="U33" s="29">
        <v>1</v>
      </c>
      <c r="V33" s="27">
        <f t="shared" si="29"/>
        <v>2142</v>
      </c>
      <c r="W33" s="29">
        <v>1</v>
      </c>
      <c r="X33" s="27">
        <f t="shared" ref="X33:X42" si="34">D33*U33*31</f>
        <v>2213.4</v>
      </c>
      <c r="Y33" s="29">
        <v>1</v>
      </c>
      <c r="Z33" s="27">
        <f t="shared" si="30"/>
        <v>2142</v>
      </c>
      <c r="AA33" s="27">
        <f t="shared" si="31"/>
        <v>23847.599999999999</v>
      </c>
      <c r="AB33" s="26">
        <v>0</v>
      </c>
      <c r="AC33" s="26">
        <v>0</v>
      </c>
      <c r="AD33" s="26">
        <v>250</v>
      </c>
      <c r="AE33" s="26">
        <f t="shared" si="33"/>
        <v>1000</v>
      </c>
      <c r="AF33" s="26">
        <v>601</v>
      </c>
      <c r="AG33" s="26">
        <f t="shared" si="20"/>
        <v>2404</v>
      </c>
      <c r="AH33" s="26">
        <v>1500</v>
      </c>
      <c r="AI33" s="26">
        <f>1500*4</f>
        <v>6000</v>
      </c>
      <c r="AJ33" s="27">
        <f t="shared" si="22"/>
        <v>2351</v>
      </c>
      <c r="AK33" s="27">
        <f t="shared" si="22"/>
        <v>9404</v>
      </c>
      <c r="AL33" s="27">
        <f t="shared" si="23"/>
        <v>1394.96</v>
      </c>
      <c r="AM33" s="27">
        <f t="shared" si="14"/>
        <v>2687.63</v>
      </c>
      <c r="AN33" s="34">
        <f>(((200/365)*120))*1</f>
        <v>65.75</v>
      </c>
      <c r="AO33" s="41">
        <f t="shared" si="24"/>
        <v>37399.94</v>
      </c>
    </row>
    <row r="34" spans="1:41" ht="54.95" customHeight="1" x14ac:dyDescent="0.25">
      <c r="A34" s="7"/>
      <c r="B34" s="17" t="s">
        <v>30</v>
      </c>
      <c r="C34" s="15" t="s">
        <v>34</v>
      </c>
      <c r="D34" s="28">
        <v>72.540000000000006</v>
      </c>
      <c r="E34" s="29">
        <v>1</v>
      </c>
      <c r="F34" s="27">
        <f t="shared" si="32"/>
        <v>2248.7399999999998</v>
      </c>
      <c r="G34" s="29">
        <v>1</v>
      </c>
      <c r="H34" s="27">
        <f t="shared" si="17"/>
        <v>2031.12</v>
      </c>
      <c r="I34" s="29">
        <v>1</v>
      </c>
      <c r="J34" s="27">
        <f t="shared" si="18"/>
        <v>2248.7399999999998</v>
      </c>
      <c r="K34" s="29">
        <v>1</v>
      </c>
      <c r="L34" s="27">
        <f t="shared" si="19"/>
        <v>2176.1999999999998</v>
      </c>
      <c r="M34" s="29">
        <v>1</v>
      </c>
      <c r="N34" s="27">
        <f t="shared" si="25"/>
        <v>2248.7399999999998</v>
      </c>
      <c r="O34" s="29">
        <v>1</v>
      </c>
      <c r="P34" s="27">
        <f t="shared" si="26"/>
        <v>2176.1999999999998</v>
      </c>
      <c r="Q34" s="29">
        <v>1</v>
      </c>
      <c r="R34" s="27">
        <f t="shared" si="27"/>
        <v>2248.7399999999998</v>
      </c>
      <c r="S34" s="29">
        <v>1</v>
      </c>
      <c r="T34" s="27">
        <f t="shared" si="28"/>
        <v>2248.7399999999998</v>
      </c>
      <c r="U34" s="29">
        <v>1</v>
      </c>
      <c r="V34" s="27">
        <f t="shared" si="29"/>
        <v>2176.1999999999998</v>
      </c>
      <c r="W34" s="29">
        <v>1</v>
      </c>
      <c r="X34" s="27">
        <f t="shared" si="34"/>
        <v>2248.7399999999998</v>
      </c>
      <c r="Y34" s="29">
        <v>1</v>
      </c>
      <c r="Z34" s="27">
        <f t="shared" si="30"/>
        <v>2176.1999999999998</v>
      </c>
      <c r="AA34" s="27">
        <f t="shared" si="31"/>
        <v>24228.36</v>
      </c>
      <c r="AB34" s="26">
        <v>50</v>
      </c>
      <c r="AC34" s="26">
        <f>AB34*4</f>
        <v>200</v>
      </c>
      <c r="AD34" s="26">
        <f>250</f>
        <v>250</v>
      </c>
      <c r="AE34" s="26">
        <f t="shared" si="33"/>
        <v>1000</v>
      </c>
      <c r="AF34" s="26">
        <v>517</v>
      </c>
      <c r="AG34" s="26">
        <f t="shared" si="20"/>
        <v>2068</v>
      </c>
      <c r="AH34" s="26">
        <v>1500</v>
      </c>
      <c r="AI34" s="26">
        <f t="shared" ref="AI34:AI43" si="35">AH34*4</f>
        <v>6000</v>
      </c>
      <c r="AJ34" s="27">
        <f t="shared" si="22"/>
        <v>2267</v>
      </c>
      <c r="AK34" s="27">
        <f t="shared" si="22"/>
        <v>9068</v>
      </c>
      <c r="AL34" s="27">
        <f t="shared" si="23"/>
        <v>1395.02</v>
      </c>
      <c r="AM34" s="27">
        <f t="shared" si="14"/>
        <v>2708.03</v>
      </c>
      <c r="AN34" s="34">
        <f>(((200/365)*120))*1</f>
        <v>65.75</v>
      </c>
      <c r="AO34" s="41">
        <f t="shared" si="24"/>
        <v>37665.160000000003</v>
      </c>
    </row>
    <row r="35" spans="1:41" ht="54.95" customHeight="1" x14ac:dyDescent="0.25">
      <c r="A35" s="7"/>
      <c r="B35" s="17" t="s">
        <v>30</v>
      </c>
      <c r="C35" s="15" t="s">
        <v>35</v>
      </c>
      <c r="D35" s="28">
        <v>73.59</v>
      </c>
      <c r="E35" s="29">
        <v>1</v>
      </c>
      <c r="F35" s="27">
        <f t="shared" si="32"/>
        <v>2281.29</v>
      </c>
      <c r="G35" s="29">
        <v>1</v>
      </c>
      <c r="H35" s="27">
        <f t="shared" si="17"/>
        <v>2060.52</v>
      </c>
      <c r="I35" s="29">
        <v>1</v>
      </c>
      <c r="J35" s="27">
        <f t="shared" si="18"/>
        <v>2281.29</v>
      </c>
      <c r="K35" s="29">
        <v>1</v>
      </c>
      <c r="L35" s="27">
        <f t="shared" si="19"/>
        <v>2207.6999999999998</v>
      </c>
      <c r="M35" s="29">
        <v>1</v>
      </c>
      <c r="N35" s="27">
        <f t="shared" si="25"/>
        <v>2281.29</v>
      </c>
      <c r="O35" s="29">
        <v>1</v>
      </c>
      <c r="P35" s="27">
        <f t="shared" si="26"/>
        <v>2207.6999999999998</v>
      </c>
      <c r="Q35" s="29">
        <v>1</v>
      </c>
      <c r="R35" s="27">
        <f t="shared" si="27"/>
        <v>2281.29</v>
      </c>
      <c r="S35" s="29">
        <v>1</v>
      </c>
      <c r="T35" s="27">
        <f t="shared" si="28"/>
        <v>2281.29</v>
      </c>
      <c r="U35" s="29">
        <v>1</v>
      </c>
      <c r="V35" s="27">
        <f t="shared" si="29"/>
        <v>2207.6999999999998</v>
      </c>
      <c r="W35" s="29">
        <v>1</v>
      </c>
      <c r="X35" s="27">
        <f t="shared" si="34"/>
        <v>2281.29</v>
      </c>
      <c r="Y35" s="29">
        <v>1</v>
      </c>
      <c r="Z35" s="27">
        <f t="shared" si="30"/>
        <v>2207.6999999999998</v>
      </c>
      <c r="AA35" s="27">
        <f t="shared" si="31"/>
        <v>24579.06</v>
      </c>
      <c r="AB35" s="26">
        <v>75</v>
      </c>
      <c r="AC35" s="26">
        <f>AB35*4</f>
        <v>300</v>
      </c>
      <c r="AD35" s="26">
        <v>250</v>
      </c>
      <c r="AE35" s="26">
        <f t="shared" si="33"/>
        <v>1000</v>
      </c>
      <c r="AF35" s="26">
        <f>500</f>
        <v>500</v>
      </c>
      <c r="AG35" s="26">
        <f t="shared" si="20"/>
        <v>2000</v>
      </c>
      <c r="AH35" s="26">
        <v>1500</v>
      </c>
      <c r="AI35" s="26">
        <f t="shared" si="35"/>
        <v>6000</v>
      </c>
      <c r="AJ35" s="27">
        <f t="shared" si="22"/>
        <v>2250</v>
      </c>
      <c r="AK35" s="27">
        <f t="shared" si="22"/>
        <v>9000</v>
      </c>
      <c r="AL35" s="27">
        <f t="shared" si="23"/>
        <v>1408.01</v>
      </c>
      <c r="AM35" s="27">
        <f t="shared" si="14"/>
        <v>2739.92</v>
      </c>
      <c r="AN35" s="34">
        <f>(((200/365)*120))*1</f>
        <v>65.75</v>
      </c>
      <c r="AO35" s="41">
        <f t="shared" si="24"/>
        <v>38092.74</v>
      </c>
    </row>
    <row r="36" spans="1:41" ht="54.95" customHeight="1" x14ac:dyDescent="0.25">
      <c r="A36" s="7"/>
      <c r="B36" s="17" t="s">
        <v>30</v>
      </c>
      <c r="C36" s="15" t="s">
        <v>36</v>
      </c>
      <c r="D36" s="28">
        <v>75.64</v>
      </c>
      <c r="E36" s="29">
        <v>1</v>
      </c>
      <c r="F36" s="27">
        <f t="shared" si="32"/>
        <v>2344.84</v>
      </c>
      <c r="G36" s="29">
        <v>1</v>
      </c>
      <c r="H36" s="27">
        <f t="shared" si="17"/>
        <v>2117.92</v>
      </c>
      <c r="I36" s="29">
        <v>1</v>
      </c>
      <c r="J36" s="27">
        <f t="shared" si="18"/>
        <v>2344.84</v>
      </c>
      <c r="K36" s="29">
        <v>1</v>
      </c>
      <c r="L36" s="27">
        <f t="shared" si="19"/>
        <v>2269.1999999999998</v>
      </c>
      <c r="M36" s="29">
        <v>1</v>
      </c>
      <c r="N36" s="27">
        <f t="shared" si="25"/>
        <v>2344.84</v>
      </c>
      <c r="O36" s="29">
        <v>1</v>
      </c>
      <c r="P36" s="27">
        <f t="shared" si="26"/>
        <v>2269.1999999999998</v>
      </c>
      <c r="Q36" s="29">
        <v>1</v>
      </c>
      <c r="R36" s="27">
        <f t="shared" si="27"/>
        <v>2344.84</v>
      </c>
      <c r="S36" s="29">
        <v>1</v>
      </c>
      <c r="T36" s="27">
        <f t="shared" si="28"/>
        <v>2344.84</v>
      </c>
      <c r="U36" s="29">
        <v>1</v>
      </c>
      <c r="V36" s="27">
        <f t="shared" si="29"/>
        <v>2269.1999999999998</v>
      </c>
      <c r="W36" s="29">
        <v>1</v>
      </c>
      <c r="X36" s="27">
        <f t="shared" si="34"/>
        <v>2344.84</v>
      </c>
      <c r="Y36" s="29">
        <v>1</v>
      </c>
      <c r="Z36" s="27">
        <f t="shared" si="30"/>
        <v>2269.1999999999998</v>
      </c>
      <c r="AA36" s="27">
        <f t="shared" si="31"/>
        <v>25263.759999999998</v>
      </c>
      <c r="AB36" s="26">
        <v>0</v>
      </c>
      <c r="AC36" s="26">
        <v>0</v>
      </c>
      <c r="AD36" s="26">
        <v>250</v>
      </c>
      <c r="AE36" s="26">
        <f t="shared" si="33"/>
        <v>1000</v>
      </c>
      <c r="AF36" s="26">
        <f>500</f>
        <v>500</v>
      </c>
      <c r="AG36" s="26">
        <f t="shared" si="20"/>
        <v>2000</v>
      </c>
      <c r="AH36" s="26">
        <v>1500</v>
      </c>
      <c r="AI36" s="26">
        <f t="shared" si="35"/>
        <v>6000</v>
      </c>
      <c r="AJ36" s="27">
        <f t="shared" si="22"/>
        <v>2250</v>
      </c>
      <c r="AK36" s="27">
        <f t="shared" si="22"/>
        <v>9000</v>
      </c>
      <c r="AL36" s="27">
        <f t="shared" si="23"/>
        <v>1403.57</v>
      </c>
      <c r="AM36" s="27">
        <f t="shared" si="14"/>
        <v>2771.98</v>
      </c>
      <c r="AN36" s="34">
        <f>(((200/365)*120))*1</f>
        <v>65.75</v>
      </c>
      <c r="AO36" s="41">
        <f t="shared" si="24"/>
        <v>38505.06</v>
      </c>
    </row>
    <row r="37" spans="1:41" ht="54.95" customHeight="1" x14ac:dyDescent="0.25">
      <c r="A37" s="7"/>
      <c r="B37" s="17" t="s">
        <v>30</v>
      </c>
      <c r="C37" s="15" t="s">
        <v>37</v>
      </c>
      <c r="D37" s="28">
        <v>74.63</v>
      </c>
      <c r="E37" s="29">
        <v>1</v>
      </c>
      <c r="F37" s="27">
        <f t="shared" si="32"/>
        <v>2313.5300000000002</v>
      </c>
      <c r="G37" s="29">
        <v>1</v>
      </c>
      <c r="H37" s="27">
        <f t="shared" si="17"/>
        <v>2089.64</v>
      </c>
      <c r="I37" s="29">
        <v>1</v>
      </c>
      <c r="J37" s="27">
        <f t="shared" si="18"/>
        <v>2313.5300000000002</v>
      </c>
      <c r="K37" s="29">
        <v>1</v>
      </c>
      <c r="L37" s="27">
        <f t="shared" si="19"/>
        <v>2238.9</v>
      </c>
      <c r="M37" s="29">
        <v>1</v>
      </c>
      <c r="N37" s="27">
        <f t="shared" si="25"/>
        <v>2313.5300000000002</v>
      </c>
      <c r="O37" s="29">
        <v>1</v>
      </c>
      <c r="P37" s="27">
        <f t="shared" si="26"/>
        <v>2238.9</v>
      </c>
      <c r="Q37" s="64">
        <v>1</v>
      </c>
      <c r="R37" s="27">
        <f>D37*Q37*13</f>
        <v>970.19</v>
      </c>
      <c r="S37" s="64">
        <v>1</v>
      </c>
      <c r="T37" s="27">
        <f>D37*S37*31+522.41</f>
        <v>2835.94</v>
      </c>
      <c r="U37" s="64">
        <v>1</v>
      </c>
      <c r="V37" s="27">
        <f t="shared" si="29"/>
        <v>2238.9</v>
      </c>
      <c r="W37" s="64">
        <v>1</v>
      </c>
      <c r="X37" s="27">
        <f t="shared" si="34"/>
        <v>2313.5300000000002</v>
      </c>
      <c r="Y37" s="64">
        <v>1</v>
      </c>
      <c r="Z37" s="27">
        <f t="shared" si="30"/>
        <v>2238.9</v>
      </c>
      <c r="AA37" s="27">
        <f t="shared" si="31"/>
        <v>24105.49</v>
      </c>
      <c r="AB37" s="26">
        <v>75</v>
      </c>
      <c r="AC37" s="26">
        <f t="shared" ref="AC37:AC42" si="36">AB37*4</f>
        <v>300</v>
      </c>
      <c r="AD37" s="26">
        <v>250</v>
      </c>
      <c r="AE37" s="26">
        <f t="shared" si="33"/>
        <v>1000</v>
      </c>
      <c r="AF37" s="26">
        <v>500</v>
      </c>
      <c r="AG37" s="26">
        <f t="shared" si="20"/>
        <v>2000</v>
      </c>
      <c r="AH37" s="26">
        <v>1500</v>
      </c>
      <c r="AI37" s="26">
        <f t="shared" si="35"/>
        <v>6000</v>
      </c>
      <c r="AJ37" s="27">
        <f t="shared" si="22"/>
        <v>2250</v>
      </c>
      <c r="AK37" s="27">
        <f t="shared" si="22"/>
        <v>9000</v>
      </c>
      <c r="AL37" s="27">
        <f t="shared" si="23"/>
        <v>1418.27</v>
      </c>
      <c r="AM37" s="27">
        <f t="shared" si="14"/>
        <v>2700.46</v>
      </c>
      <c r="AN37" s="34">
        <f>(((200/365)*120))*1</f>
        <v>65.75</v>
      </c>
      <c r="AO37" s="41">
        <f t="shared" si="24"/>
        <v>37589.97</v>
      </c>
    </row>
    <row r="38" spans="1:41" ht="54.95" customHeight="1" x14ac:dyDescent="0.25">
      <c r="A38" s="7"/>
      <c r="B38" s="17" t="s">
        <v>30</v>
      </c>
      <c r="C38" s="15" t="s">
        <v>38</v>
      </c>
      <c r="D38" s="28">
        <v>74.63</v>
      </c>
      <c r="E38" s="29">
        <v>2</v>
      </c>
      <c r="F38" s="27">
        <f t="shared" si="32"/>
        <v>4627.0600000000004</v>
      </c>
      <c r="G38" s="29">
        <v>2</v>
      </c>
      <c r="H38" s="27">
        <f t="shared" si="17"/>
        <v>4179.28</v>
      </c>
      <c r="I38" s="29">
        <v>2</v>
      </c>
      <c r="J38" s="27">
        <f t="shared" si="18"/>
        <v>4627.0600000000004</v>
      </c>
      <c r="K38" s="29">
        <v>2</v>
      </c>
      <c r="L38" s="27">
        <f t="shared" si="19"/>
        <v>4477.8</v>
      </c>
      <c r="M38" s="29">
        <v>2</v>
      </c>
      <c r="N38" s="27">
        <f t="shared" si="25"/>
        <v>4627.0600000000004</v>
      </c>
      <c r="O38" s="29">
        <v>2</v>
      </c>
      <c r="P38" s="27">
        <f t="shared" si="26"/>
        <v>4477.8</v>
      </c>
      <c r="Q38" s="29">
        <v>2</v>
      </c>
      <c r="R38" s="27">
        <f t="shared" si="27"/>
        <v>4627.0600000000004</v>
      </c>
      <c r="S38" s="29">
        <v>2</v>
      </c>
      <c r="T38" s="27">
        <f>D38*1*31</f>
        <v>2313.5300000000002</v>
      </c>
      <c r="U38" s="29">
        <v>2</v>
      </c>
      <c r="V38" s="27">
        <f>D38*1*30</f>
        <v>2238.9</v>
      </c>
      <c r="W38" s="29">
        <v>2</v>
      </c>
      <c r="X38" s="27">
        <f>D38*1*31+D38*92</f>
        <v>9179.49</v>
      </c>
      <c r="Y38" s="29">
        <v>2</v>
      </c>
      <c r="Z38" s="27">
        <f t="shared" si="30"/>
        <v>4477.8</v>
      </c>
      <c r="AA38" s="27">
        <f t="shared" si="31"/>
        <v>49852.84</v>
      </c>
      <c r="AB38" s="26">
        <v>50</v>
      </c>
      <c r="AC38" s="26">
        <f t="shared" si="36"/>
        <v>200</v>
      </c>
      <c r="AD38" s="26">
        <f>250*2</f>
        <v>500</v>
      </c>
      <c r="AE38" s="26">
        <f t="shared" si="33"/>
        <v>2000</v>
      </c>
      <c r="AF38" s="26">
        <f>504+500</f>
        <v>1004</v>
      </c>
      <c r="AG38" s="26">
        <f t="shared" si="20"/>
        <v>4016</v>
      </c>
      <c r="AH38" s="26">
        <f>1500*2</f>
        <v>3000</v>
      </c>
      <c r="AI38" s="26">
        <f t="shared" si="35"/>
        <v>12000</v>
      </c>
      <c r="AJ38" s="27">
        <f t="shared" si="22"/>
        <v>4504</v>
      </c>
      <c r="AK38" s="27">
        <f t="shared" si="22"/>
        <v>18016</v>
      </c>
      <c r="AL38" s="27">
        <f t="shared" si="23"/>
        <v>2804.98</v>
      </c>
      <c r="AM38" s="27">
        <f t="shared" si="14"/>
        <v>5505.74</v>
      </c>
      <c r="AN38" s="34">
        <f>(((200/365)*120))*2</f>
        <v>131.51</v>
      </c>
      <c r="AO38" s="41">
        <f t="shared" si="24"/>
        <v>76511.070000000007</v>
      </c>
    </row>
    <row r="39" spans="1:41" ht="54.95" customHeight="1" x14ac:dyDescent="0.25">
      <c r="A39" s="7"/>
      <c r="B39" s="17" t="s">
        <v>30</v>
      </c>
      <c r="C39" s="15" t="s">
        <v>39</v>
      </c>
      <c r="D39" s="28">
        <v>73.59</v>
      </c>
      <c r="E39" s="29">
        <v>1</v>
      </c>
      <c r="F39" s="27">
        <f t="shared" si="32"/>
        <v>2281.29</v>
      </c>
      <c r="G39" s="29">
        <v>1</v>
      </c>
      <c r="H39" s="27">
        <f t="shared" si="17"/>
        <v>2060.52</v>
      </c>
      <c r="I39" s="29">
        <v>1</v>
      </c>
      <c r="J39" s="27">
        <f t="shared" si="18"/>
        <v>2281.29</v>
      </c>
      <c r="K39" s="29">
        <v>1</v>
      </c>
      <c r="L39" s="27">
        <f t="shared" si="19"/>
        <v>2207.6999999999998</v>
      </c>
      <c r="M39" s="29">
        <v>1</v>
      </c>
      <c r="N39" s="27">
        <f t="shared" si="25"/>
        <v>2281.29</v>
      </c>
      <c r="O39" s="29">
        <v>1</v>
      </c>
      <c r="P39" s="27">
        <f t="shared" si="26"/>
        <v>2207.6999999999998</v>
      </c>
      <c r="Q39" s="29">
        <v>1</v>
      </c>
      <c r="R39" s="27">
        <f t="shared" si="27"/>
        <v>2281.29</v>
      </c>
      <c r="S39" s="29">
        <v>1</v>
      </c>
      <c r="T39" s="27">
        <f t="shared" si="28"/>
        <v>2281.29</v>
      </c>
      <c r="U39" s="29">
        <v>1</v>
      </c>
      <c r="V39" s="27">
        <f t="shared" si="29"/>
        <v>2207.6999999999998</v>
      </c>
      <c r="W39" s="29">
        <v>1</v>
      </c>
      <c r="X39" s="27">
        <f t="shared" si="34"/>
        <v>2281.29</v>
      </c>
      <c r="Y39" s="29">
        <v>1</v>
      </c>
      <c r="Z39" s="27">
        <f t="shared" si="30"/>
        <v>2207.6999999999998</v>
      </c>
      <c r="AA39" s="27">
        <f t="shared" si="31"/>
        <v>24579.06</v>
      </c>
      <c r="AB39" s="26">
        <v>75</v>
      </c>
      <c r="AC39" s="26">
        <f t="shared" si="36"/>
        <v>300</v>
      </c>
      <c r="AD39" s="26">
        <v>250</v>
      </c>
      <c r="AE39" s="26">
        <f t="shared" si="33"/>
        <v>1000</v>
      </c>
      <c r="AF39" s="26">
        <v>500</v>
      </c>
      <c r="AG39" s="26">
        <f t="shared" si="20"/>
        <v>2000</v>
      </c>
      <c r="AH39" s="26">
        <v>1500</v>
      </c>
      <c r="AI39" s="26">
        <f t="shared" si="35"/>
        <v>6000</v>
      </c>
      <c r="AJ39" s="27">
        <f t="shared" si="22"/>
        <v>2250</v>
      </c>
      <c r="AK39" s="27">
        <f t="shared" si="22"/>
        <v>9000</v>
      </c>
      <c r="AL39" s="27">
        <f t="shared" si="23"/>
        <v>1408.01</v>
      </c>
      <c r="AM39" s="27">
        <f t="shared" si="14"/>
        <v>2739.92</v>
      </c>
      <c r="AN39" s="34">
        <f>(((200/365)*120))*1</f>
        <v>65.75</v>
      </c>
      <c r="AO39" s="41">
        <f t="shared" si="24"/>
        <v>38092.74</v>
      </c>
    </row>
    <row r="40" spans="1:41" ht="54.95" customHeight="1" x14ac:dyDescent="0.25">
      <c r="A40" s="7"/>
      <c r="B40" s="17" t="s">
        <v>30</v>
      </c>
      <c r="C40" s="15" t="s">
        <v>40</v>
      </c>
      <c r="D40" s="28">
        <v>72.540000000000006</v>
      </c>
      <c r="E40" s="29">
        <v>4</v>
      </c>
      <c r="F40" s="27">
        <f t="shared" si="32"/>
        <v>8994.9599999999991</v>
      </c>
      <c r="G40" s="29">
        <v>4</v>
      </c>
      <c r="H40" s="27">
        <f t="shared" si="17"/>
        <v>8124.48</v>
      </c>
      <c r="I40" s="29">
        <v>4</v>
      </c>
      <c r="J40" s="27">
        <f t="shared" si="18"/>
        <v>8994.9599999999991</v>
      </c>
      <c r="K40" s="29">
        <v>4</v>
      </c>
      <c r="L40" s="27">
        <f t="shared" si="19"/>
        <v>8704.7999999999993</v>
      </c>
      <c r="M40" s="29">
        <v>4</v>
      </c>
      <c r="N40" s="27">
        <f t="shared" si="25"/>
        <v>8994.9599999999991</v>
      </c>
      <c r="O40" s="29">
        <v>4</v>
      </c>
      <c r="P40" s="27">
        <f t="shared" si="26"/>
        <v>8704.7999999999993</v>
      </c>
      <c r="Q40" s="29">
        <v>4</v>
      </c>
      <c r="R40" s="27">
        <f t="shared" si="27"/>
        <v>8994.9599999999991</v>
      </c>
      <c r="S40" s="29">
        <v>4</v>
      </c>
      <c r="T40" s="27">
        <f t="shared" si="28"/>
        <v>8994.9599999999991</v>
      </c>
      <c r="U40" s="29">
        <v>4</v>
      </c>
      <c r="V40" s="27">
        <f>D40*3*30</f>
        <v>6528.6</v>
      </c>
      <c r="W40" s="29">
        <v>4</v>
      </c>
      <c r="X40" s="27">
        <f>D40*3*31</f>
        <v>6746.22</v>
      </c>
      <c r="Y40" s="29">
        <v>4</v>
      </c>
      <c r="Z40" s="27">
        <f t="shared" si="30"/>
        <v>8704.7999999999993</v>
      </c>
      <c r="AA40" s="27">
        <f t="shared" si="31"/>
        <v>92488.5</v>
      </c>
      <c r="AB40" s="26">
        <f>50</f>
        <v>50</v>
      </c>
      <c r="AC40" s="26">
        <f t="shared" si="36"/>
        <v>200</v>
      </c>
      <c r="AD40" s="26">
        <f>250*4</f>
        <v>1000</v>
      </c>
      <c r="AE40" s="26">
        <f t="shared" si="33"/>
        <v>4000</v>
      </c>
      <c r="AF40" s="26">
        <f>532+567+567+567</f>
        <v>2233</v>
      </c>
      <c r="AG40" s="26">
        <f t="shared" si="20"/>
        <v>8932</v>
      </c>
      <c r="AH40" s="26">
        <f>1500*4</f>
        <v>6000</v>
      </c>
      <c r="AI40" s="26">
        <f t="shared" si="35"/>
        <v>24000</v>
      </c>
      <c r="AJ40" s="27">
        <f t="shared" si="22"/>
        <v>9233</v>
      </c>
      <c r="AK40" s="27">
        <f t="shared" si="22"/>
        <v>36932</v>
      </c>
      <c r="AL40" s="27">
        <f t="shared" si="23"/>
        <v>5585.03</v>
      </c>
      <c r="AM40" s="27">
        <f t="shared" si="14"/>
        <v>10468.379999999999</v>
      </c>
      <c r="AN40" s="34">
        <f>(((200/365)*120))*4</f>
        <v>263.01</v>
      </c>
      <c r="AO40" s="41">
        <f>AA40+AC40+AE40+AG40+AI40+AL40+AM40+AN40</f>
        <v>145936.92000000001</v>
      </c>
    </row>
    <row r="41" spans="1:41" ht="54.95" customHeight="1" x14ac:dyDescent="0.25">
      <c r="A41" s="7"/>
      <c r="B41" s="17" t="s">
        <v>30</v>
      </c>
      <c r="C41" s="15" t="s">
        <v>41</v>
      </c>
      <c r="D41" s="28">
        <v>75.64</v>
      </c>
      <c r="E41" s="29">
        <v>1</v>
      </c>
      <c r="F41" s="27">
        <f t="shared" si="32"/>
        <v>2344.84</v>
      </c>
      <c r="G41" s="29">
        <v>1</v>
      </c>
      <c r="H41" s="27">
        <f t="shared" si="17"/>
        <v>2117.92</v>
      </c>
      <c r="I41" s="29">
        <v>1</v>
      </c>
      <c r="J41" s="27">
        <f t="shared" si="18"/>
        <v>2344.84</v>
      </c>
      <c r="K41" s="29">
        <v>1</v>
      </c>
      <c r="L41" s="27">
        <f t="shared" si="19"/>
        <v>2269.1999999999998</v>
      </c>
      <c r="M41" s="29">
        <v>1</v>
      </c>
      <c r="N41" s="27">
        <f t="shared" si="25"/>
        <v>2344.84</v>
      </c>
      <c r="O41" s="29">
        <v>1</v>
      </c>
      <c r="P41" s="27">
        <f t="shared" si="26"/>
        <v>2269.1999999999998</v>
      </c>
      <c r="Q41" s="29">
        <v>1</v>
      </c>
      <c r="R41" s="27">
        <f t="shared" si="27"/>
        <v>2344.84</v>
      </c>
      <c r="S41" s="29">
        <v>1</v>
      </c>
      <c r="T41" s="27">
        <f t="shared" si="28"/>
        <v>2344.84</v>
      </c>
      <c r="U41" s="29">
        <v>1</v>
      </c>
      <c r="V41" s="27">
        <f t="shared" si="29"/>
        <v>2269.1999999999998</v>
      </c>
      <c r="W41" s="29">
        <v>1</v>
      </c>
      <c r="X41" s="27">
        <f t="shared" si="34"/>
        <v>2344.84</v>
      </c>
      <c r="Y41" s="29">
        <v>1</v>
      </c>
      <c r="Z41" s="27">
        <f t="shared" si="30"/>
        <v>2269.1999999999998</v>
      </c>
      <c r="AA41" s="27">
        <f t="shared" si="31"/>
        <v>25263.759999999998</v>
      </c>
      <c r="AB41" s="26">
        <v>50</v>
      </c>
      <c r="AC41" s="26">
        <f t="shared" si="36"/>
        <v>200</v>
      </c>
      <c r="AD41" s="26">
        <v>250</v>
      </c>
      <c r="AE41" s="26">
        <f t="shared" si="33"/>
        <v>1000</v>
      </c>
      <c r="AF41" s="26">
        <v>500</v>
      </c>
      <c r="AG41" s="26">
        <f t="shared" si="20"/>
        <v>2000</v>
      </c>
      <c r="AH41" s="26">
        <v>1500</v>
      </c>
      <c r="AI41" s="26">
        <f t="shared" si="35"/>
        <v>6000</v>
      </c>
      <c r="AJ41" s="27">
        <f t="shared" si="22"/>
        <v>2250</v>
      </c>
      <c r="AK41" s="27">
        <f t="shared" si="22"/>
        <v>9000</v>
      </c>
      <c r="AL41" s="27">
        <f t="shared" si="23"/>
        <v>1420.01</v>
      </c>
      <c r="AM41" s="27">
        <f t="shared" si="14"/>
        <v>2788.65</v>
      </c>
      <c r="AN41" s="34">
        <f>(((200/365)*120))*1</f>
        <v>65.75</v>
      </c>
      <c r="AO41" s="41">
        <f t="shared" si="24"/>
        <v>38738.17</v>
      </c>
    </row>
    <row r="42" spans="1:41" ht="54.95" customHeight="1" x14ac:dyDescent="0.25">
      <c r="A42" s="7"/>
      <c r="B42" s="17" t="s">
        <v>30</v>
      </c>
      <c r="C42" s="15" t="s">
        <v>42</v>
      </c>
      <c r="D42" s="28">
        <v>76.59</v>
      </c>
      <c r="E42" s="29">
        <v>2</v>
      </c>
      <c r="F42" s="27">
        <f t="shared" si="32"/>
        <v>4748.58</v>
      </c>
      <c r="G42" s="29">
        <v>2</v>
      </c>
      <c r="H42" s="27">
        <f t="shared" si="17"/>
        <v>4289.04</v>
      </c>
      <c r="I42" s="29">
        <v>2</v>
      </c>
      <c r="J42" s="27">
        <f t="shared" si="18"/>
        <v>4748.58</v>
      </c>
      <c r="K42" s="29">
        <v>2</v>
      </c>
      <c r="L42" s="27">
        <f t="shared" si="19"/>
        <v>4595.3999999999996</v>
      </c>
      <c r="M42" s="29">
        <v>2</v>
      </c>
      <c r="N42" s="27">
        <f t="shared" si="25"/>
        <v>4748.58</v>
      </c>
      <c r="O42" s="29">
        <v>2</v>
      </c>
      <c r="P42" s="27">
        <f t="shared" si="26"/>
        <v>4595.3999999999996</v>
      </c>
      <c r="Q42" s="29">
        <v>2</v>
      </c>
      <c r="R42" s="27">
        <f t="shared" si="27"/>
        <v>4748.58</v>
      </c>
      <c r="S42" s="29">
        <v>2</v>
      </c>
      <c r="T42" s="27">
        <f t="shared" si="28"/>
        <v>4748.58</v>
      </c>
      <c r="U42" s="29">
        <v>2</v>
      </c>
      <c r="V42" s="27">
        <f t="shared" si="29"/>
        <v>4595.3999999999996</v>
      </c>
      <c r="W42" s="29">
        <v>2</v>
      </c>
      <c r="X42" s="27">
        <f t="shared" si="34"/>
        <v>4748.58</v>
      </c>
      <c r="Y42" s="29">
        <v>2</v>
      </c>
      <c r="Z42" s="27">
        <f t="shared" si="30"/>
        <v>4595.3999999999996</v>
      </c>
      <c r="AA42" s="27">
        <f t="shared" si="31"/>
        <v>51162.12</v>
      </c>
      <c r="AB42" s="26">
        <f>50</f>
        <v>50</v>
      </c>
      <c r="AC42" s="26">
        <f t="shared" si="36"/>
        <v>200</v>
      </c>
      <c r="AD42" s="26">
        <f>250*2</f>
        <v>500</v>
      </c>
      <c r="AE42" s="26">
        <f t="shared" si="33"/>
        <v>2000</v>
      </c>
      <c r="AF42" s="26">
        <f>500+500</f>
        <v>1000</v>
      </c>
      <c r="AG42" s="26">
        <f t="shared" si="20"/>
        <v>4000</v>
      </c>
      <c r="AH42" s="26">
        <f>1500*2</f>
        <v>3000</v>
      </c>
      <c r="AI42" s="26">
        <f t="shared" si="35"/>
        <v>12000</v>
      </c>
      <c r="AJ42" s="27">
        <f t="shared" si="22"/>
        <v>4500</v>
      </c>
      <c r="AK42" s="27">
        <f t="shared" si="22"/>
        <v>18000</v>
      </c>
      <c r="AL42" s="27">
        <f t="shared" si="23"/>
        <v>2842.32</v>
      </c>
      <c r="AM42" s="27">
        <f t="shared" si="14"/>
        <v>5613.51</v>
      </c>
      <c r="AN42" s="34">
        <f>(((200/365)*120))*2</f>
        <v>131.51</v>
      </c>
      <c r="AO42" s="41">
        <f t="shared" si="24"/>
        <v>77949.460000000006</v>
      </c>
    </row>
    <row r="43" spans="1:41" ht="54.95" customHeight="1" x14ac:dyDescent="0.25">
      <c r="A43" s="7"/>
      <c r="B43" s="17" t="s">
        <v>30</v>
      </c>
      <c r="C43" s="15" t="s">
        <v>43</v>
      </c>
      <c r="D43" s="28">
        <v>72.540000000000006</v>
      </c>
      <c r="E43" s="29">
        <v>1</v>
      </c>
      <c r="F43" s="27">
        <f t="shared" si="32"/>
        <v>2248.7399999999998</v>
      </c>
      <c r="G43" s="29">
        <v>1</v>
      </c>
      <c r="H43" s="27">
        <f t="shared" si="17"/>
        <v>2031.12</v>
      </c>
      <c r="I43" s="29">
        <v>1</v>
      </c>
      <c r="J43" s="27">
        <f t="shared" si="18"/>
        <v>2248.7399999999998</v>
      </c>
      <c r="K43" s="29">
        <v>1</v>
      </c>
      <c r="L43" s="27">
        <f t="shared" si="19"/>
        <v>2176.1999999999998</v>
      </c>
      <c r="M43" s="29">
        <v>1</v>
      </c>
      <c r="N43" s="27">
        <f>D43*M43*31</f>
        <v>2248.7399999999998</v>
      </c>
      <c r="O43" s="29">
        <v>1</v>
      </c>
      <c r="P43" s="27">
        <f t="shared" si="26"/>
        <v>2176.1999999999998</v>
      </c>
      <c r="Q43" s="29">
        <v>1</v>
      </c>
      <c r="R43" s="27">
        <f t="shared" si="27"/>
        <v>2248.7399999999998</v>
      </c>
      <c r="S43" s="29">
        <v>1</v>
      </c>
      <c r="T43" s="27">
        <f>D43*S43*31</f>
        <v>2248.7399999999998</v>
      </c>
      <c r="U43" s="29">
        <v>1</v>
      </c>
      <c r="V43" s="27">
        <f t="shared" si="29"/>
        <v>2176.1999999999998</v>
      </c>
      <c r="W43" s="29">
        <v>1</v>
      </c>
      <c r="X43" s="27">
        <v>-435.24</v>
      </c>
      <c r="Y43" s="29">
        <v>1</v>
      </c>
      <c r="Z43" s="27">
        <v>0</v>
      </c>
      <c r="AA43" s="27">
        <f>F43+H43+J43+L43+N43+P43+R43+T43+V43+X43+Z43</f>
        <v>19368.18</v>
      </c>
      <c r="AB43" s="26">
        <v>0</v>
      </c>
      <c r="AC43" s="26">
        <v>0</v>
      </c>
      <c r="AD43" s="26">
        <v>250</v>
      </c>
      <c r="AE43" s="26">
        <f t="shared" si="33"/>
        <v>1000</v>
      </c>
      <c r="AF43" s="26">
        <v>567</v>
      </c>
      <c r="AG43" s="26">
        <f t="shared" si="20"/>
        <v>2268</v>
      </c>
      <c r="AH43" s="26">
        <f>1500</f>
        <v>1500</v>
      </c>
      <c r="AI43" s="26">
        <f t="shared" si="35"/>
        <v>6000</v>
      </c>
      <c r="AJ43" s="27">
        <f t="shared" si="22"/>
        <v>2317</v>
      </c>
      <c r="AK43" s="27">
        <f t="shared" si="22"/>
        <v>9268</v>
      </c>
      <c r="AL43" s="27">
        <f t="shared" si="23"/>
        <v>1395.02</v>
      </c>
      <c r="AM43" s="27">
        <f t="shared" si="14"/>
        <v>2303.02</v>
      </c>
      <c r="AN43" s="34">
        <f>(((200/365)*120))*1</f>
        <v>65.75</v>
      </c>
      <c r="AO43" s="41">
        <f t="shared" si="24"/>
        <v>32399.97</v>
      </c>
    </row>
    <row r="44" spans="1:41" ht="54.95" customHeight="1" x14ac:dyDescent="0.25">
      <c r="A44" s="7"/>
      <c r="B44" s="17" t="s">
        <v>44</v>
      </c>
      <c r="C44" s="15"/>
      <c r="D44" s="28"/>
      <c r="E44" s="57">
        <f>SUM(E27:E43)</f>
        <v>51</v>
      </c>
      <c r="F44" s="59">
        <f>SUM(F27:F43)</f>
        <v>117105.91</v>
      </c>
      <c r="G44" s="29"/>
      <c r="H44" s="21">
        <f>SUM(H27:H43)</f>
        <v>105773.08</v>
      </c>
      <c r="I44" s="29"/>
      <c r="J44" s="59">
        <f>SUM(J27:J43)</f>
        <v>114680.16</v>
      </c>
      <c r="K44" s="29"/>
      <c r="L44" s="59">
        <f t="shared" ref="L44:AO44" si="37">SUM(L27:L43)</f>
        <v>110980.8</v>
      </c>
      <c r="M44" s="29"/>
      <c r="N44" s="59">
        <f t="shared" ref="N44" si="38">SUM(N27:N43)</f>
        <v>112431.42</v>
      </c>
      <c r="O44" s="29"/>
      <c r="P44" s="59">
        <f>SUM(P27:P43)</f>
        <v>109010.1</v>
      </c>
      <c r="Q44" s="29"/>
      <c r="R44" s="59">
        <f>SUM(R27:R43)</f>
        <v>111300.43</v>
      </c>
      <c r="S44" s="29"/>
      <c r="T44" s="59">
        <f>SUM(T27:T43)</f>
        <v>108603.91</v>
      </c>
      <c r="U44" s="29"/>
      <c r="V44" s="59">
        <f>SUM(V27:V43)</f>
        <v>102418.8</v>
      </c>
      <c r="W44" s="29"/>
      <c r="X44" s="59">
        <f>SUM(X27:X43)</f>
        <v>105552.6</v>
      </c>
      <c r="Y44" s="29"/>
      <c r="Z44" s="59">
        <f>SUM(Z27:Z43)</f>
        <v>103676.34</v>
      </c>
      <c r="AA44" s="21">
        <f>SUM(AA27:AA43)</f>
        <v>1201533.55</v>
      </c>
      <c r="AB44" s="23">
        <f t="shared" si="37"/>
        <v>1275</v>
      </c>
      <c r="AC44" s="23">
        <f t="shared" si="37"/>
        <v>5100</v>
      </c>
      <c r="AD44" s="23">
        <f t="shared" si="37"/>
        <v>12750</v>
      </c>
      <c r="AE44" s="23">
        <f>SUM(AE27:AE43)</f>
        <v>62250</v>
      </c>
      <c r="AF44" s="23">
        <f t="shared" si="37"/>
        <v>26713</v>
      </c>
      <c r="AG44" s="23">
        <f t="shared" si="37"/>
        <v>106852</v>
      </c>
      <c r="AH44" s="23">
        <f t="shared" si="37"/>
        <v>76500</v>
      </c>
      <c r="AI44" s="23">
        <f t="shared" si="37"/>
        <v>306000</v>
      </c>
      <c r="AJ44" s="21">
        <f t="shared" si="37"/>
        <v>115963</v>
      </c>
      <c r="AK44" s="21">
        <f t="shared" si="37"/>
        <v>475102</v>
      </c>
      <c r="AL44" s="18">
        <f t="shared" si="37"/>
        <v>70839.05</v>
      </c>
      <c r="AM44" s="18">
        <f t="shared" si="37"/>
        <v>134957.15</v>
      </c>
      <c r="AN44" s="18">
        <f t="shared" si="37"/>
        <v>3353.4</v>
      </c>
      <c r="AO44" s="25">
        <f t="shared" si="37"/>
        <v>1890885.15</v>
      </c>
    </row>
    <row r="45" spans="1:41" ht="54.95" customHeight="1" x14ac:dyDescent="0.25">
      <c r="A45" s="7"/>
      <c r="B45" s="17" t="s">
        <v>61</v>
      </c>
      <c r="C45" s="15" t="s">
        <v>62</v>
      </c>
      <c r="D45" s="66">
        <v>75.64</v>
      </c>
      <c r="E45" s="67">
        <v>2</v>
      </c>
      <c r="F45" s="26">
        <v>0</v>
      </c>
      <c r="G45" s="29"/>
      <c r="H45" s="26">
        <v>0</v>
      </c>
      <c r="I45" s="29"/>
      <c r="J45" s="26">
        <v>0</v>
      </c>
      <c r="K45" s="29"/>
      <c r="L45" s="26">
        <v>0</v>
      </c>
      <c r="M45" s="29"/>
      <c r="N45" s="26">
        <v>0</v>
      </c>
      <c r="O45" s="29"/>
      <c r="P45" s="26">
        <v>0</v>
      </c>
      <c r="Q45" s="29"/>
      <c r="R45" s="26">
        <v>0</v>
      </c>
      <c r="S45" s="67">
        <v>2</v>
      </c>
      <c r="T45" s="26">
        <v>0</v>
      </c>
      <c r="U45" s="67">
        <v>2</v>
      </c>
      <c r="V45" s="26">
        <v>0</v>
      </c>
      <c r="W45" s="67">
        <v>2</v>
      </c>
      <c r="X45" s="26">
        <v>0</v>
      </c>
      <c r="Y45" s="67">
        <v>2</v>
      </c>
      <c r="Z45" s="26">
        <f>D45*Y45*60</f>
        <v>9076.7999999999993</v>
      </c>
      <c r="AA45" s="27">
        <f>F45+H45+J45+L45+N45+P45+R45+T45+V45+X45+Z45</f>
        <v>9076.7999999999993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</row>
    <row r="46" spans="1:41" ht="54.95" customHeight="1" x14ac:dyDescent="0.25">
      <c r="A46" s="7"/>
      <c r="B46" s="17" t="s">
        <v>61</v>
      </c>
      <c r="C46" s="15" t="s">
        <v>63</v>
      </c>
      <c r="D46" s="66">
        <v>71.400000000000006</v>
      </c>
      <c r="E46" s="67">
        <v>2</v>
      </c>
      <c r="F46" s="26">
        <v>0</v>
      </c>
      <c r="G46" s="29"/>
      <c r="H46" s="26">
        <v>0</v>
      </c>
      <c r="I46" s="29"/>
      <c r="J46" s="26">
        <v>0</v>
      </c>
      <c r="K46" s="29"/>
      <c r="L46" s="26">
        <v>0</v>
      </c>
      <c r="M46" s="29"/>
      <c r="N46" s="26">
        <v>0</v>
      </c>
      <c r="O46" s="29"/>
      <c r="P46" s="26">
        <v>0</v>
      </c>
      <c r="Q46" s="29"/>
      <c r="R46" s="26">
        <v>0</v>
      </c>
      <c r="S46" s="67">
        <v>2</v>
      </c>
      <c r="T46" s="26">
        <v>0</v>
      </c>
      <c r="U46" s="67">
        <v>2</v>
      </c>
      <c r="V46" s="26">
        <v>0</v>
      </c>
      <c r="W46" s="67">
        <v>2</v>
      </c>
      <c r="X46" s="26">
        <f>D46*1*51</f>
        <v>3641.4</v>
      </c>
      <c r="Y46" s="67">
        <v>2</v>
      </c>
      <c r="Z46" s="26">
        <f>D46*1*30+4284</f>
        <v>6426</v>
      </c>
      <c r="AA46" s="27">
        <f>F46+H46+J46+L46+N46+P46+R46+T46+V46+X46+Z46</f>
        <v>10067.4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</row>
    <row r="47" spans="1:41" ht="54.95" customHeight="1" x14ac:dyDescent="0.25">
      <c r="A47" s="7"/>
      <c r="B47" s="17" t="s">
        <v>61</v>
      </c>
      <c r="C47" s="15" t="s">
        <v>64</v>
      </c>
      <c r="D47" s="66">
        <v>80.86</v>
      </c>
      <c r="E47" s="67">
        <v>5</v>
      </c>
      <c r="F47" s="26">
        <v>0</v>
      </c>
      <c r="G47" s="29"/>
      <c r="H47" s="26">
        <v>0</v>
      </c>
      <c r="I47" s="29"/>
      <c r="J47" s="26">
        <v>0</v>
      </c>
      <c r="K47" s="29"/>
      <c r="L47" s="26">
        <v>0</v>
      </c>
      <c r="M47" s="29"/>
      <c r="N47" s="26">
        <v>0</v>
      </c>
      <c r="O47" s="29"/>
      <c r="P47" s="26">
        <v>0</v>
      </c>
      <c r="Q47" s="29"/>
      <c r="R47" s="26">
        <v>0</v>
      </c>
      <c r="S47" s="67">
        <v>5</v>
      </c>
      <c r="T47" s="26">
        <v>0</v>
      </c>
      <c r="U47" s="67">
        <v>5</v>
      </c>
      <c r="V47" s="68">
        <f>D47*S47*61</f>
        <v>24662.3</v>
      </c>
      <c r="W47" s="67">
        <v>5</v>
      </c>
      <c r="X47" s="68">
        <f>D47*U47*31</f>
        <v>12533.3</v>
      </c>
      <c r="Y47" s="67">
        <v>5</v>
      </c>
      <c r="Z47" s="26">
        <f>D47*Y47*30</f>
        <v>12129</v>
      </c>
      <c r="AA47" s="27">
        <f>F47+H47+J47+L47+N47+P47+R47+T47+V47+X47+Z47</f>
        <v>49324.6</v>
      </c>
      <c r="AB47" s="26">
        <v>0</v>
      </c>
      <c r="AC47" s="26">
        <v>0</v>
      </c>
      <c r="AD47" s="26">
        <v>250</v>
      </c>
      <c r="AE47" s="26">
        <f t="shared" ref="AE47" si="39">AD47*4</f>
        <v>1000</v>
      </c>
      <c r="AF47" s="26">
        <v>567</v>
      </c>
      <c r="AG47" s="26">
        <f t="shared" ref="AG47" si="40">AF47*4</f>
        <v>2268</v>
      </c>
      <c r="AH47" s="26">
        <f>1500</f>
        <v>1500</v>
      </c>
      <c r="AI47" s="26">
        <f t="shared" ref="AI47" si="41">AH47*4</f>
        <v>6000</v>
      </c>
      <c r="AJ47" s="27">
        <f t="shared" ref="AJ47:AK47" si="42">AD47+AF47+AH47</f>
        <v>2317</v>
      </c>
      <c r="AK47" s="27">
        <f t="shared" si="42"/>
        <v>9268</v>
      </c>
      <c r="AL47" s="27">
        <f t="shared" ref="AL47" si="43">(((L47+AB47+AF47+AH47)/365)*120)</f>
        <v>679.56</v>
      </c>
      <c r="AM47" s="27">
        <f t="shared" ref="AM47" si="44">(((AA47+AC47+AG47+AI47)/12))</f>
        <v>4799.38</v>
      </c>
      <c r="AN47" s="34">
        <f>(((200/365)*120))*1</f>
        <v>65.75</v>
      </c>
      <c r="AO47" s="41">
        <f t="shared" ref="AO47" si="45">AA47+AC47+AE47+AG47+AI47+AL47+AM47+AN47</f>
        <v>64137.29</v>
      </c>
    </row>
    <row r="48" spans="1:41" ht="54.95" customHeight="1" x14ac:dyDescent="0.25">
      <c r="A48" s="7"/>
      <c r="B48" s="17"/>
      <c r="C48" s="15"/>
      <c r="D48" s="28"/>
      <c r="E48" s="57">
        <f>SUM(E45:E47)</f>
        <v>9</v>
      </c>
      <c r="F48" s="26">
        <v>0</v>
      </c>
      <c r="G48" s="29"/>
      <c r="H48" s="26">
        <v>0</v>
      </c>
      <c r="I48" s="29"/>
      <c r="J48" s="26">
        <v>0</v>
      </c>
      <c r="K48" s="29"/>
      <c r="L48" s="26">
        <v>0</v>
      </c>
      <c r="M48" s="29"/>
      <c r="N48" s="26">
        <v>0</v>
      </c>
      <c r="O48" s="29"/>
      <c r="P48" s="26">
        <v>0</v>
      </c>
      <c r="Q48" s="29"/>
      <c r="R48" s="26">
        <v>0</v>
      </c>
      <c r="S48" s="29"/>
      <c r="T48" s="26">
        <v>0</v>
      </c>
      <c r="U48" s="29"/>
      <c r="V48" s="59">
        <f>SUM(V45:V47)</f>
        <v>24662.3</v>
      </c>
      <c r="W48" s="29"/>
      <c r="X48" s="59">
        <f>SUM(X45:X47)</f>
        <v>16174.7</v>
      </c>
      <c r="Y48" s="29"/>
      <c r="Z48" s="59">
        <f>SUM(Z45:Z47)</f>
        <v>27631.8</v>
      </c>
      <c r="AA48" s="21">
        <f>SUM(AA45:AA47)</f>
        <v>68468.800000000003</v>
      </c>
      <c r="AB48" s="21">
        <f t="shared" ref="AB48:AO48" si="46">SUM(AB45:AB47)</f>
        <v>0</v>
      </c>
      <c r="AC48" s="21">
        <f t="shared" si="46"/>
        <v>0</v>
      </c>
      <c r="AD48" s="21">
        <f t="shared" si="46"/>
        <v>250</v>
      </c>
      <c r="AE48" s="21">
        <f t="shared" si="46"/>
        <v>1000</v>
      </c>
      <c r="AF48" s="21">
        <f t="shared" si="46"/>
        <v>567</v>
      </c>
      <c r="AG48" s="21">
        <f t="shared" si="46"/>
        <v>2268</v>
      </c>
      <c r="AH48" s="21">
        <f t="shared" si="46"/>
        <v>1500</v>
      </c>
      <c r="AI48" s="21">
        <f t="shared" si="46"/>
        <v>6000</v>
      </c>
      <c r="AJ48" s="21">
        <f t="shared" si="46"/>
        <v>2317</v>
      </c>
      <c r="AK48" s="21">
        <f t="shared" si="46"/>
        <v>9268</v>
      </c>
      <c r="AL48" s="21">
        <f t="shared" si="46"/>
        <v>679.56</v>
      </c>
      <c r="AM48" s="21">
        <f t="shared" si="46"/>
        <v>4799.38</v>
      </c>
      <c r="AN48" s="21">
        <f t="shared" si="46"/>
        <v>65.75</v>
      </c>
      <c r="AO48" s="21">
        <f t="shared" si="46"/>
        <v>64137.29</v>
      </c>
    </row>
    <row r="49" spans="1:41" ht="54.95" customHeight="1" x14ac:dyDescent="0.25">
      <c r="A49" s="7"/>
      <c r="B49" s="20"/>
      <c r="C49" s="58" t="s">
        <v>52</v>
      </c>
      <c r="D49" s="28"/>
      <c r="E49" s="29">
        <f>E23+E26+E44</f>
        <v>72</v>
      </c>
      <c r="F49" s="22">
        <f>F23+F26+F44+F48</f>
        <v>163125.41</v>
      </c>
      <c r="G49" s="22"/>
      <c r="H49" s="22">
        <f>H23+H26+H44+H48</f>
        <v>147339.07999999999</v>
      </c>
      <c r="I49" s="22"/>
      <c r="J49" s="22">
        <f>J23+J26+J44+J48</f>
        <v>160699.66</v>
      </c>
      <c r="K49" s="22"/>
      <c r="L49" s="22">
        <f>L23+L26+L44+L48</f>
        <v>155515.79999999999</v>
      </c>
      <c r="M49" s="22"/>
      <c r="N49" s="22">
        <f>N23+N26+N44+N48</f>
        <v>158450.92000000001</v>
      </c>
      <c r="O49" s="22"/>
      <c r="P49" s="22">
        <f>P23+P26+P44+P48</f>
        <v>153545.1</v>
      </c>
      <c r="Q49" s="22"/>
      <c r="R49" s="22">
        <f>R23+R26+R44+R48</f>
        <v>157319.93</v>
      </c>
      <c r="S49" s="22"/>
      <c r="T49" s="22">
        <f>T23+T26+T44+T48</f>
        <v>150065.17000000001</v>
      </c>
      <c r="U49" s="22"/>
      <c r="V49" s="22">
        <f t="shared" ref="V49:AO49" si="47">V23+V26+V44+V48</f>
        <v>170079.22</v>
      </c>
      <c r="W49" s="22"/>
      <c r="X49" s="22">
        <f t="shared" ref="X49:Z49" si="48">X23+X26+X44+X48</f>
        <v>169174.8</v>
      </c>
      <c r="Y49" s="22"/>
      <c r="Z49" s="22">
        <f t="shared" si="48"/>
        <v>175843.14</v>
      </c>
      <c r="AA49" s="22">
        <f>AA23+AA26+AA44+AA48</f>
        <v>1761158.23</v>
      </c>
      <c r="AB49" s="22">
        <f t="shared" si="47"/>
        <v>1475</v>
      </c>
      <c r="AC49" s="22">
        <f t="shared" si="47"/>
        <v>5900</v>
      </c>
      <c r="AD49" s="22">
        <f t="shared" si="47"/>
        <v>18250</v>
      </c>
      <c r="AE49" s="22">
        <f t="shared" si="47"/>
        <v>84250</v>
      </c>
      <c r="AF49" s="22">
        <f t="shared" si="47"/>
        <v>37200</v>
      </c>
      <c r="AG49" s="22">
        <f t="shared" si="47"/>
        <v>148800</v>
      </c>
      <c r="AH49" s="22">
        <f t="shared" si="47"/>
        <v>109500</v>
      </c>
      <c r="AI49" s="22">
        <f t="shared" si="47"/>
        <v>438000</v>
      </c>
      <c r="AJ49" s="22">
        <f t="shared" si="47"/>
        <v>164950</v>
      </c>
      <c r="AK49" s="22">
        <f t="shared" si="47"/>
        <v>671050</v>
      </c>
      <c r="AL49" s="22">
        <f t="shared" si="47"/>
        <v>99843.53</v>
      </c>
      <c r="AM49" s="22">
        <f t="shared" si="47"/>
        <v>194559.52</v>
      </c>
      <c r="AN49" s="22">
        <f t="shared" si="47"/>
        <v>4799.97</v>
      </c>
      <c r="AO49" s="22">
        <f t="shared" si="47"/>
        <v>2718167.05</v>
      </c>
    </row>
    <row r="50" spans="1:41" x14ac:dyDescent="0.25">
      <c r="A50" s="42"/>
      <c r="B50" s="35"/>
      <c r="C50" s="36"/>
      <c r="D50" s="37"/>
      <c r="E50" s="38"/>
      <c r="F50" s="37"/>
      <c r="G50" s="38"/>
      <c r="H50" s="37"/>
      <c r="I50" s="39"/>
      <c r="J50" s="37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7"/>
      <c r="AM50" s="37"/>
      <c r="AN50" s="37"/>
      <c r="AO50" s="43"/>
    </row>
    <row r="51" spans="1:41" ht="21.75" thickBot="1" x14ac:dyDescent="0.4">
      <c r="A51" s="44" t="s">
        <v>17</v>
      </c>
      <c r="B51" s="45"/>
      <c r="C51" s="46"/>
      <c r="D51" s="47"/>
      <c r="E51" s="48"/>
      <c r="F51" s="47"/>
      <c r="G51" s="48"/>
      <c r="H51" s="47"/>
      <c r="I51" s="49"/>
      <c r="J51" s="47"/>
      <c r="K51" s="4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7"/>
      <c r="AM51" s="47"/>
      <c r="AN51" s="50"/>
      <c r="AO51" s="51"/>
    </row>
    <row r="52" spans="1:41" x14ac:dyDescent="0.25">
      <c r="T52" s="3"/>
      <c r="U52" s="3"/>
      <c r="V52" s="3"/>
      <c r="W52" s="3"/>
      <c r="X52" s="3"/>
      <c r="Y52" s="3"/>
      <c r="Z52" s="3"/>
      <c r="AA52" s="3"/>
      <c r="AD52"/>
      <c r="AE52"/>
      <c r="AF52"/>
      <c r="AL52" s="3"/>
      <c r="AM52" s="3"/>
      <c r="AN52" s="3"/>
    </row>
    <row r="53" spans="1:41" x14ac:dyDescent="0.25">
      <c r="T53" s="3"/>
      <c r="U53" s="3"/>
      <c r="V53" s="3"/>
      <c r="W53" s="3"/>
      <c r="X53" s="3"/>
      <c r="Y53" s="3"/>
      <c r="Z53" s="3"/>
      <c r="AA53" s="3"/>
      <c r="AD53"/>
      <c r="AE53"/>
      <c r="AF53"/>
      <c r="AL53" s="3"/>
      <c r="AM53" s="3"/>
      <c r="AN53" s="3"/>
    </row>
    <row r="54" spans="1:41" x14ac:dyDescent="0.25">
      <c r="Q54" s="69"/>
      <c r="R54" s="60"/>
      <c r="S54" s="69"/>
      <c r="T54" s="60"/>
      <c r="U54" s="69"/>
      <c r="V54" s="60"/>
      <c r="W54" s="69"/>
      <c r="X54" s="60"/>
      <c r="Y54" s="69"/>
      <c r="Z54" s="60"/>
      <c r="AA54" s="69"/>
      <c r="AD54"/>
      <c r="AE54"/>
      <c r="AF54"/>
      <c r="AL54" s="3"/>
      <c r="AM54" s="3"/>
      <c r="AN54" s="3"/>
    </row>
    <row r="55" spans="1:41" x14ac:dyDescent="0.25">
      <c r="T55" s="3"/>
      <c r="U55" s="3"/>
      <c r="V55" s="3"/>
      <c r="W55" s="3"/>
      <c r="X55" s="3"/>
      <c r="Y55" s="3"/>
      <c r="Z55" s="3"/>
      <c r="AA55" s="3"/>
      <c r="AD55"/>
      <c r="AE55"/>
      <c r="AF55"/>
      <c r="AL55" s="3"/>
      <c r="AM55" s="3"/>
      <c r="AN55" s="3"/>
    </row>
    <row r="56" spans="1:41" x14ac:dyDescent="0.25">
      <c r="T56" s="3"/>
      <c r="U56" s="3"/>
      <c r="V56" s="3"/>
      <c r="W56" s="3"/>
      <c r="X56" s="3"/>
      <c r="Y56" s="3"/>
      <c r="Z56" s="3"/>
      <c r="AA56" s="3"/>
      <c r="AD56"/>
      <c r="AE56"/>
      <c r="AF56"/>
      <c r="AL56" s="3"/>
      <c r="AM56" s="3"/>
      <c r="AN56" s="3"/>
    </row>
    <row r="57" spans="1:41" x14ac:dyDescent="0.25">
      <c r="T57" s="3"/>
      <c r="U57" s="3"/>
      <c r="V57" s="3"/>
      <c r="W57" s="3"/>
      <c r="X57" s="3"/>
      <c r="Y57" s="3"/>
      <c r="Z57" s="3"/>
      <c r="AA57" s="3"/>
      <c r="AD57"/>
      <c r="AE57"/>
      <c r="AF57"/>
      <c r="AL57" s="3"/>
      <c r="AM57" s="3"/>
      <c r="AN57" s="3"/>
    </row>
    <row r="58" spans="1:41" x14ac:dyDescent="0.25">
      <c r="T58" s="3"/>
      <c r="U58" s="3"/>
      <c r="V58" s="3"/>
      <c r="W58" s="3"/>
      <c r="X58" s="3"/>
      <c r="Y58" s="3"/>
      <c r="Z58" s="3"/>
      <c r="AA58" s="3"/>
      <c r="AD58"/>
      <c r="AE58"/>
      <c r="AF58"/>
      <c r="AL58" s="3"/>
      <c r="AM58" s="3"/>
      <c r="AN58" s="3"/>
    </row>
    <row r="59" spans="1:41" x14ac:dyDescent="0.25">
      <c r="T59" s="3"/>
      <c r="U59" s="3"/>
      <c r="V59" s="3"/>
      <c r="W59" s="3"/>
      <c r="X59" s="3"/>
      <c r="Y59" s="3"/>
      <c r="Z59" s="3"/>
      <c r="AA59" s="3"/>
      <c r="AD59"/>
      <c r="AE59"/>
      <c r="AF59"/>
      <c r="AL59" s="3"/>
      <c r="AM59" s="3"/>
      <c r="AN59" s="3"/>
    </row>
    <row r="60" spans="1:41" x14ac:dyDescent="0.25">
      <c r="T60" s="3"/>
      <c r="U60" s="3"/>
      <c r="V60" s="3"/>
      <c r="W60" s="3"/>
      <c r="X60" s="3"/>
      <c r="Y60" s="3"/>
      <c r="Z60" s="3"/>
      <c r="AA60" s="3"/>
      <c r="AD60"/>
      <c r="AE60"/>
      <c r="AF60"/>
      <c r="AL60" s="3"/>
      <c r="AM60" s="3"/>
      <c r="AN60" s="3"/>
    </row>
    <row r="61" spans="1:41" x14ac:dyDescent="0.25">
      <c r="T61" s="3"/>
      <c r="U61" s="3"/>
      <c r="V61" s="3"/>
      <c r="W61" s="3"/>
      <c r="X61" s="3"/>
      <c r="Y61" s="3"/>
      <c r="Z61" s="3"/>
      <c r="AA61" s="3"/>
      <c r="AD61"/>
      <c r="AE61"/>
      <c r="AF61"/>
      <c r="AL61" s="3"/>
      <c r="AM61" s="3"/>
      <c r="AN61" s="3"/>
    </row>
    <row r="62" spans="1:41" x14ac:dyDescent="0.25">
      <c r="T62" s="3"/>
      <c r="U62" s="3"/>
      <c r="V62" s="3"/>
      <c r="W62" s="3"/>
      <c r="X62" s="3"/>
      <c r="Y62" s="3"/>
      <c r="Z62" s="3"/>
      <c r="AA62" s="3"/>
      <c r="AD62"/>
      <c r="AE62"/>
      <c r="AF62"/>
      <c r="AL62" s="3"/>
      <c r="AM62" s="3"/>
      <c r="AN62" s="3"/>
    </row>
    <row r="63" spans="1:41" x14ac:dyDescent="0.25">
      <c r="T63" s="3"/>
      <c r="U63" s="3"/>
      <c r="V63" s="3"/>
      <c r="W63" s="3"/>
      <c r="X63" s="3"/>
      <c r="Y63" s="3"/>
      <c r="Z63" s="3"/>
      <c r="AA63" s="3"/>
      <c r="AD63"/>
      <c r="AE63"/>
      <c r="AF63"/>
      <c r="AL63" s="3"/>
      <c r="AM63" s="3"/>
      <c r="AN63" s="3"/>
    </row>
    <row r="64" spans="1:41" x14ac:dyDescent="0.25">
      <c r="T64" s="3"/>
      <c r="U64" s="3"/>
      <c r="V64" s="3"/>
      <c r="W64" s="3"/>
      <c r="X64" s="3"/>
      <c r="Y64" s="3"/>
      <c r="Z64" s="3"/>
      <c r="AA64" s="3"/>
      <c r="AD64"/>
      <c r="AE64"/>
      <c r="AF64"/>
      <c r="AL64" s="3"/>
      <c r="AM64" s="3"/>
      <c r="AN64" s="3"/>
    </row>
    <row r="65" spans="20:40" x14ac:dyDescent="0.25">
      <c r="T65" s="3"/>
      <c r="U65" s="3"/>
      <c r="V65" s="3"/>
      <c r="W65" s="3"/>
      <c r="X65" s="3"/>
      <c r="Y65" s="3"/>
      <c r="Z65" s="3"/>
      <c r="AA65" s="3"/>
      <c r="AD65"/>
      <c r="AE65"/>
      <c r="AF65"/>
      <c r="AL65" s="3"/>
      <c r="AM65" s="3"/>
      <c r="AN65" s="3"/>
    </row>
    <row r="66" spans="20:40" x14ac:dyDescent="0.25">
      <c r="T66" s="3"/>
      <c r="U66" s="3"/>
      <c r="V66" s="3"/>
      <c r="W66" s="3"/>
      <c r="X66" s="3"/>
      <c r="Y66" s="3"/>
      <c r="Z66" s="3"/>
      <c r="AA66" s="3"/>
      <c r="AD66"/>
      <c r="AE66"/>
      <c r="AF66"/>
      <c r="AL66" s="3"/>
      <c r="AM66" s="3"/>
      <c r="AN66" s="3"/>
    </row>
    <row r="67" spans="20:40" x14ac:dyDescent="0.25">
      <c r="T67" s="3"/>
      <c r="U67" s="3"/>
      <c r="V67" s="3"/>
      <c r="W67" s="3"/>
      <c r="X67" s="3"/>
      <c r="Y67" s="3"/>
      <c r="Z67" s="3"/>
      <c r="AA67" s="3"/>
      <c r="AD67"/>
      <c r="AE67"/>
      <c r="AF67"/>
      <c r="AL67" s="3"/>
      <c r="AM67" s="3"/>
      <c r="AN67" s="3"/>
    </row>
    <row r="68" spans="20:40" x14ac:dyDescent="0.25">
      <c r="T68" s="3"/>
      <c r="U68" s="3"/>
      <c r="V68" s="3"/>
      <c r="W68" s="3"/>
      <c r="X68" s="3"/>
      <c r="Y68" s="3"/>
      <c r="Z68" s="3"/>
      <c r="AA68" s="3"/>
      <c r="AD68"/>
      <c r="AE68"/>
      <c r="AF68"/>
      <c r="AL68" s="3"/>
      <c r="AM68" s="3"/>
      <c r="AN68" s="3"/>
    </row>
    <row r="69" spans="20:40" x14ac:dyDescent="0.25">
      <c r="T69" s="3"/>
      <c r="U69" s="3"/>
      <c r="V69" s="3"/>
      <c r="W69" s="3"/>
      <c r="X69" s="3"/>
      <c r="Y69" s="3"/>
      <c r="Z69" s="3"/>
      <c r="AA69" s="3"/>
      <c r="AD69"/>
      <c r="AE69"/>
      <c r="AF69"/>
      <c r="AL69" s="3"/>
      <c r="AM69" s="3"/>
      <c r="AN69" s="3"/>
    </row>
    <row r="70" spans="20:40" x14ac:dyDescent="0.25">
      <c r="T70" s="3"/>
      <c r="U70" s="3"/>
      <c r="V70" s="3"/>
      <c r="W70" s="3"/>
      <c r="X70" s="3"/>
      <c r="Y70" s="3"/>
      <c r="Z70" s="3"/>
      <c r="AA70" s="3"/>
      <c r="AD70"/>
      <c r="AE70"/>
      <c r="AF70"/>
      <c r="AL70" s="3"/>
      <c r="AM70" s="3"/>
      <c r="AN70" s="3"/>
    </row>
    <row r="71" spans="20:40" x14ac:dyDescent="0.25">
      <c r="T71" s="3"/>
      <c r="U71" s="3"/>
      <c r="V71" s="3"/>
      <c r="W71" s="3"/>
      <c r="X71" s="3"/>
      <c r="Y71" s="3"/>
      <c r="Z71" s="3"/>
      <c r="AA71" s="3"/>
      <c r="AD71"/>
      <c r="AE71"/>
      <c r="AF71"/>
      <c r="AL71" s="3"/>
      <c r="AM71" s="3"/>
      <c r="AN71" s="3"/>
    </row>
    <row r="72" spans="20:40" x14ac:dyDescent="0.25">
      <c r="T72" s="3"/>
      <c r="U72" s="3"/>
      <c r="V72" s="3"/>
      <c r="W72" s="3"/>
      <c r="X72" s="3"/>
      <c r="Y72" s="3"/>
      <c r="Z72" s="3"/>
      <c r="AA72" s="3"/>
      <c r="AD72"/>
      <c r="AE72"/>
      <c r="AF72"/>
      <c r="AL72" s="3"/>
      <c r="AM72" s="3"/>
      <c r="AN72" s="3"/>
    </row>
  </sheetData>
  <mergeCells count="32">
    <mergeCell ref="AO15:AO18"/>
    <mergeCell ref="AJ16:AK16"/>
    <mergeCell ref="AM16:AM18"/>
    <mergeCell ref="AN16:AN18"/>
    <mergeCell ref="Y17:Z17"/>
    <mergeCell ref="AB17:AB18"/>
    <mergeCell ref="AC17:AC18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E15:Z16"/>
    <mergeCell ref="K11:L11"/>
    <mergeCell ref="AB16:AC16"/>
    <mergeCell ref="Q17:R17"/>
    <mergeCell ref="AD16:AE16"/>
    <mergeCell ref="S17:T17"/>
    <mergeCell ref="I17:J17"/>
    <mergeCell ref="K17:L17"/>
    <mergeCell ref="M17:N17"/>
    <mergeCell ref="O17:P17"/>
    <mergeCell ref="AF16:AG16"/>
    <mergeCell ref="U17:V17"/>
    <mergeCell ref="AB15:AN15"/>
    <mergeCell ref="AH16:AI16"/>
    <mergeCell ref="AL16:AL18"/>
    <mergeCell ref="W17:X17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Departamento Financiero de las Artes</cp:lastModifiedBy>
  <cp:lastPrinted>2023-04-03T17:42:22Z</cp:lastPrinted>
  <dcterms:created xsi:type="dcterms:W3CDTF">2022-03-31T18:56:32Z</dcterms:created>
  <dcterms:modified xsi:type="dcterms:W3CDTF">2023-12-11T17:41:06Z</dcterms:modified>
</cp:coreProperties>
</file>