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AGOSTO\"/>
    </mc:Choice>
  </mc:AlternateContent>
  <xr:revisionPtr revIDLastSave="0" documentId="13_ncr:1_{14CD2AF9-40A6-427D-AFD2-F5E412EDA08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T43" i="1" s="1"/>
  <c r="T38" i="1"/>
  <c r="T29" i="1"/>
  <c r="T24" i="1" l="1"/>
  <c r="T21" i="1"/>
  <c r="T23" i="1"/>
  <c r="T22" i="1"/>
  <c r="R44" i="1" l="1"/>
  <c r="R46" i="1"/>
  <c r="R38" i="1"/>
  <c r="R30" i="1"/>
  <c r="R24" i="1"/>
  <c r="R21" i="1"/>
  <c r="P38" i="1"/>
  <c r="P30" i="1"/>
  <c r="P34" i="1"/>
  <c r="AC34" i="1" s="1"/>
  <c r="R34" i="1"/>
  <c r="T34" i="1"/>
  <c r="V34" i="1"/>
  <c r="X34" i="1"/>
  <c r="Z34" i="1"/>
  <c r="AB34" i="1"/>
  <c r="P46" i="1"/>
  <c r="P25" i="1"/>
  <c r="P24" i="1"/>
  <c r="N46" i="1" l="1"/>
  <c r="N24" i="1"/>
  <c r="N25" i="1"/>
  <c r="L46" i="1"/>
  <c r="L24" i="1"/>
  <c r="J46" i="1"/>
  <c r="J37" i="1"/>
  <c r="J24" i="1"/>
  <c r="H46" i="1" l="1"/>
  <c r="H29" i="1"/>
  <c r="H24" i="1"/>
  <c r="H22" i="1" l="1"/>
  <c r="AP44" i="1"/>
  <c r="AP47" i="1" s="1"/>
  <c r="AP46" i="1"/>
  <c r="AP45" i="1"/>
  <c r="AN46" i="1"/>
  <c r="AN37" i="1"/>
  <c r="AL46" i="1"/>
  <c r="AJ46" i="1"/>
  <c r="AK46" i="1" s="1"/>
  <c r="AM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5" i="1"/>
  <c r="Z44" i="1"/>
  <c r="Z47" i="1" s="1"/>
  <c r="X46" i="1"/>
  <c r="X47" i="1" s="1"/>
  <c r="X45" i="1"/>
  <c r="X44" i="1"/>
  <c r="V46" i="1"/>
  <c r="V45" i="1"/>
  <c r="V44" i="1"/>
  <c r="T46" i="1"/>
  <c r="T45" i="1"/>
  <c r="T44" i="1"/>
  <c r="R45" i="1"/>
  <c r="R47" i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7" i="1" s="1"/>
  <c r="H42" i="1"/>
  <c r="E47" i="1"/>
  <c r="F44" i="1"/>
  <c r="F47" i="1" s="1"/>
  <c r="F45" i="1"/>
  <c r="AC45" i="1" s="1"/>
  <c r="F46" i="1"/>
  <c r="AC46" i="1" s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Z35" i="1"/>
  <c r="Z41" i="1"/>
  <c r="Z31" i="1"/>
  <c r="Z40" i="1"/>
  <c r="Z33" i="1"/>
  <c r="Z37" i="1"/>
  <c r="Z36" i="1"/>
  <c r="Z39" i="1"/>
  <c r="Z32" i="1"/>
  <c r="Z38" i="1"/>
  <c r="Z30" i="1"/>
  <c r="Z29" i="1"/>
  <c r="Z27" i="1"/>
  <c r="Z42" i="1"/>
  <c r="Z28" i="1"/>
  <c r="X35" i="1"/>
  <c r="X41" i="1"/>
  <c r="X31" i="1"/>
  <c r="X40" i="1"/>
  <c r="X33" i="1"/>
  <c r="X37" i="1"/>
  <c r="X36" i="1"/>
  <c r="X39" i="1"/>
  <c r="X32" i="1"/>
  <c r="X38" i="1"/>
  <c r="X30" i="1"/>
  <c r="X29" i="1"/>
  <c r="X27" i="1"/>
  <c r="X42" i="1"/>
  <c r="X28" i="1"/>
  <c r="V35" i="1"/>
  <c r="V41" i="1"/>
  <c r="V31" i="1"/>
  <c r="V40" i="1"/>
  <c r="V33" i="1"/>
  <c r="V37" i="1"/>
  <c r="V36" i="1"/>
  <c r="V39" i="1"/>
  <c r="V32" i="1"/>
  <c r="V38" i="1"/>
  <c r="V30" i="1"/>
  <c r="V29" i="1"/>
  <c r="V27" i="1"/>
  <c r="V42" i="1"/>
  <c r="V28" i="1"/>
  <c r="T35" i="1"/>
  <c r="T41" i="1"/>
  <c r="T31" i="1"/>
  <c r="T40" i="1"/>
  <c r="T33" i="1"/>
  <c r="T36" i="1"/>
  <c r="T39" i="1"/>
  <c r="T32" i="1"/>
  <c r="T27" i="1"/>
  <c r="T42" i="1"/>
  <c r="T28" i="1"/>
  <c r="R35" i="1"/>
  <c r="R41" i="1"/>
  <c r="R31" i="1"/>
  <c r="R40" i="1"/>
  <c r="R33" i="1"/>
  <c r="R36" i="1"/>
  <c r="R39" i="1"/>
  <c r="R32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Z24" i="1"/>
  <c r="X24" i="1"/>
  <c r="X26" i="1" s="1"/>
  <c r="V24" i="1"/>
  <c r="V26" i="1" s="1"/>
  <c r="T26" i="1"/>
  <c r="R26" i="1"/>
  <c r="P26" i="1"/>
  <c r="N26" i="1"/>
  <c r="J26" i="1"/>
  <c r="H26" i="1"/>
  <c r="F24" i="1"/>
  <c r="F26" i="1" s="1"/>
  <c r="AO45" i="1" l="1"/>
  <c r="AQ45" i="1" s="1"/>
  <c r="AC44" i="1"/>
  <c r="AC47" i="1" s="1"/>
  <c r="R43" i="1"/>
  <c r="AK45" i="1"/>
  <c r="AM45" i="1" s="1"/>
  <c r="J47" i="1"/>
  <c r="J43" i="1"/>
  <c r="AO46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Q46" i="1" l="1"/>
  <c r="AP23" i="1"/>
  <c r="AB22" i="1"/>
  <c r="AB21" i="1"/>
  <c r="AB20" i="1"/>
  <c r="AB19" i="1"/>
  <c r="Z22" i="1"/>
  <c r="Z21" i="1"/>
  <c r="Z20" i="1"/>
  <c r="Z19" i="1"/>
  <c r="X22" i="1"/>
  <c r="X21" i="1"/>
  <c r="X20" i="1"/>
  <c r="X19" i="1"/>
  <c r="V22" i="1"/>
  <c r="V21" i="1"/>
  <c r="V20" i="1"/>
  <c r="V19" i="1"/>
  <c r="T20" i="1"/>
  <c r="R22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AC37" i="1" l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O37" i="1" s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I42" i="1" l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N29" i="1"/>
  <c r="AO36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E43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24" i="1" l="1"/>
  <c r="AO28" i="1"/>
  <c r="AO38" i="1"/>
  <c r="AO25" i="1"/>
  <c r="AQ25" i="1"/>
  <c r="AQ24" i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<sst xmlns="http://schemas.openxmlformats.org/spreadsheetml/2006/main" count="143" uniqueCount="68">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</sst>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44" fontId="0" fillId="0" borderId="0" xfId="1" applyFont="1" applyFill="1"/>
    <xf numFmtId="44" fontId="10" fillId="0" borderId="5" xfId="2" applyNumberFormat="1" applyFont="1" applyBorder="1" applyAlignment="1">
      <alignment horizontal="center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680356</xdr:colOff>
      <xdr:row>0</xdr:row>
      <xdr:rowOff>136072</xdr:rowOff>
    </xdr:from>
    <xdr:to>
      <xdr:col>7</xdr:col>
      <xdr:colOff>339693</xdr:colOff>
      <xdr:row>6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2" y="136072"/>
          <a:ext cx="3401301" cy="1197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1061357</xdr:colOff>
      <xdr:row>1</xdr:row>
      <xdr:rowOff>13607</xdr:rowOff>
    </xdr:from>
    <xdr:to>
      <xdr:col>9</xdr:col>
      <xdr:colOff>609872</xdr:colOff>
      <xdr:row>6</xdr:row>
      <xdr:rowOff>70757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6AFD0-944B-44BB-BDC0-FF10A603345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57" y="204107"/>
          <a:ext cx="1739265" cy="1009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70" zoomScaleNormal="70" zoomScaleSheetLayoutView="70" zoomScalePageLayoutView="85" workbookViewId="0">
      <pane ySplit="18" topLeftCell="A19" activePane="bottomLeft" state="frozen"/>
      <selection pane="bottomLeft" activeCell="I9" sqref="I9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0" t="s">
        <v>19</v>
      </c>
      <c r="B8" s="80"/>
      <c r="C8" s="80"/>
      <c r="D8" s="80"/>
      <c r="E8" s="80"/>
      <c r="F8" s="80"/>
      <c r="G8" s="80"/>
    </row>
    <row r="9" spans="1:43" ht="23.25" x14ac:dyDescent="0.25">
      <c r="A9" s="8" t="s">
        <v>20</v>
      </c>
      <c r="B9" s="9"/>
      <c r="C9" s="10"/>
      <c r="D9"/>
      <c r="E9"/>
      <c r="F9"/>
      <c r="G9"/>
      <c r="V9" s="75"/>
    </row>
    <row r="10" spans="1:43" ht="19.5" thickBot="1" x14ac:dyDescent="0.3">
      <c r="A10" s="81" t="s">
        <v>51</v>
      </c>
      <c r="B10" s="81"/>
      <c r="C10" s="81"/>
      <c r="D10"/>
      <c r="E10"/>
      <c r="F10"/>
      <c r="G10"/>
      <c r="V10" s="75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95"/>
      <c r="L11" s="96"/>
      <c r="M11" s="60"/>
      <c r="N11" s="60"/>
      <c r="O11" s="60"/>
      <c r="P11" s="60"/>
      <c r="Q11" s="60"/>
      <c r="R11" s="60"/>
      <c r="S11" s="60"/>
      <c r="T11" s="60"/>
      <c r="U11" s="60"/>
      <c r="V11" s="75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2" t="s">
        <v>67</v>
      </c>
      <c r="B12" s="82"/>
      <c r="C12" s="82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5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3" t="s">
        <v>0</v>
      </c>
      <c r="B15" s="85" t="s">
        <v>1</v>
      </c>
      <c r="C15" s="87" t="s">
        <v>2</v>
      </c>
      <c r="D15" s="89" t="s">
        <v>3</v>
      </c>
      <c r="E15" s="91" t="s">
        <v>4</v>
      </c>
      <c r="F15" s="91"/>
      <c r="G15" s="91"/>
      <c r="H15" s="91"/>
      <c r="I15" s="91"/>
      <c r="J15" s="91"/>
      <c r="K15" s="91"/>
      <c r="L15" s="91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52"/>
      <c r="AD15" s="101" t="s">
        <v>5</v>
      </c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97" t="s">
        <v>6</v>
      </c>
    </row>
    <row r="16" spans="1:43" s="13" customFormat="1" ht="35.1" customHeight="1" x14ac:dyDescent="0.25">
      <c r="A16" s="84"/>
      <c r="B16" s="86"/>
      <c r="C16" s="88"/>
      <c r="D16" s="90"/>
      <c r="E16" s="93"/>
      <c r="F16" s="93"/>
      <c r="G16" s="93"/>
      <c r="H16" s="93"/>
      <c r="I16" s="93"/>
      <c r="J16" s="93"/>
      <c r="K16" s="93"/>
      <c r="L16" s="93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53"/>
      <c r="AD16" s="99" t="s">
        <v>7</v>
      </c>
      <c r="AE16" s="99"/>
      <c r="AF16" s="99" t="s">
        <v>8</v>
      </c>
      <c r="AG16" s="99"/>
      <c r="AH16" s="99" t="s">
        <v>8</v>
      </c>
      <c r="AI16" s="99"/>
      <c r="AJ16" s="99" t="s">
        <v>8</v>
      </c>
      <c r="AK16" s="99"/>
      <c r="AL16" s="99" t="s">
        <v>48</v>
      </c>
      <c r="AM16" s="99"/>
      <c r="AN16" s="100" t="s">
        <v>9</v>
      </c>
      <c r="AO16" s="100" t="s">
        <v>10</v>
      </c>
      <c r="AP16" s="100" t="s">
        <v>11</v>
      </c>
      <c r="AQ16" s="98"/>
    </row>
    <row r="17" spans="1:43" s="13" customFormat="1" ht="35.1" customHeight="1" x14ac:dyDescent="0.25">
      <c r="A17" s="84"/>
      <c r="B17" s="86"/>
      <c r="C17" s="88"/>
      <c r="D17" s="90"/>
      <c r="E17" s="79" t="s">
        <v>12</v>
      </c>
      <c r="F17" s="79"/>
      <c r="G17" s="79" t="s">
        <v>13</v>
      </c>
      <c r="H17" s="79"/>
      <c r="I17" s="79" t="s">
        <v>14</v>
      </c>
      <c r="J17" s="79"/>
      <c r="K17" s="79" t="s">
        <v>15</v>
      </c>
      <c r="L17" s="79"/>
      <c r="M17" s="79" t="s">
        <v>53</v>
      </c>
      <c r="N17" s="79"/>
      <c r="O17" s="79" t="s">
        <v>54</v>
      </c>
      <c r="P17" s="79"/>
      <c r="Q17" s="79" t="s">
        <v>55</v>
      </c>
      <c r="R17" s="79"/>
      <c r="S17" s="79" t="s">
        <v>56</v>
      </c>
      <c r="T17" s="79"/>
      <c r="U17" s="79" t="s">
        <v>57</v>
      </c>
      <c r="V17" s="79"/>
      <c r="W17" s="79" t="s">
        <v>62</v>
      </c>
      <c r="X17" s="79"/>
      <c r="Y17" s="79" t="s">
        <v>63</v>
      </c>
      <c r="Z17" s="79"/>
      <c r="AA17" s="79" t="s">
        <v>64</v>
      </c>
      <c r="AB17" s="79"/>
      <c r="AC17" s="51" t="s">
        <v>50</v>
      </c>
      <c r="AD17" s="86" t="s">
        <v>43</v>
      </c>
      <c r="AE17" s="86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100"/>
      <c r="AO17" s="100"/>
      <c r="AP17" s="100"/>
      <c r="AQ17" s="98"/>
    </row>
    <row r="18" spans="1:43" s="13" customFormat="1" ht="45" customHeight="1" x14ac:dyDescent="0.25">
      <c r="A18" s="84"/>
      <c r="B18" s="86"/>
      <c r="C18" s="88"/>
      <c r="D18" s="90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6"/>
      <c r="AE18" s="86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100"/>
      <c r="AO18" s="100"/>
      <c r="AP18" s="100"/>
      <c r="AQ18" s="98"/>
    </row>
    <row r="19" spans="1:43" s="6" customFormat="1" ht="54.95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v>0</v>
      </c>
      <c r="U19" s="28">
        <v>2</v>
      </c>
      <c r="V19" s="26">
        <f>D19*E19*30</f>
        <v>4477.8</v>
      </c>
      <c r="W19" s="28">
        <v>2</v>
      </c>
      <c r="X19" s="26">
        <f>D19*E19*31</f>
        <v>4627.0600000000004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50002.1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5502.84</v>
      </c>
      <c r="AP19" s="33">
        <f>(((200/366)*182))*2</f>
        <v>198.91</v>
      </c>
      <c r="AQ19" s="40">
        <f>AC19+AE19+AG19+AI19+AK19+AN19+AO19+AP19</f>
        <v>77955.56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153581.4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16800.12</v>
      </c>
      <c r="AP21" s="33">
        <f t="shared" si="18"/>
        <v>198.91</v>
      </c>
      <c r="AQ21" s="40">
        <f t="shared" si="19"/>
        <v>236961.01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>D22*E22*31</f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25498.12</v>
      </c>
      <c r="S23" s="28"/>
      <c r="T23" s="58">
        <f>SUM(T19:T22)</f>
        <v>30938.46</v>
      </c>
      <c r="U23" s="28"/>
      <c r="V23" s="58">
        <f>SUM(V19:V22)</f>
        <v>31101.599999999999</v>
      </c>
      <c r="W23" s="28"/>
      <c r="X23" s="58">
        <f>SUM(X19:X22)</f>
        <v>32138.32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371599.46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40102.629999999997</v>
      </c>
      <c r="AP23" s="17">
        <f>SUM(AP19:AP22)</f>
        <v>795.64</v>
      </c>
      <c r="AQ23" s="24">
        <f>SUM(AQ19:AQ22)</f>
        <v>565224.66</v>
      </c>
    </row>
    <row r="24" spans="1:43" ht="54.95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D24*3*31</f>
        <v>6940.59</v>
      </c>
      <c r="S24" s="28">
        <v>4</v>
      </c>
      <c r="T24" s="26">
        <f>D24*3*31</f>
        <v>6940.59</v>
      </c>
      <c r="U24" s="28">
        <v>4</v>
      </c>
      <c r="V24" s="26">
        <f>D24*E24*30</f>
        <v>8955.6</v>
      </c>
      <c r="W24" s="28">
        <v>4</v>
      </c>
      <c r="X24" s="26">
        <f>D24*E24*31</f>
        <v>9254.1200000000008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93362.13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11850.84</v>
      </c>
      <c r="AP24" s="33">
        <f t="shared" ref="AP24:AP25" si="25">(((200/366)*182))*2</f>
        <v>198.91</v>
      </c>
      <c r="AQ24" s="40">
        <f>AC24+AE24+AG24+AI24+AK24+AN24+AO24+AP24</f>
        <v>169672.51</v>
      </c>
    </row>
    <row r="25" spans="1:43" ht="54.95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v>0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4614.04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994.54</v>
      </c>
      <c r="AO25" s="26">
        <f t="shared" si="24"/>
        <v>1051.17</v>
      </c>
      <c r="AP25" s="33">
        <f t="shared" si="25"/>
        <v>198.91</v>
      </c>
      <c r="AQ25" s="40">
        <f t="shared" ref="AQ25" si="28">AC25+AE25+AG25+AI25+AK25+AN25+AO25+AP25</f>
        <v>15858.66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6716.7</v>
      </c>
      <c r="M26" s="28"/>
      <c r="N26" s="58">
        <f>SUM(N24:N25)</f>
        <v>9285.43</v>
      </c>
      <c r="O26" s="28"/>
      <c r="P26" s="58">
        <f>SUM(P24:P25)</f>
        <v>8985.9</v>
      </c>
      <c r="Q26" s="28"/>
      <c r="R26" s="58">
        <f>SUM(R24:R25)</f>
        <v>6940.59</v>
      </c>
      <c r="S26" s="28"/>
      <c r="T26" s="58">
        <f>SUM(T24:T25)</f>
        <v>6940.59</v>
      </c>
      <c r="U26" s="28"/>
      <c r="V26" s="58">
        <f>SUM(V24:V25)</f>
        <v>8955.6</v>
      </c>
      <c r="W26" s="28"/>
      <c r="X26" s="58">
        <f>SUM(X24:X25)</f>
        <v>9254.1200000000008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97976.17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10407.17</v>
      </c>
      <c r="AO26" s="17">
        <f t="shared" si="32"/>
        <v>12902.01</v>
      </c>
      <c r="AP26" s="17">
        <f>SUM(AP24:AP25)</f>
        <v>397.82</v>
      </c>
      <c r="AQ26" s="24">
        <f>SUM(AQ24:AQ25)</f>
        <v>185531.17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 t="shared" ref="Z28:Z46" si="44">D28*E28*30</f>
        <v>6716.7</v>
      </c>
      <c r="AA28" s="28">
        <v>3</v>
      </c>
      <c r="AB28" s="26">
        <f t="shared" ref="AB28:AB46" si="45">D28*E28*31</f>
        <v>6940.59</v>
      </c>
      <c r="AC28" s="26">
        <f t="shared" ref="AC28:AC42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7">AH28*4</f>
        <v>6048</v>
      </c>
      <c r="AJ28" s="25">
        <f>1500*3</f>
        <v>4500</v>
      </c>
      <c r="AK28" s="25">
        <f t="shared" ref="AK28:AK42" si="48">AJ28*4</f>
        <v>18000</v>
      </c>
      <c r="AL28" s="26">
        <f t="shared" ref="AL28:AL42" si="49">AF28+AH28+AJ28</f>
        <v>6762</v>
      </c>
      <c r="AM28" s="26">
        <f t="shared" ref="AM28:AM42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2">D29*E29*31</f>
        <v>15493.8</v>
      </c>
      <c r="K29" s="28">
        <v>7</v>
      </c>
      <c r="L29" s="26">
        <f t="shared" ref="L29:L41" si="53">D29*E29*30</f>
        <v>14994</v>
      </c>
      <c r="M29" s="28">
        <v>7</v>
      </c>
      <c r="N29" s="26">
        <f t="shared" ref="N29:N41" si="54">D29*E29*31</f>
        <v>15493.8</v>
      </c>
      <c r="O29" s="28">
        <v>7</v>
      </c>
      <c r="P29" s="26">
        <f t="shared" ref="P29:P41" si="55">D29*E29*30</f>
        <v>14994</v>
      </c>
      <c r="Q29" s="28">
        <v>7</v>
      </c>
      <c r="R29" s="26">
        <f t="shared" ref="R29:R41" si="56">D29*E29*31</f>
        <v>15493.8</v>
      </c>
      <c r="S29" s="28">
        <v>7</v>
      </c>
      <c r="T29" s="26">
        <f>D29*E29*31</f>
        <v>15493.8</v>
      </c>
      <c r="U29" s="28">
        <v>7</v>
      </c>
      <c r="V29" s="26">
        <f t="shared" ref="V29:V41" si="57">D29*E29*30</f>
        <v>14994</v>
      </c>
      <c r="W29" s="28">
        <v>7</v>
      </c>
      <c r="X29" s="26">
        <f t="shared" ref="X29:X41" si="58">D29*E29*31</f>
        <v>15493.8</v>
      </c>
      <c r="Y29" s="28">
        <v>7</v>
      </c>
      <c r="Z29" s="26">
        <f t="shared" ref="Z29:Z41" si="59">D29*E29*30</f>
        <v>14994</v>
      </c>
      <c r="AA29" s="28">
        <v>7</v>
      </c>
      <c r="AB29" s="26">
        <f t="shared" ref="AB29:AB41" si="60">D29*E29*31</f>
        <v>15493.8</v>
      </c>
      <c r="AC29" s="26">
        <f t="shared" ref="AC29:AC41" si="61">F29+H29+J29+L29+N29+P29+R29+T29+V29+X29+Z29+AB29</f>
        <v>178642.8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62">AH29*4</f>
        <v>19788</v>
      </c>
      <c r="AJ29" s="25">
        <f>1500*9</f>
        <v>13500</v>
      </c>
      <c r="AK29" s="25">
        <f>AJ29*4</f>
        <v>54000</v>
      </c>
      <c r="AL29" s="26">
        <f t="shared" ref="AL29:AL41" si="63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21119.23</v>
      </c>
      <c r="AP29" s="33">
        <f>(((200/365)*120))*9</f>
        <v>591.78</v>
      </c>
      <c r="AQ29" s="40">
        <f t="shared" ref="AQ29:AQ41" si="64">AC29+AE29+AG29+AI29+AK29+AN29+AO29+AP29</f>
        <v>312145.26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5">D30*E30*31</f>
        <v>8994.9599999999991</v>
      </c>
      <c r="G30" s="28">
        <v>4</v>
      </c>
      <c r="H30" s="26">
        <f t="shared" ref="H30:H42" si="66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>D30*5*31</f>
        <v>11243.7</v>
      </c>
      <c r="S30" s="28">
        <v>4</v>
      </c>
      <c r="T30" s="26">
        <f>D30*5*31</f>
        <v>11243.7</v>
      </c>
      <c r="U30" s="28">
        <v>4</v>
      </c>
      <c r="V30" s="26">
        <f t="shared" si="57"/>
        <v>8704.7999999999993</v>
      </c>
      <c r="W30" s="28">
        <v>4</v>
      </c>
      <c r="X30" s="26">
        <f t="shared" si="58"/>
        <v>8994.9599999999991</v>
      </c>
      <c r="Y30" s="28">
        <v>4</v>
      </c>
      <c r="Z30" s="26">
        <f t="shared" si="59"/>
        <v>8704.7999999999993</v>
      </c>
      <c r="AA30" s="28">
        <v>4</v>
      </c>
      <c r="AB30" s="26">
        <f t="shared" si="60"/>
        <v>8994.9599999999991</v>
      </c>
      <c r="AC30" s="26">
        <f t="shared" si="61"/>
        <v>115048.44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7">AF30*4</f>
        <v>6000</v>
      </c>
      <c r="AH30" s="25">
        <f>532+567+567+567+532+567</f>
        <v>3332</v>
      </c>
      <c r="AI30" s="25">
        <f t="shared" si="62"/>
        <v>13328</v>
      </c>
      <c r="AJ30" s="25">
        <f>1500*6</f>
        <v>9000</v>
      </c>
      <c r="AK30" s="25">
        <f>AJ30*4</f>
        <v>36000</v>
      </c>
      <c r="AL30" s="26">
        <f t="shared" si="63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13714.7</v>
      </c>
      <c r="AP30" s="33">
        <f>(((200/365)*120))*6</f>
        <v>394.52</v>
      </c>
      <c r="AQ30" s="40">
        <f t="shared" si="64"/>
        <v>195171.45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5"/>
        <v>8994.9599999999991</v>
      </c>
      <c r="G31" s="28">
        <v>4</v>
      </c>
      <c r="H31" s="26">
        <f t="shared" si="66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ref="T31:T41" si="68">D31*E31*31</f>
        <v>8994.9599999999991</v>
      </c>
      <c r="U31" s="28">
        <v>4</v>
      </c>
      <c r="V31" s="26">
        <f t="shared" si="57"/>
        <v>8704.7999999999993</v>
      </c>
      <c r="W31" s="28">
        <v>4</v>
      </c>
      <c r="X31" s="26">
        <f t="shared" si="58"/>
        <v>8994.9599999999991</v>
      </c>
      <c r="Y31" s="28">
        <v>4</v>
      </c>
      <c r="Z31" s="26">
        <f t="shared" si="59"/>
        <v>8704.7999999999993</v>
      </c>
      <c r="AA31" s="28">
        <v>4</v>
      </c>
      <c r="AB31" s="26">
        <f t="shared" si="60"/>
        <v>8994.9599999999991</v>
      </c>
      <c r="AC31" s="26">
        <f t="shared" si="61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7"/>
        <v>4000</v>
      </c>
      <c r="AH31" s="25">
        <f>532+567+567+567</f>
        <v>2233</v>
      </c>
      <c r="AI31" s="25">
        <f t="shared" si="62"/>
        <v>8932</v>
      </c>
      <c r="AJ31" s="25">
        <f>1500*4</f>
        <v>6000</v>
      </c>
      <c r="AK31" s="25">
        <f>AJ31*4</f>
        <v>24000</v>
      </c>
      <c r="AL31" s="26">
        <f t="shared" si="63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4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5"/>
        <v>2213.4</v>
      </c>
      <c r="G32" s="28">
        <v>1</v>
      </c>
      <c r="H32" s="26">
        <f t="shared" si="66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68"/>
        <v>2213.4</v>
      </c>
      <c r="U32" s="28">
        <v>1</v>
      </c>
      <c r="V32" s="26">
        <f t="shared" si="57"/>
        <v>2142</v>
      </c>
      <c r="W32" s="28">
        <v>1</v>
      </c>
      <c r="X32" s="26">
        <f t="shared" si="58"/>
        <v>2213.4</v>
      </c>
      <c r="Y32" s="28">
        <v>1</v>
      </c>
      <c r="Z32" s="26">
        <f t="shared" si="59"/>
        <v>2142</v>
      </c>
      <c r="AA32" s="28">
        <v>1</v>
      </c>
      <c r="AB32" s="26">
        <f t="shared" si="60"/>
        <v>2213.4</v>
      </c>
      <c r="AC32" s="26">
        <f t="shared" si="61"/>
        <v>26132.400000000001</v>
      </c>
      <c r="AD32" s="25">
        <v>0</v>
      </c>
      <c r="AE32" s="25">
        <v>0</v>
      </c>
      <c r="AF32" s="25">
        <v>250</v>
      </c>
      <c r="AG32" s="25">
        <f t="shared" si="67"/>
        <v>1000</v>
      </c>
      <c r="AH32" s="25">
        <v>601</v>
      </c>
      <c r="AI32" s="25">
        <f t="shared" si="62"/>
        <v>2404</v>
      </c>
      <c r="AJ32" s="25">
        <v>1500</v>
      </c>
      <c r="AK32" s="25">
        <f>1500*4</f>
        <v>6000</v>
      </c>
      <c r="AL32" s="26">
        <f t="shared" si="63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4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5"/>
        <v>4627.0600000000004</v>
      </c>
      <c r="G33" s="28">
        <v>2</v>
      </c>
      <c r="H33" s="26">
        <f t="shared" si="66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68"/>
        <v>4627.0600000000004</v>
      </c>
      <c r="U33" s="28">
        <v>2</v>
      </c>
      <c r="V33" s="26">
        <f t="shared" si="57"/>
        <v>4477.8</v>
      </c>
      <c r="W33" s="28">
        <v>2</v>
      </c>
      <c r="X33" s="26">
        <f t="shared" si="58"/>
        <v>4627.0600000000004</v>
      </c>
      <c r="Y33" s="28">
        <v>2</v>
      </c>
      <c r="Z33" s="26">
        <f t="shared" si="59"/>
        <v>4477.8</v>
      </c>
      <c r="AA33" s="28">
        <v>2</v>
      </c>
      <c r="AB33" s="26">
        <f t="shared" si="60"/>
        <v>4627.0600000000004</v>
      </c>
      <c r="AC33" s="26">
        <f t="shared" si="61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7"/>
        <v>2000</v>
      </c>
      <c r="AH33" s="25">
        <f>504+500</f>
        <v>1004</v>
      </c>
      <c r="AI33" s="25">
        <f t="shared" si="62"/>
        <v>4016</v>
      </c>
      <c r="AJ33" s="25">
        <f>1500*2</f>
        <v>3000</v>
      </c>
      <c r="AK33" s="25">
        <f t="shared" ref="AK33:AK41" si="69">AJ33*4</f>
        <v>12000</v>
      </c>
      <c r="AL33" s="26">
        <f t="shared" si="63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4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4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6"/>
        <v>2344.84</v>
      </c>
      <c r="S34" s="28">
        <v>1</v>
      </c>
      <c r="T34" s="26">
        <f t="shared" si="68"/>
        <v>2344.84</v>
      </c>
      <c r="U34" s="28"/>
      <c r="V34" s="26">
        <f t="shared" si="57"/>
        <v>2269.1999999999998</v>
      </c>
      <c r="W34" s="28"/>
      <c r="X34" s="26">
        <f t="shared" si="58"/>
        <v>2344.84</v>
      </c>
      <c r="Y34" s="28"/>
      <c r="Z34" s="26">
        <f t="shared" si="59"/>
        <v>2269.1999999999998</v>
      </c>
      <c r="AA34" s="28"/>
      <c r="AB34" s="26">
        <f t="shared" si="60"/>
        <v>2344.84</v>
      </c>
      <c r="AC34" s="26">
        <f t="shared" si="61"/>
        <v>18456.16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5"/>
        <v>4748.58</v>
      </c>
      <c r="G35" s="28">
        <v>2</v>
      </c>
      <c r="H35" s="26">
        <f t="shared" si="66"/>
        <v>4442.22</v>
      </c>
      <c r="I35" s="28">
        <v>2</v>
      </c>
      <c r="J35" s="26">
        <f t="shared" si="52"/>
        <v>4748.58</v>
      </c>
      <c r="K35" s="28">
        <v>2</v>
      </c>
      <c r="L35" s="26">
        <f t="shared" si="53"/>
        <v>4595.3999999999996</v>
      </c>
      <c r="M35" s="28">
        <v>2</v>
      </c>
      <c r="N35" s="26">
        <f t="shared" si="54"/>
        <v>4748.58</v>
      </c>
      <c r="O35" s="28">
        <v>2</v>
      </c>
      <c r="P35" s="26">
        <f t="shared" si="55"/>
        <v>4595.3999999999996</v>
      </c>
      <c r="Q35" s="28">
        <v>2</v>
      </c>
      <c r="R35" s="26">
        <f t="shared" si="56"/>
        <v>4748.58</v>
      </c>
      <c r="S35" s="28">
        <v>2</v>
      </c>
      <c r="T35" s="26">
        <f t="shared" si="68"/>
        <v>4748.58</v>
      </c>
      <c r="U35" s="28">
        <v>2</v>
      </c>
      <c r="V35" s="26">
        <f t="shared" si="57"/>
        <v>4595.3999999999996</v>
      </c>
      <c r="W35" s="28">
        <v>2</v>
      </c>
      <c r="X35" s="26">
        <f t="shared" si="58"/>
        <v>4748.58</v>
      </c>
      <c r="Y35" s="28">
        <v>2</v>
      </c>
      <c r="Z35" s="26">
        <f t="shared" si="59"/>
        <v>4595.3999999999996</v>
      </c>
      <c r="AA35" s="28">
        <v>2</v>
      </c>
      <c r="AB35" s="26">
        <f t="shared" si="60"/>
        <v>4748.58</v>
      </c>
      <c r="AC35" s="26">
        <f t="shared" si="61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7"/>
        <v>2000</v>
      </c>
      <c r="AH35" s="25">
        <f>500+500</f>
        <v>1000</v>
      </c>
      <c r="AI35" s="25">
        <f t="shared" si="62"/>
        <v>4000</v>
      </c>
      <c r="AJ35" s="25">
        <f>1500*2</f>
        <v>3000</v>
      </c>
      <c r="AK35" s="25">
        <f t="shared" si="69"/>
        <v>12000</v>
      </c>
      <c r="AL35" s="26">
        <f t="shared" si="63"/>
        <v>4500</v>
      </c>
      <c r="AM35" s="26">
        <f t="shared" si="50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4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5"/>
        <v>2281.29</v>
      </c>
      <c r="G36" s="28">
        <v>1</v>
      </c>
      <c r="H36" s="26">
        <f t="shared" si="66"/>
        <v>2134.11</v>
      </c>
      <c r="I36" s="28">
        <v>1</v>
      </c>
      <c r="J36" s="26">
        <f t="shared" si="52"/>
        <v>2281.29</v>
      </c>
      <c r="K36" s="28">
        <v>1</v>
      </c>
      <c r="L36" s="26">
        <f t="shared" si="53"/>
        <v>2207.6999999999998</v>
      </c>
      <c r="M36" s="28">
        <v>1</v>
      </c>
      <c r="N36" s="26">
        <f t="shared" si="54"/>
        <v>2281.29</v>
      </c>
      <c r="O36" s="28">
        <v>1</v>
      </c>
      <c r="P36" s="26">
        <f t="shared" si="55"/>
        <v>2207.6999999999998</v>
      </c>
      <c r="Q36" s="28">
        <v>1</v>
      </c>
      <c r="R36" s="26">
        <f t="shared" si="56"/>
        <v>2281.29</v>
      </c>
      <c r="S36" s="28">
        <v>1</v>
      </c>
      <c r="T36" s="26">
        <f t="shared" si="68"/>
        <v>2281.29</v>
      </c>
      <c r="U36" s="28">
        <v>1</v>
      </c>
      <c r="V36" s="26">
        <f t="shared" si="57"/>
        <v>2207.6999999999998</v>
      </c>
      <c r="W36" s="28">
        <v>1</v>
      </c>
      <c r="X36" s="26">
        <f t="shared" si="58"/>
        <v>2281.29</v>
      </c>
      <c r="Y36" s="28">
        <v>1</v>
      </c>
      <c r="Z36" s="26">
        <f t="shared" si="59"/>
        <v>2207.6999999999998</v>
      </c>
      <c r="AA36" s="28">
        <v>1</v>
      </c>
      <c r="AB36" s="26">
        <f t="shared" si="60"/>
        <v>2281.29</v>
      </c>
      <c r="AC36" s="26">
        <f t="shared" si="61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7"/>
        <v>1000</v>
      </c>
      <c r="AH36" s="25">
        <f>500</f>
        <v>500</v>
      </c>
      <c r="AI36" s="25">
        <f t="shared" si="62"/>
        <v>2000</v>
      </c>
      <c r="AJ36" s="25">
        <v>1500</v>
      </c>
      <c r="AK36" s="25">
        <f t="shared" si="69"/>
        <v>6000</v>
      </c>
      <c r="AL36" s="26">
        <f t="shared" si="63"/>
        <v>2250</v>
      </c>
      <c r="AM36" s="26">
        <f t="shared" si="50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4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5"/>
        <v>2313.5300000000002</v>
      </c>
      <c r="G37" s="28">
        <v>1</v>
      </c>
      <c r="H37" s="26">
        <f t="shared" si="66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v>0</v>
      </c>
      <c r="S37" s="28">
        <v>1</v>
      </c>
      <c r="T37" s="26">
        <v>0</v>
      </c>
      <c r="U37" s="28">
        <v>1</v>
      </c>
      <c r="V37" s="26">
        <f t="shared" si="57"/>
        <v>2238.9</v>
      </c>
      <c r="W37" s="28">
        <v>1</v>
      </c>
      <c r="X37" s="26">
        <f t="shared" si="58"/>
        <v>2313.5300000000002</v>
      </c>
      <c r="Y37" s="28">
        <v>1</v>
      </c>
      <c r="Z37" s="26">
        <f t="shared" si="59"/>
        <v>2238.9</v>
      </c>
      <c r="AA37" s="28">
        <v>1</v>
      </c>
      <c r="AB37" s="26">
        <f t="shared" si="60"/>
        <v>2313.5300000000002</v>
      </c>
      <c r="AC37" s="26">
        <f t="shared" si="61"/>
        <v>14328.96</v>
      </c>
      <c r="AD37" s="25">
        <v>75</v>
      </c>
      <c r="AE37" s="25">
        <f>AD37*4</f>
        <v>300</v>
      </c>
      <c r="AF37" s="25">
        <v>250</v>
      </c>
      <c r="AG37" s="25">
        <f t="shared" si="67"/>
        <v>1000</v>
      </c>
      <c r="AH37" s="25">
        <v>500</v>
      </c>
      <c r="AI37" s="25">
        <f t="shared" si="62"/>
        <v>2000</v>
      </c>
      <c r="AJ37" s="25">
        <v>1500</v>
      </c>
      <c r="AK37" s="25">
        <f t="shared" si="69"/>
        <v>6000</v>
      </c>
      <c r="AL37" s="26">
        <f t="shared" si="63"/>
        <v>2250</v>
      </c>
      <c r="AM37" s="26">
        <f t="shared" si="50"/>
        <v>9000</v>
      </c>
      <c r="AN37" s="26">
        <f t="shared" si="33"/>
        <v>1031.83</v>
      </c>
      <c r="AO37" s="26">
        <f t="shared" si="34"/>
        <v>1885.75</v>
      </c>
      <c r="AP37" s="33">
        <f>(((200/365)*120))*1</f>
        <v>65.75</v>
      </c>
      <c r="AQ37" s="40">
        <f t="shared" si="64"/>
        <v>26612.29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5"/>
        <v>4851.5</v>
      </c>
      <c r="G38" s="28">
        <v>2</v>
      </c>
      <c r="H38" s="26">
        <f t="shared" si="66"/>
        <v>4538.5</v>
      </c>
      <c r="I38" s="28">
        <v>2</v>
      </c>
      <c r="J38" s="26">
        <f t="shared" si="52"/>
        <v>4851.5</v>
      </c>
      <c r="K38" s="28">
        <v>2</v>
      </c>
      <c r="L38" s="26">
        <f t="shared" si="53"/>
        <v>4695</v>
      </c>
      <c r="M38" s="28">
        <v>2</v>
      </c>
      <c r="N38" s="26">
        <f t="shared" si="54"/>
        <v>4851.5</v>
      </c>
      <c r="O38" s="28">
        <v>2</v>
      </c>
      <c r="P38" s="26">
        <f>D38*1*30</f>
        <v>2347.5</v>
      </c>
      <c r="Q38" s="28">
        <v>2</v>
      </c>
      <c r="R38" s="26">
        <f>D38*1*31+D38*1*30</f>
        <v>4773.25</v>
      </c>
      <c r="S38" s="28">
        <v>2</v>
      </c>
      <c r="T38" s="26">
        <f>D38*2*31</f>
        <v>4851.5</v>
      </c>
      <c r="U38" s="28">
        <v>2</v>
      </c>
      <c r="V38" s="26">
        <f t="shared" si="57"/>
        <v>4695</v>
      </c>
      <c r="W38" s="28">
        <v>2</v>
      </c>
      <c r="X38" s="26">
        <f t="shared" si="58"/>
        <v>4851.5</v>
      </c>
      <c r="Y38" s="28">
        <v>2</v>
      </c>
      <c r="Z38" s="26">
        <f t="shared" si="59"/>
        <v>4695</v>
      </c>
      <c r="AA38" s="28">
        <v>2</v>
      </c>
      <c r="AB38" s="26">
        <f t="shared" si="60"/>
        <v>4851.5</v>
      </c>
      <c r="AC38" s="26">
        <f t="shared" si="61"/>
        <v>54853.25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7"/>
        <v>2000</v>
      </c>
      <c r="AH38" s="25">
        <f>500*2</f>
        <v>1000</v>
      </c>
      <c r="AI38" s="25">
        <f t="shared" si="62"/>
        <v>4000</v>
      </c>
      <c r="AJ38" s="25">
        <f>1500*2</f>
        <v>3000</v>
      </c>
      <c r="AK38" s="25">
        <f t="shared" si="69"/>
        <v>12000</v>
      </c>
      <c r="AL38" s="26">
        <f t="shared" si="63"/>
        <v>4500</v>
      </c>
      <c r="AM38" s="26">
        <f t="shared" si="50"/>
        <v>18000</v>
      </c>
      <c r="AN38" s="26">
        <f t="shared" si="33"/>
        <v>4323.74</v>
      </c>
      <c r="AO38" s="26">
        <f t="shared" si="34"/>
        <v>5904.44</v>
      </c>
      <c r="AP38" s="33">
        <f>(((200/365)*120))*2</f>
        <v>131.51</v>
      </c>
      <c r="AQ38" s="40">
        <f t="shared" si="64"/>
        <v>83212.94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5"/>
        <v>2248.7399999999998</v>
      </c>
      <c r="G39" s="28">
        <v>1</v>
      </c>
      <c r="H39" s="26">
        <f t="shared" si="66"/>
        <v>2103.66</v>
      </c>
      <c r="I39" s="28">
        <v>1</v>
      </c>
      <c r="J39" s="26">
        <f t="shared" si="52"/>
        <v>2248.7399999999998</v>
      </c>
      <c r="K39" s="28">
        <v>1</v>
      </c>
      <c r="L39" s="26">
        <f t="shared" si="53"/>
        <v>2176.1999999999998</v>
      </c>
      <c r="M39" s="28">
        <v>1</v>
      </c>
      <c r="N39" s="26">
        <f t="shared" si="54"/>
        <v>2248.7399999999998</v>
      </c>
      <c r="O39" s="28">
        <v>1</v>
      </c>
      <c r="P39" s="26">
        <f t="shared" si="55"/>
        <v>2176.1999999999998</v>
      </c>
      <c r="Q39" s="28">
        <v>1</v>
      </c>
      <c r="R39" s="26">
        <f t="shared" si="56"/>
        <v>2248.7399999999998</v>
      </c>
      <c r="S39" s="28">
        <v>1</v>
      </c>
      <c r="T39" s="26">
        <f t="shared" si="68"/>
        <v>2248.7399999999998</v>
      </c>
      <c r="U39" s="28">
        <v>1</v>
      </c>
      <c r="V39" s="26">
        <f t="shared" si="57"/>
        <v>2176.1999999999998</v>
      </c>
      <c r="W39" s="28">
        <v>1</v>
      </c>
      <c r="X39" s="26">
        <f t="shared" si="58"/>
        <v>2248.7399999999998</v>
      </c>
      <c r="Y39" s="28">
        <v>1</v>
      </c>
      <c r="Z39" s="26">
        <f t="shared" si="59"/>
        <v>2176.1999999999998</v>
      </c>
      <c r="AA39" s="28">
        <v>1</v>
      </c>
      <c r="AB39" s="26">
        <f t="shared" si="60"/>
        <v>2248.7399999999998</v>
      </c>
      <c r="AC39" s="26">
        <f t="shared" si="61"/>
        <v>26549.64</v>
      </c>
      <c r="AD39" s="25">
        <v>50</v>
      </c>
      <c r="AE39" s="25">
        <f>AD39*4</f>
        <v>200</v>
      </c>
      <c r="AF39" s="25">
        <f>250</f>
        <v>250</v>
      </c>
      <c r="AG39" s="25">
        <f t="shared" si="67"/>
        <v>1000</v>
      </c>
      <c r="AH39" s="25">
        <v>517</v>
      </c>
      <c r="AI39" s="25">
        <f t="shared" si="62"/>
        <v>2068</v>
      </c>
      <c r="AJ39" s="25">
        <v>1500</v>
      </c>
      <c r="AK39" s="25">
        <f t="shared" si="69"/>
        <v>6000</v>
      </c>
      <c r="AL39" s="26">
        <f t="shared" si="63"/>
        <v>2267</v>
      </c>
      <c r="AM39" s="26">
        <f t="shared" si="50"/>
        <v>9068</v>
      </c>
      <c r="AN39" s="26">
        <f t="shared" si="33"/>
        <v>2110.0100000000002</v>
      </c>
      <c r="AO39" s="26">
        <f t="shared" si="34"/>
        <v>2901.47</v>
      </c>
      <c r="AP39" s="33">
        <f>(((200/365)*120))*1</f>
        <v>65.75</v>
      </c>
      <c r="AQ39" s="40">
        <f t="shared" si="64"/>
        <v>40894.870000000003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5"/>
        <v>2281.29</v>
      </c>
      <c r="G40" s="28">
        <v>1</v>
      </c>
      <c r="H40" s="26">
        <f t="shared" si="66"/>
        <v>2134.11</v>
      </c>
      <c r="I40" s="28">
        <v>1</v>
      </c>
      <c r="J40" s="26">
        <f t="shared" si="52"/>
        <v>2281.29</v>
      </c>
      <c r="K40" s="28">
        <v>1</v>
      </c>
      <c r="L40" s="26">
        <f t="shared" si="53"/>
        <v>2207.6999999999998</v>
      </c>
      <c r="M40" s="28">
        <v>1</v>
      </c>
      <c r="N40" s="26">
        <f t="shared" si="54"/>
        <v>2281.29</v>
      </c>
      <c r="O40" s="28">
        <v>1</v>
      </c>
      <c r="P40" s="26">
        <f t="shared" si="55"/>
        <v>2207.6999999999998</v>
      </c>
      <c r="Q40" s="28">
        <v>1</v>
      </c>
      <c r="R40" s="26">
        <f t="shared" si="56"/>
        <v>2281.29</v>
      </c>
      <c r="S40" s="28">
        <v>1</v>
      </c>
      <c r="T40" s="26">
        <f t="shared" si="68"/>
        <v>2281.29</v>
      </c>
      <c r="U40" s="28">
        <v>1</v>
      </c>
      <c r="V40" s="26">
        <f t="shared" si="57"/>
        <v>2207.6999999999998</v>
      </c>
      <c r="W40" s="28">
        <v>1</v>
      </c>
      <c r="X40" s="26">
        <f t="shared" si="58"/>
        <v>2281.29</v>
      </c>
      <c r="Y40" s="28">
        <v>1</v>
      </c>
      <c r="Z40" s="26">
        <f t="shared" si="59"/>
        <v>2207.6999999999998</v>
      </c>
      <c r="AA40" s="28">
        <v>1</v>
      </c>
      <c r="AB40" s="26">
        <f t="shared" si="60"/>
        <v>2281.29</v>
      </c>
      <c r="AC40" s="26">
        <f t="shared" si="61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7"/>
        <v>1000</v>
      </c>
      <c r="AH40" s="25">
        <v>500</v>
      </c>
      <c r="AI40" s="25">
        <f t="shared" si="62"/>
        <v>2000</v>
      </c>
      <c r="AJ40" s="25">
        <v>1500</v>
      </c>
      <c r="AK40" s="25">
        <f t="shared" si="69"/>
        <v>6000</v>
      </c>
      <c r="AL40" s="26">
        <f t="shared" si="63"/>
        <v>2250</v>
      </c>
      <c r="AM40" s="26">
        <f t="shared" si="50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4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5"/>
        <v>2344.84</v>
      </c>
      <c r="G41" s="28">
        <v>1</v>
      </c>
      <c r="H41" s="26">
        <f t="shared" si="66"/>
        <v>2193.56</v>
      </c>
      <c r="I41" s="28">
        <v>1</v>
      </c>
      <c r="J41" s="26">
        <f t="shared" si="52"/>
        <v>2344.84</v>
      </c>
      <c r="K41" s="28">
        <v>1</v>
      </c>
      <c r="L41" s="26">
        <f t="shared" si="53"/>
        <v>2269.1999999999998</v>
      </c>
      <c r="M41" s="28">
        <v>1</v>
      </c>
      <c r="N41" s="26">
        <f t="shared" si="54"/>
        <v>2344.84</v>
      </c>
      <c r="O41" s="28">
        <v>1</v>
      </c>
      <c r="P41" s="26">
        <f t="shared" si="55"/>
        <v>2269.1999999999998</v>
      </c>
      <c r="Q41" s="28">
        <v>1</v>
      </c>
      <c r="R41" s="26">
        <f t="shared" si="56"/>
        <v>2344.84</v>
      </c>
      <c r="S41" s="28">
        <v>1</v>
      </c>
      <c r="T41" s="26">
        <f t="shared" si="68"/>
        <v>2344.84</v>
      </c>
      <c r="U41" s="28">
        <v>1</v>
      </c>
      <c r="V41" s="26">
        <f t="shared" si="57"/>
        <v>2269.1999999999998</v>
      </c>
      <c r="W41" s="28">
        <v>1</v>
      </c>
      <c r="X41" s="26">
        <f t="shared" si="58"/>
        <v>2344.84</v>
      </c>
      <c r="Y41" s="28">
        <v>1</v>
      </c>
      <c r="Z41" s="26">
        <f t="shared" si="59"/>
        <v>2269.1999999999998</v>
      </c>
      <c r="AA41" s="28">
        <v>1</v>
      </c>
      <c r="AB41" s="26">
        <f t="shared" si="60"/>
        <v>2344.84</v>
      </c>
      <c r="AC41" s="26">
        <f t="shared" si="61"/>
        <v>27684.240000000002</v>
      </c>
      <c r="AD41" s="25">
        <v>50</v>
      </c>
      <c r="AE41" s="25">
        <f t="shared" ref="AE41" si="70">AD41*4</f>
        <v>200</v>
      </c>
      <c r="AF41" s="25">
        <v>250</v>
      </c>
      <c r="AG41" s="25">
        <f t="shared" si="67"/>
        <v>1000</v>
      </c>
      <c r="AH41" s="25">
        <v>500</v>
      </c>
      <c r="AI41" s="25">
        <f t="shared" si="62"/>
        <v>2000</v>
      </c>
      <c r="AJ41" s="25">
        <v>1500</v>
      </c>
      <c r="AK41" s="25">
        <f t="shared" si="69"/>
        <v>6000</v>
      </c>
      <c r="AL41" s="26">
        <f t="shared" si="63"/>
        <v>2250</v>
      </c>
      <c r="AM41" s="26">
        <f t="shared" si="50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4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71">D42*E42*31</f>
        <v>2425.75</v>
      </c>
      <c r="G42" s="28">
        <v>1</v>
      </c>
      <c r="H42" s="26">
        <f t="shared" si="66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 t="shared" si="44"/>
        <v>2347.5</v>
      </c>
      <c r="AA42" s="28">
        <v>1</v>
      </c>
      <c r="AB42" s="26">
        <f t="shared" si="45"/>
        <v>2425.75</v>
      </c>
      <c r="AC42" s="26">
        <f t="shared" si="46"/>
        <v>28639.5</v>
      </c>
      <c r="AD42" s="25">
        <v>0</v>
      </c>
      <c r="AE42" s="25">
        <v>0</v>
      </c>
      <c r="AF42" s="25">
        <f>250</f>
        <v>250</v>
      </c>
      <c r="AG42" s="25">
        <f t="shared" si="67"/>
        <v>1000</v>
      </c>
      <c r="AH42" s="25">
        <f>500</f>
        <v>500</v>
      </c>
      <c r="AI42" s="25">
        <f t="shared" si="47"/>
        <v>2000</v>
      </c>
      <c r="AJ42" s="25">
        <f>1500</f>
        <v>1500</v>
      </c>
      <c r="AK42" s="25">
        <f t="shared" si="48"/>
        <v>6000</v>
      </c>
      <c r="AL42" s="26">
        <f t="shared" si="49"/>
        <v>2250</v>
      </c>
      <c r="AM42" s="26">
        <f t="shared" si="50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1"/>
        <v>42920.41</v>
      </c>
    </row>
    <row r="43" spans="1:43" ht="54.95" customHeight="1" x14ac:dyDescent="0.25">
      <c r="A43" s="7"/>
      <c r="B43" s="16" t="s">
        <v>41</v>
      </c>
      <c r="C43" s="76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58">
        <f>SUM(P27:P42)</f>
        <v>104550.9</v>
      </c>
      <c r="Q43" s="28"/>
      <c r="R43" s="58">
        <f>SUM(R27:R42)</f>
        <v>105789.85</v>
      </c>
      <c r="S43" s="28"/>
      <c r="T43" s="58">
        <f>SUM(T27:T42)</f>
        <v>105868.1</v>
      </c>
      <c r="U43" s="28"/>
      <c r="V43" s="58">
        <f>SUM(V27:V42)</f>
        <v>102515.7</v>
      </c>
      <c r="W43" s="28"/>
      <c r="X43" s="58">
        <f>SUM(X27:X42)</f>
        <v>105932.89</v>
      </c>
      <c r="Y43" s="28"/>
      <c r="Z43" s="58">
        <f>SUM(Z27:Z42)</f>
        <v>102515.7</v>
      </c>
      <c r="AA43" s="28"/>
      <c r="AB43" s="58">
        <f>SUM(AB27:AB42)</f>
        <v>105932.89</v>
      </c>
      <c r="AC43" s="20">
        <f t="shared" ref="AC43:AO43" si="72">SUM(AC28:AC42)</f>
        <v>843038.61</v>
      </c>
      <c r="AD43" s="22">
        <f t="shared" si="72"/>
        <v>775</v>
      </c>
      <c r="AE43" s="22">
        <f t="shared" si="72"/>
        <v>3100</v>
      </c>
      <c r="AF43" s="22">
        <f t="shared" si="72"/>
        <v>8750</v>
      </c>
      <c r="AG43" s="22">
        <f t="shared" si="72"/>
        <v>46250</v>
      </c>
      <c r="AH43" s="22">
        <f t="shared" si="72"/>
        <v>18646</v>
      </c>
      <c r="AI43" s="22">
        <f t="shared" si="72"/>
        <v>74584</v>
      </c>
      <c r="AJ43" s="22">
        <f t="shared" si="72"/>
        <v>52500</v>
      </c>
      <c r="AK43" s="22">
        <f t="shared" si="72"/>
        <v>210000</v>
      </c>
      <c r="AL43" s="20">
        <f t="shared" si="72"/>
        <v>79896</v>
      </c>
      <c r="AM43" s="20">
        <f t="shared" si="72"/>
        <v>330834</v>
      </c>
      <c r="AN43" s="17">
        <f t="shared" si="72"/>
        <v>68702.429999999993</v>
      </c>
      <c r="AO43" s="17">
        <f t="shared" si="72"/>
        <v>92688.86</v>
      </c>
      <c r="AP43" s="17">
        <f>SUM(AP27:AP42)</f>
        <v>3221.9</v>
      </c>
      <c r="AQ43" s="24">
        <f>SUM(AQ28:AQ42)</f>
        <v>1322209.0900000001</v>
      </c>
    </row>
    <row r="44" spans="1:43" ht="54.95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3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>D44*4*31+D44*1*28</f>
        <v>12290.72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 t="shared" si="44"/>
        <v>12129</v>
      </c>
      <c r="AA44" s="67">
        <v>5</v>
      </c>
      <c r="AB44" s="26">
        <f t="shared" si="45"/>
        <v>12533.3</v>
      </c>
      <c r="AC44" s="26">
        <f>F44+H44+J44+L44+N44+P44+R44+T44+V44+X44+Z44+AB44</f>
        <v>147731.22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4">AH44*4</f>
        <v>0</v>
      </c>
      <c r="AJ44" s="25">
        <f>1500</f>
        <v>1500</v>
      </c>
      <c r="AK44" s="25">
        <f>AJ44*5</f>
        <v>7500</v>
      </c>
      <c r="AL44" s="26">
        <f t="shared" ref="AL44:AM46" si="75">AF44+AH44+AJ44</f>
        <v>1750</v>
      </c>
      <c r="AM44" s="26">
        <f t="shared" si="75"/>
        <v>8750</v>
      </c>
      <c r="AN44" s="26">
        <f>(((L44+AD44+AH44+AJ44)/366)*182)</f>
        <v>6777.26</v>
      </c>
      <c r="AO44" s="26">
        <f t="shared" ref="AO44:AO46" si="76">(((AC44+AE44+AI44+AK44)/12))</f>
        <v>12935.94</v>
      </c>
      <c r="AP44" s="33">
        <f t="shared" ref="AP44:AP46" si="77">(((200/366)*182))*2</f>
        <v>198.91</v>
      </c>
      <c r="AQ44" s="40">
        <f>AC44+AE44+AG44+AI44+AK44+AN44+AO44+AP44</f>
        <v>176393.33</v>
      </c>
    </row>
    <row r="45" spans="1:43" ht="54.95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8">D45*E45*31</f>
        <v>4426.8</v>
      </c>
      <c r="G45" s="67">
        <v>2</v>
      </c>
      <c r="H45" s="26">
        <f t="shared" si="73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 t="shared" si="44"/>
        <v>4284</v>
      </c>
      <c r="AA45" s="67">
        <v>2</v>
      </c>
      <c r="AB45" s="26">
        <f t="shared" si="45"/>
        <v>4426.8</v>
      </c>
      <c r="AC45" s="26">
        <f t="shared" ref="AC45" si="79">F45+H45+J45+L45+N45+P45+R45+T45+V45+X45+Z45+AB45</f>
        <v>52264.800000000003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ref="AN45:AN46" si="80">(((L45+AD45+AH45+AJ45)/366)*182)</f>
        <v>2876.2</v>
      </c>
      <c r="AO45" s="26">
        <f t="shared" si="76"/>
        <v>4605.3999999999996</v>
      </c>
      <c r="AP45" s="33">
        <f t="shared" si="77"/>
        <v>198.91</v>
      </c>
      <c r="AQ45" s="40">
        <f t="shared" ref="AQ45" si="81">AC45+AE45+AG45+AI45+AK45+AN45+AO45+AP45</f>
        <v>63445.31</v>
      </c>
    </row>
    <row r="46" spans="1:43" ht="54.95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>D46*1*31+4462.76</f>
        <v>6807.6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si="44"/>
        <v>4538.3999999999996</v>
      </c>
      <c r="AA46" s="67">
        <v>2</v>
      </c>
      <c r="AB46" s="26">
        <f t="shared" si="45"/>
        <v>4689.68</v>
      </c>
      <c r="AC46" s="26">
        <f>F46+H46+J46+L46+N46+P46+R46+T46+V46+X46+Z46+AB46</f>
        <v>46064.76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5"/>
        <v>1750</v>
      </c>
      <c r="AM46" s="26">
        <f t="shared" si="75"/>
        <v>3500</v>
      </c>
      <c r="AN46" s="26">
        <f t="shared" si="80"/>
        <v>1874.3</v>
      </c>
      <c r="AO46" s="26">
        <f t="shared" si="76"/>
        <v>4088.73</v>
      </c>
      <c r="AP46" s="33">
        <f t="shared" si="77"/>
        <v>198.91</v>
      </c>
      <c r="AQ46" s="40">
        <f>AC46+AE46+AG46+AI46+AK46+AN46+AO46+AP46</f>
        <v>55726.7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22">
        <f>SUM(N44:N46)</f>
        <v>19304.939999999999</v>
      </c>
      <c r="O47" s="28"/>
      <c r="P47" s="22">
        <f>SUM(P44:P46)</f>
        <v>18682.2</v>
      </c>
      <c r="Q47" s="28"/>
      <c r="R47" s="22">
        <f>SUM(R44:R46)</f>
        <v>23525.119999999999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20951.400000000001</v>
      </c>
      <c r="AA47" s="28"/>
      <c r="AB47" s="22">
        <f>SUM(AB44:AB46)</f>
        <v>21649.78</v>
      </c>
      <c r="AC47" s="20">
        <f>SUM(AC44:AC46)</f>
        <v>246060.78</v>
      </c>
      <c r="AD47" s="20">
        <f t="shared" ref="AD47:AM47" si="82">SUM(AD46:AD46)</f>
        <v>0</v>
      </c>
      <c r="AE47" s="20">
        <f t="shared" si="82"/>
        <v>0</v>
      </c>
      <c r="AF47" s="20">
        <f t="shared" si="82"/>
        <v>250</v>
      </c>
      <c r="AG47" s="20">
        <f t="shared" si="82"/>
        <v>500</v>
      </c>
      <c r="AH47" s="20">
        <f t="shared" si="82"/>
        <v>0</v>
      </c>
      <c r="AI47" s="20">
        <f t="shared" si="82"/>
        <v>0</v>
      </c>
      <c r="AJ47" s="20">
        <f t="shared" si="82"/>
        <v>1500</v>
      </c>
      <c r="AK47" s="20">
        <f t="shared" si="82"/>
        <v>3000</v>
      </c>
      <c r="AL47" s="20">
        <f t="shared" si="82"/>
        <v>1750</v>
      </c>
      <c r="AM47" s="20">
        <f t="shared" si="82"/>
        <v>3500</v>
      </c>
      <c r="AN47" s="20">
        <f>SUM(AN44:AN46)</f>
        <v>11527.76</v>
      </c>
      <c r="AO47" s="20">
        <f>SUM(AO44:AO46)</f>
        <v>21630.07</v>
      </c>
      <c r="AP47" s="20">
        <f>SUM(AP44:AP46)</f>
        <v>596.73</v>
      </c>
      <c r="AQ47" s="77">
        <f>SUM(AQ44:AQ46)</f>
        <v>295565.34000000003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154508.1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161753.68</v>
      </c>
      <c r="S48" s="21"/>
      <c r="T48" s="21">
        <f>T23+T26+T43+T47</f>
        <v>165396.93</v>
      </c>
      <c r="U48" s="21"/>
      <c r="V48" s="21">
        <f>V23+V26+V43+V47</f>
        <v>163524.29999999999</v>
      </c>
      <c r="W48" s="21"/>
      <c r="X48" s="21">
        <f>X23+X26+X43+X47</f>
        <v>168975.11</v>
      </c>
      <c r="Y48" s="21"/>
      <c r="Z48" s="21">
        <f>Z23+Z26+Z43+Z47</f>
        <v>163524.29999999999</v>
      </c>
      <c r="AA48" s="21"/>
      <c r="AB48" s="21">
        <f t="shared" ref="AB48:AQ48" si="83">AB23+AB26+AB43+AB47</f>
        <v>168975.11</v>
      </c>
      <c r="AC48" s="21">
        <f t="shared" si="83"/>
        <v>1558675.02</v>
      </c>
      <c r="AD48" s="21">
        <f t="shared" si="83"/>
        <v>975</v>
      </c>
      <c r="AE48" s="21">
        <f t="shared" si="83"/>
        <v>3900</v>
      </c>
      <c r="AF48" s="21">
        <f t="shared" si="83"/>
        <v>14250</v>
      </c>
      <c r="AG48" s="21">
        <f t="shared" si="83"/>
        <v>67750</v>
      </c>
      <c r="AH48" s="21">
        <f t="shared" si="83"/>
        <v>28566</v>
      </c>
      <c r="AI48" s="21">
        <f t="shared" si="83"/>
        <v>114264</v>
      </c>
      <c r="AJ48" s="21">
        <f t="shared" si="83"/>
        <v>85500</v>
      </c>
      <c r="AK48" s="21">
        <f t="shared" si="83"/>
        <v>339000</v>
      </c>
      <c r="AL48" s="21">
        <f t="shared" si="83"/>
        <v>128316</v>
      </c>
      <c r="AM48" s="21">
        <f t="shared" si="83"/>
        <v>521014</v>
      </c>
      <c r="AN48" s="21">
        <f t="shared" si="83"/>
        <v>119732.29</v>
      </c>
      <c r="AO48" s="21">
        <f t="shared" si="83"/>
        <v>167323.57</v>
      </c>
      <c r="AP48" s="21">
        <f t="shared" si="83"/>
        <v>5012.09</v>
      </c>
      <c r="AQ48" s="78">
        <f t="shared" si="83"/>
        <v>2368530.2599999998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K17:L17"/>
    <mergeCell ref="S17:T17"/>
    <mergeCell ref="O17:P17"/>
    <mergeCell ref="M17:N17"/>
    <mergeCell ref="W17:X17"/>
  </mergeCells>
  <pageMargins left="0.25" right="0.25" top="0.75" bottom="0.75" header="0.3" footer="0.3"/>
  <pageSetup paperSize="14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Jhonny Edwin Andre Pineda Morales</cp:lastModifiedBy>
  <cp:lastPrinted>2024-09-03T21:40:15Z</cp:lastPrinted>
  <dcterms:created xsi:type="dcterms:W3CDTF">2022-03-31T18:56:32Z</dcterms:created>
  <dcterms:modified xsi:type="dcterms:W3CDTF">2024-09-03T21:40:35Z</dcterms:modified>
</cp:coreProperties>
</file>