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tes\Documents\ANDRE PINEDA\UNIDAD DE INFORMACION PUBLICA\UDAF\OCTUBRE\"/>
    </mc:Choice>
  </mc:AlternateContent>
  <xr:revisionPtr revIDLastSave="0" documentId="13_ncr:1_{17951BBB-37CE-46A6-A11B-D485201751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" sheetId="1" r:id="rId1"/>
  </sheets>
  <definedNames>
    <definedName name="_xlnm.Print_Area" localSheetId="0">'Literal "B"'!$A$1:$AQ$54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1" l="1"/>
  <c r="X24" i="1"/>
  <c r="X19" i="1"/>
  <c r="V30" i="1" l="1"/>
  <c r="V29" i="1"/>
  <c r="V24" i="1"/>
  <c r="V19" i="1"/>
  <c r="T30" i="1" l="1"/>
  <c r="T38" i="1"/>
  <c r="T29" i="1"/>
  <c r="T24" i="1" l="1"/>
  <c r="T21" i="1"/>
  <c r="T22" i="1"/>
  <c r="R44" i="1" l="1"/>
  <c r="R46" i="1"/>
  <c r="R38" i="1"/>
  <c r="R30" i="1"/>
  <c r="R24" i="1"/>
  <c r="R21" i="1"/>
  <c r="P38" i="1"/>
  <c r="P30" i="1"/>
  <c r="P34" i="1"/>
  <c r="R34" i="1"/>
  <c r="T34" i="1"/>
  <c r="V34" i="1"/>
  <c r="Z34" i="1"/>
  <c r="AB34" i="1"/>
  <c r="P46" i="1"/>
  <c r="P25" i="1"/>
  <c r="P24" i="1"/>
  <c r="AC34" i="1" l="1"/>
  <c r="N46" i="1"/>
  <c r="N24" i="1"/>
  <c r="N25" i="1"/>
  <c r="L46" i="1"/>
  <c r="L24" i="1"/>
  <c r="J46" i="1"/>
  <c r="J37" i="1"/>
  <c r="J24" i="1"/>
  <c r="H46" i="1" l="1"/>
  <c r="H29" i="1"/>
  <c r="H24" i="1"/>
  <c r="H22" i="1" l="1"/>
  <c r="AP44" i="1"/>
  <c r="AP46" i="1"/>
  <c r="AP45" i="1"/>
  <c r="AN37" i="1"/>
  <c r="AJ46" i="1"/>
  <c r="AK46" i="1" s="1"/>
  <c r="AJ45" i="1"/>
  <c r="AL45" i="1" s="1"/>
  <c r="AG44" i="1"/>
  <c r="AG46" i="1"/>
  <c r="AG45" i="1"/>
  <c r="V47" i="1"/>
  <c r="T47" i="1"/>
  <c r="AB46" i="1"/>
  <c r="AB45" i="1"/>
  <c r="AB44" i="1"/>
  <c r="AB47" i="1" s="1"/>
  <c r="Z46" i="1"/>
  <c r="Z45" i="1"/>
  <c r="Z44" i="1"/>
  <c r="Z47" i="1" s="1"/>
  <c r="X46" i="1"/>
  <c r="X45" i="1"/>
  <c r="X44" i="1"/>
  <c r="V46" i="1"/>
  <c r="V45" i="1"/>
  <c r="V44" i="1"/>
  <c r="T46" i="1"/>
  <c r="T45" i="1"/>
  <c r="T44" i="1"/>
  <c r="R45" i="1"/>
  <c r="R47" i="1"/>
  <c r="P45" i="1"/>
  <c r="P44" i="1"/>
  <c r="P47" i="1" s="1"/>
  <c r="N45" i="1"/>
  <c r="N44" i="1"/>
  <c r="N47" i="1" s="1"/>
  <c r="L45" i="1"/>
  <c r="AN45" i="1" s="1"/>
  <c r="L44" i="1"/>
  <c r="L47" i="1" s="1"/>
  <c r="J44" i="1"/>
  <c r="J45" i="1"/>
  <c r="H45" i="1"/>
  <c r="H44" i="1"/>
  <c r="H42" i="1"/>
  <c r="E47" i="1"/>
  <c r="F44" i="1"/>
  <c r="F45" i="1"/>
  <c r="F46" i="1"/>
  <c r="F29" i="1"/>
  <c r="E43" i="1"/>
  <c r="AB35" i="1"/>
  <c r="AB41" i="1"/>
  <c r="AB31" i="1"/>
  <c r="AB40" i="1"/>
  <c r="AB33" i="1"/>
  <c r="AB37" i="1"/>
  <c r="AB36" i="1"/>
  <c r="AB39" i="1"/>
  <c r="AB32" i="1"/>
  <c r="AB38" i="1"/>
  <c r="AB30" i="1"/>
  <c r="AB29" i="1"/>
  <c r="AB27" i="1"/>
  <c r="AB42" i="1"/>
  <c r="AB28" i="1"/>
  <c r="Z35" i="1"/>
  <c r="Z41" i="1"/>
  <c r="Z31" i="1"/>
  <c r="Z40" i="1"/>
  <c r="Z33" i="1"/>
  <c r="Z37" i="1"/>
  <c r="Z36" i="1"/>
  <c r="Z39" i="1"/>
  <c r="Z32" i="1"/>
  <c r="Z38" i="1"/>
  <c r="Z30" i="1"/>
  <c r="Z29" i="1"/>
  <c r="Z27" i="1"/>
  <c r="Z42" i="1"/>
  <c r="Z28" i="1"/>
  <c r="X35" i="1"/>
  <c r="X41" i="1"/>
  <c r="X31" i="1"/>
  <c r="X40" i="1"/>
  <c r="X33" i="1"/>
  <c r="X37" i="1"/>
  <c r="X36" i="1"/>
  <c r="X32" i="1"/>
  <c r="X38" i="1"/>
  <c r="X30" i="1"/>
  <c r="X27" i="1"/>
  <c r="X42" i="1"/>
  <c r="X28" i="1"/>
  <c r="V35" i="1"/>
  <c r="V41" i="1"/>
  <c r="V31" i="1"/>
  <c r="V40" i="1"/>
  <c r="V33" i="1"/>
  <c r="V36" i="1"/>
  <c r="V32" i="1"/>
  <c r="V38" i="1"/>
  <c r="V27" i="1"/>
  <c r="V42" i="1"/>
  <c r="V28" i="1"/>
  <c r="T35" i="1"/>
  <c r="T41" i="1"/>
  <c r="T31" i="1"/>
  <c r="T40" i="1"/>
  <c r="T33" i="1"/>
  <c r="T36" i="1"/>
  <c r="T39" i="1"/>
  <c r="T32" i="1"/>
  <c r="T27" i="1"/>
  <c r="T42" i="1"/>
  <c r="T28" i="1"/>
  <c r="R35" i="1"/>
  <c r="R41" i="1"/>
  <c r="R31" i="1"/>
  <c r="R40" i="1"/>
  <c r="R33" i="1"/>
  <c r="R36" i="1"/>
  <c r="R39" i="1"/>
  <c r="R32" i="1"/>
  <c r="R29" i="1"/>
  <c r="R27" i="1"/>
  <c r="R42" i="1"/>
  <c r="R28" i="1"/>
  <c r="P35" i="1"/>
  <c r="P41" i="1"/>
  <c r="P31" i="1"/>
  <c r="P40" i="1"/>
  <c r="P33" i="1"/>
  <c r="P36" i="1"/>
  <c r="P39" i="1"/>
  <c r="P32" i="1"/>
  <c r="P29" i="1"/>
  <c r="P27" i="1"/>
  <c r="P42" i="1"/>
  <c r="P28" i="1"/>
  <c r="N35" i="1"/>
  <c r="N41" i="1"/>
  <c r="N31" i="1"/>
  <c r="N40" i="1"/>
  <c r="N33" i="1"/>
  <c r="N36" i="1"/>
  <c r="N39" i="1"/>
  <c r="N32" i="1"/>
  <c r="N38" i="1"/>
  <c r="N30" i="1"/>
  <c r="N29" i="1"/>
  <c r="N27" i="1"/>
  <c r="N42" i="1"/>
  <c r="N28" i="1"/>
  <c r="L35" i="1"/>
  <c r="L41" i="1"/>
  <c r="AN41" i="1" s="1"/>
  <c r="L31" i="1"/>
  <c r="L40" i="1"/>
  <c r="AN40" i="1" s="1"/>
  <c r="L33" i="1"/>
  <c r="L36" i="1"/>
  <c r="L39" i="1"/>
  <c r="AN39" i="1" s="1"/>
  <c r="L32" i="1"/>
  <c r="AN32" i="1" s="1"/>
  <c r="L38" i="1"/>
  <c r="L30" i="1"/>
  <c r="L29" i="1"/>
  <c r="L27" i="1"/>
  <c r="L42" i="1"/>
  <c r="L28" i="1"/>
  <c r="J35" i="1"/>
  <c r="J41" i="1"/>
  <c r="J31" i="1"/>
  <c r="J40" i="1"/>
  <c r="J33" i="1"/>
  <c r="J36" i="1"/>
  <c r="J39" i="1"/>
  <c r="J32" i="1"/>
  <c r="J38" i="1"/>
  <c r="J30" i="1"/>
  <c r="J29" i="1"/>
  <c r="J27" i="1"/>
  <c r="J42" i="1"/>
  <c r="J28" i="1"/>
  <c r="H35" i="1"/>
  <c r="H41" i="1"/>
  <c r="H31" i="1"/>
  <c r="H40" i="1"/>
  <c r="H33" i="1"/>
  <c r="H37" i="1"/>
  <c r="H36" i="1"/>
  <c r="H39" i="1"/>
  <c r="H32" i="1"/>
  <c r="H38" i="1"/>
  <c r="H30" i="1"/>
  <c r="H27" i="1"/>
  <c r="H28" i="1"/>
  <c r="F35" i="1"/>
  <c r="F41" i="1"/>
  <c r="F31" i="1"/>
  <c r="F40" i="1"/>
  <c r="F33" i="1"/>
  <c r="F37" i="1"/>
  <c r="F36" i="1"/>
  <c r="F39" i="1"/>
  <c r="F32" i="1"/>
  <c r="F38" i="1"/>
  <c r="F30" i="1"/>
  <c r="F27" i="1"/>
  <c r="F42" i="1"/>
  <c r="F28" i="1"/>
  <c r="AP25" i="1"/>
  <c r="AP24" i="1"/>
  <c r="AB24" i="1"/>
  <c r="AB26" i="1" s="1"/>
  <c r="Z24" i="1"/>
  <c r="X26" i="1"/>
  <c r="V26" i="1"/>
  <c r="T26" i="1"/>
  <c r="R26" i="1"/>
  <c r="P26" i="1"/>
  <c r="N26" i="1"/>
  <c r="J26" i="1"/>
  <c r="H26" i="1"/>
  <c r="F24" i="1"/>
  <c r="F26" i="1" s="1"/>
  <c r="AM46" i="1" l="1"/>
  <c r="AL46" i="1"/>
  <c r="AC46" i="1"/>
  <c r="AC45" i="1"/>
  <c r="AN46" i="1"/>
  <c r="AP47" i="1"/>
  <c r="T43" i="1"/>
  <c r="F47" i="1"/>
  <c r="H47" i="1"/>
  <c r="X47" i="1"/>
  <c r="AC44" i="1"/>
  <c r="AC47" i="1" s="1"/>
  <c r="R43" i="1"/>
  <c r="AK45" i="1"/>
  <c r="AM45" i="1" s="1"/>
  <c r="J47" i="1"/>
  <c r="J43" i="1"/>
  <c r="AO46" i="1"/>
  <c r="F43" i="1"/>
  <c r="N43" i="1"/>
  <c r="H43" i="1"/>
  <c r="Z43" i="1"/>
  <c r="L43" i="1"/>
  <c r="AB43" i="1"/>
  <c r="V43" i="1"/>
  <c r="X43" i="1"/>
  <c r="P43" i="1"/>
  <c r="L26" i="1"/>
  <c r="AC24" i="1"/>
  <c r="Z26" i="1"/>
  <c r="AP19" i="1"/>
  <c r="AP22" i="1"/>
  <c r="AP21" i="1"/>
  <c r="AP20" i="1"/>
  <c r="AO45" i="1" l="1"/>
  <c r="AQ45" i="1" s="1"/>
  <c r="AQ46" i="1"/>
  <c r="AP23" i="1"/>
  <c r="AB22" i="1"/>
  <c r="AB21" i="1"/>
  <c r="AB20" i="1"/>
  <c r="AB19" i="1"/>
  <c r="Z22" i="1"/>
  <c r="Z21" i="1"/>
  <c r="Z20" i="1"/>
  <c r="Z19" i="1"/>
  <c r="X22" i="1"/>
  <c r="X21" i="1"/>
  <c r="X20" i="1"/>
  <c r="V22" i="1"/>
  <c r="V21" i="1"/>
  <c r="V20" i="1"/>
  <c r="T20" i="1"/>
  <c r="T23" i="1" s="1"/>
  <c r="R22" i="1"/>
  <c r="R20" i="1"/>
  <c r="R19" i="1"/>
  <c r="P22" i="1"/>
  <c r="P21" i="1"/>
  <c r="P20" i="1"/>
  <c r="P19" i="1"/>
  <c r="N22" i="1"/>
  <c r="N21" i="1"/>
  <c r="N20" i="1"/>
  <c r="N19" i="1"/>
  <c r="L22" i="1"/>
  <c r="L21" i="1"/>
  <c r="L20" i="1"/>
  <c r="L19" i="1"/>
  <c r="J22" i="1"/>
  <c r="J21" i="1"/>
  <c r="J20" i="1"/>
  <c r="J19" i="1"/>
  <c r="H21" i="1"/>
  <c r="H20" i="1"/>
  <c r="H19" i="1"/>
  <c r="F22" i="1"/>
  <c r="F21" i="1"/>
  <c r="F20" i="1"/>
  <c r="F19" i="1"/>
  <c r="H23" i="1" l="1"/>
  <c r="H48" i="1" s="1"/>
  <c r="AC21" i="1"/>
  <c r="AC22" i="1"/>
  <c r="AC20" i="1"/>
  <c r="Z23" i="1"/>
  <c r="AB23" i="1"/>
  <c r="R23" i="1"/>
  <c r="J23" i="1"/>
  <c r="F23" i="1"/>
  <c r="F48" i="1" s="1"/>
  <c r="AC19" i="1"/>
  <c r="AC23" i="1" l="1"/>
  <c r="AC35" i="1" l="1"/>
  <c r="AC41" i="1"/>
  <c r="AC31" i="1"/>
  <c r="AC40" i="1"/>
  <c r="AC33" i="1"/>
  <c r="AC36" i="1"/>
  <c r="AC39" i="1"/>
  <c r="AC32" i="1"/>
  <c r="AC38" i="1"/>
  <c r="AC27" i="1"/>
  <c r="AC42" i="1"/>
  <c r="AC28" i="1"/>
  <c r="AC25" i="1"/>
  <c r="AC26" i="1" l="1"/>
  <c r="AB48" i="1" l="1"/>
  <c r="AF19" i="1"/>
  <c r="X23" i="1" l="1"/>
  <c r="Z48" i="1"/>
  <c r="AH47" i="1"/>
  <c r="AF47" i="1"/>
  <c r="AE47" i="1"/>
  <c r="AD47" i="1"/>
  <c r="AJ44" i="1"/>
  <c r="AI44" i="1"/>
  <c r="AG47" i="1"/>
  <c r="AI47" i="1" l="1"/>
  <c r="AL44" i="1"/>
  <c r="AK44" i="1"/>
  <c r="AM44" i="1" s="1"/>
  <c r="AN44" i="1"/>
  <c r="AN47" i="1" s="1"/>
  <c r="X48" i="1"/>
  <c r="AJ47" i="1"/>
  <c r="AL47" i="1"/>
  <c r="AO44" i="1" l="1"/>
  <c r="AO47" i="1" s="1"/>
  <c r="AK47" i="1"/>
  <c r="AM47" i="1"/>
  <c r="AQ44" i="1" l="1"/>
  <c r="AQ47" i="1" s="1"/>
  <c r="V23" i="1"/>
  <c r="V48" i="1" l="1"/>
  <c r="AC37" i="1" l="1"/>
  <c r="T48" i="1" l="1"/>
  <c r="R48" i="1" l="1"/>
  <c r="P23" i="1" l="1"/>
  <c r="N23" i="1"/>
  <c r="P48" i="1" l="1"/>
  <c r="N48" i="1"/>
  <c r="E26" i="1" l="1"/>
  <c r="AP37" i="1"/>
  <c r="AL37" i="1"/>
  <c r="AK37" i="1"/>
  <c r="AI37" i="1"/>
  <c r="AG37" i="1"/>
  <c r="AE37" i="1"/>
  <c r="AP33" i="1"/>
  <c r="AJ33" i="1"/>
  <c r="AK33" i="1" s="1"/>
  <c r="AH33" i="1"/>
  <c r="AN33" i="1" s="1"/>
  <c r="AF33" i="1"/>
  <c r="AG33" i="1" s="1"/>
  <c r="AE33" i="1"/>
  <c r="AE40" i="1"/>
  <c r="AP40" i="1"/>
  <c r="AL40" i="1"/>
  <c r="AK40" i="1"/>
  <c r="AI40" i="1"/>
  <c r="AG40" i="1"/>
  <c r="AP41" i="1"/>
  <c r="AL41" i="1"/>
  <c r="AK41" i="1"/>
  <c r="AI41" i="1"/>
  <c r="AG41" i="1"/>
  <c r="AE41" i="1"/>
  <c r="AO41" i="1" s="1"/>
  <c r="AP31" i="1"/>
  <c r="AJ31" i="1"/>
  <c r="AK31" i="1" s="1"/>
  <c r="AH31" i="1"/>
  <c r="AI31" i="1" s="1"/>
  <c r="AF31" i="1"/>
  <c r="AG31" i="1" s="1"/>
  <c r="AD31" i="1"/>
  <c r="AP35" i="1"/>
  <c r="AJ35" i="1"/>
  <c r="AK35" i="1" s="1"/>
  <c r="AH35" i="1"/>
  <c r="AI35" i="1" s="1"/>
  <c r="AF35" i="1"/>
  <c r="AD35" i="1"/>
  <c r="AP36" i="1"/>
  <c r="AK36" i="1"/>
  <c r="AH36" i="1"/>
  <c r="AG36" i="1"/>
  <c r="AE36" i="1"/>
  <c r="AP39" i="1"/>
  <c r="AK39" i="1"/>
  <c r="AI39" i="1"/>
  <c r="AF39" i="1"/>
  <c r="AL39" i="1" s="1"/>
  <c r="AE39" i="1"/>
  <c r="AO39" i="1" s="1"/>
  <c r="AP32" i="1"/>
  <c r="AL32" i="1"/>
  <c r="AK32" i="1"/>
  <c r="AI32" i="1"/>
  <c r="AO32" i="1" s="1"/>
  <c r="AG32" i="1"/>
  <c r="AP38" i="1"/>
  <c r="AJ38" i="1"/>
  <c r="AH38" i="1"/>
  <c r="AI38" i="1" s="1"/>
  <c r="AF38" i="1"/>
  <c r="AG38" i="1" s="1"/>
  <c r="AD38" i="1"/>
  <c r="AP29" i="1"/>
  <c r="AP30" i="1"/>
  <c r="AJ30" i="1"/>
  <c r="AH30" i="1"/>
  <c r="AI30" i="1" s="1"/>
  <c r="AF30" i="1"/>
  <c r="AG30" i="1" s="1"/>
  <c r="AD30" i="1"/>
  <c r="AH29" i="1"/>
  <c r="AI29" i="1" s="1"/>
  <c r="AJ29" i="1"/>
  <c r="AK29" i="1" s="1"/>
  <c r="AF29" i="1"/>
  <c r="AG29" i="1" s="1"/>
  <c r="AD29" i="1"/>
  <c r="AH27" i="1"/>
  <c r="AI27" i="1" s="1"/>
  <c r="AP27" i="1"/>
  <c r="AJ27" i="1"/>
  <c r="AK27" i="1" s="1"/>
  <c r="AF27" i="1"/>
  <c r="AG27" i="1" s="1"/>
  <c r="AD27" i="1"/>
  <c r="AP42" i="1"/>
  <c r="AJ42" i="1"/>
  <c r="AK42" i="1" s="1"/>
  <c r="AH42" i="1"/>
  <c r="AF42" i="1"/>
  <c r="AG42" i="1" s="1"/>
  <c r="AP28" i="1"/>
  <c r="AJ28" i="1"/>
  <c r="AH28" i="1"/>
  <c r="AF28" i="1"/>
  <c r="AJ25" i="1"/>
  <c r="AJ24" i="1"/>
  <c r="AH25" i="1"/>
  <c r="AN25" i="1" s="1"/>
  <c r="AH24" i="1"/>
  <c r="AF25" i="1"/>
  <c r="AG25" i="1" s="1"/>
  <c r="AF24" i="1"/>
  <c r="AD24" i="1"/>
  <c r="AO37" i="1" l="1"/>
  <c r="AI42" i="1"/>
  <c r="AO42" i="1" s="1"/>
  <c r="AN42" i="1"/>
  <c r="AE38" i="1"/>
  <c r="AN38" i="1"/>
  <c r="AL36" i="1"/>
  <c r="AN36" i="1"/>
  <c r="AN24" i="1"/>
  <c r="AE31" i="1"/>
  <c r="AO31" i="1" s="1"/>
  <c r="AN31" i="1"/>
  <c r="AE30" i="1"/>
  <c r="AN30" i="1"/>
  <c r="AE29" i="1"/>
  <c r="AE43" i="1" s="1"/>
  <c r="AN29" i="1"/>
  <c r="AE27" i="1"/>
  <c r="AO27" i="1" s="1"/>
  <c r="AN27" i="1"/>
  <c r="AE35" i="1"/>
  <c r="AO35" i="1" s="1"/>
  <c r="AN35" i="1"/>
  <c r="AO40" i="1"/>
  <c r="AI28" i="1"/>
  <c r="AN28" i="1"/>
  <c r="AP43" i="1"/>
  <c r="AE24" i="1"/>
  <c r="AM32" i="1"/>
  <c r="AF26" i="1"/>
  <c r="AH26" i="1"/>
  <c r="AM41" i="1"/>
  <c r="AL25" i="1"/>
  <c r="AL31" i="1"/>
  <c r="AK25" i="1"/>
  <c r="AL24" i="1"/>
  <c r="AL28" i="1"/>
  <c r="AL35" i="1"/>
  <c r="AL30" i="1"/>
  <c r="AL29" i="1"/>
  <c r="AM37" i="1"/>
  <c r="AM29" i="1"/>
  <c r="AJ43" i="1"/>
  <c r="AI24" i="1"/>
  <c r="AM42" i="1"/>
  <c r="AJ26" i="1"/>
  <c r="AM40" i="1"/>
  <c r="AD43" i="1"/>
  <c r="AM31" i="1"/>
  <c r="AL42" i="1"/>
  <c r="AK30" i="1"/>
  <c r="AM30" i="1" s="1"/>
  <c r="AL38" i="1"/>
  <c r="AF43" i="1"/>
  <c r="AG39" i="1"/>
  <c r="AM39" i="1" s="1"/>
  <c r="AI25" i="1"/>
  <c r="AK28" i="1"/>
  <c r="AH43" i="1"/>
  <c r="AG28" i="1"/>
  <c r="AK38" i="1"/>
  <c r="AM38" i="1" s="1"/>
  <c r="AK24" i="1"/>
  <c r="AG35" i="1"/>
  <c r="AM35" i="1" s="1"/>
  <c r="AG24" i="1"/>
  <c r="AI36" i="1"/>
  <c r="AM36" i="1" s="1"/>
  <c r="AI33" i="1"/>
  <c r="AO33" i="1" s="1"/>
  <c r="AL33" i="1"/>
  <c r="AM27" i="1"/>
  <c r="AL27" i="1"/>
  <c r="AO36" i="1" l="1"/>
  <c r="AO24" i="1"/>
  <c r="AQ24" i="1" s="1"/>
  <c r="AO28" i="1"/>
  <c r="AO38" i="1"/>
  <c r="AO25" i="1"/>
  <c r="AQ25" i="1"/>
  <c r="AG43" i="1"/>
  <c r="AI26" i="1"/>
  <c r="AN43" i="1"/>
  <c r="AQ42" i="1"/>
  <c r="AK26" i="1"/>
  <c r="AM25" i="1"/>
  <c r="AL43" i="1"/>
  <c r="AK43" i="1"/>
  <c r="AM28" i="1"/>
  <c r="AQ28" i="1"/>
  <c r="AG26" i="1"/>
  <c r="AM24" i="1"/>
  <c r="AI43" i="1"/>
  <c r="AM33" i="1"/>
  <c r="AM26" i="1" l="1"/>
  <c r="AM43" i="1"/>
  <c r="AJ22" i="1"/>
  <c r="AN22" i="1" s="1"/>
  <c r="AJ21" i="1"/>
  <c r="AK21" i="1" s="1"/>
  <c r="AJ20" i="1"/>
  <c r="AK20" i="1" s="1"/>
  <c r="AJ19" i="1"/>
  <c r="AK19" i="1" s="1"/>
  <c r="E23" i="1"/>
  <c r="E48" i="1" s="1"/>
  <c r="AF22" i="1"/>
  <c r="AF21" i="1"/>
  <c r="AG21" i="1" s="1"/>
  <c r="AF20" i="1"/>
  <c r="AG20" i="1" s="1"/>
  <c r="AI22" i="1"/>
  <c r="AH21" i="1"/>
  <c r="AH20" i="1"/>
  <c r="AH19" i="1"/>
  <c r="AN19" i="1" s="1"/>
  <c r="AI21" i="1" l="1"/>
  <c r="AO21" i="1" s="1"/>
  <c r="AN21" i="1"/>
  <c r="AI20" i="1"/>
  <c r="AO20" i="1" s="1"/>
  <c r="AN20" i="1"/>
  <c r="AG19" i="1"/>
  <c r="AL19" i="1"/>
  <c r="AI19" i="1"/>
  <c r="AO19" i="1" s="1"/>
  <c r="AL21" i="1"/>
  <c r="AL20" i="1"/>
  <c r="AG22" i="1"/>
  <c r="AL22" i="1"/>
  <c r="AK22" i="1"/>
  <c r="AK23" i="1" s="1"/>
  <c r="AK48" i="1" s="1"/>
  <c r="AF23" i="1"/>
  <c r="AF48" i="1" s="1"/>
  <c r="AJ23" i="1"/>
  <c r="AJ48" i="1" s="1"/>
  <c r="AH23" i="1"/>
  <c r="AH48" i="1" s="1"/>
  <c r="AM21" i="1" l="1"/>
  <c r="AM20" i="1"/>
  <c r="AN23" i="1"/>
  <c r="AQ19" i="1"/>
  <c r="AO22" i="1"/>
  <c r="AM19" i="1"/>
  <c r="AI23" i="1"/>
  <c r="AI48" i="1" s="1"/>
  <c r="AM22" i="1"/>
  <c r="AG23" i="1"/>
  <c r="AG48" i="1" s="1"/>
  <c r="AQ27" i="1" l="1"/>
  <c r="AP26" i="1"/>
  <c r="AP48" i="1" s="1"/>
  <c r="AL26" i="1" l="1"/>
  <c r="AM23" i="1"/>
  <c r="AM48" i="1" s="1"/>
  <c r="AD26" i="1"/>
  <c r="AD23" i="1"/>
  <c r="AE23" i="1"/>
  <c r="AD48" i="1" l="1"/>
  <c r="AE26" i="1"/>
  <c r="AE48" i="1" s="1"/>
  <c r="AL23" i="1"/>
  <c r="AL48" i="1" s="1"/>
  <c r="AC29" i="1"/>
  <c r="AO29" i="1" s="1"/>
  <c r="AC30" i="1"/>
  <c r="AO30" i="1" s="1"/>
  <c r="AC43" i="1" l="1"/>
  <c r="AC48" i="1" s="1"/>
  <c r="AQ33" i="1"/>
  <c r="AQ32" i="1"/>
  <c r="AQ36" i="1"/>
  <c r="AQ30" i="1"/>
  <c r="AQ37" i="1"/>
  <c r="AQ39" i="1"/>
  <c r="AQ35" i="1"/>
  <c r="AQ41" i="1"/>
  <c r="AQ31" i="1"/>
  <c r="AQ40" i="1"/>
  <c r="J48" i="1"/>
  <c r="AN26" i="1"/>
  <c r="AN48" i="1" s="1"/>
  <c r="L23" i="1"/>
  <c r="L48" i="1" l="1"/>
  <c r="AQ29" i="1"/>
  <c r="AQ20" i="1"/>
  <c r="AQ38" i="1"/>
  <c r="AQ22" i="1"/>
  <c r="AQ26" i="1"/>
  <c r="AO26" i="1"/>
  <c r="AQ43" i="1" l="1"/>
  <c r="AO43" i="1"/>
  <c r="AO23" i="1"/>
  <c r="AQ21" i="1"/>
  <c r="AQ23" i="1" s="1"/>
  <c r="AQ48" i="1" l="1"/>
  <c r="AO48" i="1"/>
</calcChain>
</file>

<file path=xl/sharedStrings.xml><?xml version="1.0" encoding="utf-8"?>
<sst xmlns="http://schemas.openxmlformats.org/spreadsheetml/2006/main" count="143" uniqueCount="68">
  <si>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</si>
  <si>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</si>
  <si>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</si>
  <si>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</si>
  <si>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</si>
  <si>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</si>
  <si>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</si>
  <si>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</si>
  <si>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</si>
  <si>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</si>
  <si>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</si>
  <si>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</si>
  <si>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</si>
  <si>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</si>
  <si>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</si>
  <si>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</si>
  <si>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</si>
  <si>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</si>
  <si>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</si>
  <si>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</si>
  <si>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</si>
  <si>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</si>
  <si>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</si>
  <si>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</si>
  <si>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</si>
  <si>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</si>
  <si>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</si>
  <si>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</si>
  <si>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</si>
  <si>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</si>
  <si>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</si>
  <si>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</si>
  <si>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</si>
  <si>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TRABAJADORA VIVANDERA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</si>
  <si>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</si>
  <si>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</si>
  <si>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</si>
  <si>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</si>
  <si>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</si>
  <si>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</si>
  <si>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</si>
  <si>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</si>
  <si>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</si>
  <si>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</si>
  <si>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</si>
  <si>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</si>
  <si>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</si>
  <si>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</si>
  <si>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</si>
  <si>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</si>
  <si>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</si>
  <si>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</si>
  <si>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</si>
  <si>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</si>
  <si>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</si>
  <si>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</si>
  <si>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</si>
  <si>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</si>
  <si>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</si>
  <si>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</si>
  <si>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</si>
  <si>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</si>
  <si>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</si>
  <si>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</si>
  <si>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</si>
  <si>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29</t>
  </si>
  <si>
    <t>ELECTRICISTA III</t>
  </si>
  <si>
    <t>Mes/ año: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</si>
</sst>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2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44" fontId="0" fillId="0" borderId="0" xfId="1" applyFont="1" applyFill="1"/>
    <xf numFmtId="44" fontId="10" fillId="0" borderId="5" xfId="2" applyNumberFormat="1" applyFont="1" applyBorder="1" applyAlignment="1">
      <alignment horizontal="center"/>
    </xf>
    <xf numFmtId="44" fontId="2" fillId="0" borderId="6" xfId="1" applyFont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  <xf numFmtId="44" fontId="8" fillId="0" borderId="5" xfId="2" applyNumberFormat="1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41</xdr:col>
      <xdr:colOff>13607</xdr:colOff>
      <xdr:row>1</xdr:row>
      <xdr:rowOff>13608</xdr:rowOff>
    </xdr:from>
    <xdr:to>
      <xdr:col>42</xdr:col>
      <xdr:colOff>1401535</xdr:colOff>
      <xdr:row>6</xdr:row>
      <xdr:rowOff>105414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66071" y="204108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898072</xdr:colOff>
      <xdr:row>7</xdr:row>
      <xdr:rowOff>81642</xdr:rowOff>
    </xdr:from>
    <xdr:to>
      <xdr:col>42</xdr:col>
      <xdr:colOff>910317</xdr:colOff>
      <xdr:row>11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BE0431-2A98-47BF-8D65-B3105AC7811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50536" y="1564821"/>
          <a:ext cx="1590674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topLeftCell="Y1" zoomScale="70" zoomScaleNormal="70" zoomScaleSheetLayoutView="70" zoomScalePageLayoutView="85" workbookViewId="0">
      <pane ySplit="18" topLeftCell="A41" activePane="bottomLeft" state="frozen"/>
      <selection pane="bottomLeft" activeCell="AO11" sqref="AO11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D7" s="59"/>
    </row>
    <row r="8" spans="1:43" ht="18.75" customHeight="1" x14ac:dyDescent="0.25">
      <c r="A8" s="81" t="s">
        <v>19</v>
      </c>
      <c r="B8" s="81"/>
      <c r="C8" s="81"/>
      <c r="D8" s="81"/>
      <c r="E8" s="81"/>
      <c r="F8" s="81"/>
      <c r="G8" s="81"/>
    </row>
    <row r="9" spans="1:43" ht="23.25" x14ac:dyDescent="0.25">
      <c r="A9" s="8" t="s">
        <v>20</v>
      </c>
      <c r="B9" s="9"/>
      <c r="C9" s="10"/>
      <c r="D9"/>
      <c r="E9"/>
      <c r="F9"/>
      <c r="G9"/>
      <c r="V9" s="75"/>
    </row>
    <row r="10" spans="1:43" ht="19.5" thickBot="1" x14ac:dyDescent="0.3">
      <c r="A10" s="82" t="s">
        <v>51</v>
      </c>
      <c r="B10" s="82"/>
      <c r="C10" s="82"/>
      <c r="D10"/>
      <c r="E10"/>
      <c r="F10"/>
      <c r="G10"/>
      <c r="V10" s="75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52</v>
      </c>
      <c r="B11" s="12"/>
      <c r="C11" s="12"/>
      <c r="D11"/>
      <c r="E11"/>
      <c r="F11"/>
      <c r="G11"/>
      <c r="K11" s="96"/>
      <c r="L11" s="97"/>
      <c r="M11" s="60"/>
      <c r="N11" s="60"/>
      <c r="O11" s="60"/>
      <c r="P11" s="60"/>
      <c r="Q11" s="60"/>
      <c r="R11" s="60"/>
      <c r="S11" s="60"/>
      <c r="T11" s="60"/>
      <c r="U11" s="60"/>
      <c r="V11" s="75"/>
      <c r="W11" s="60"/>
      <c r="X11" s="60"/>
      <c r="Y11" s="60"/>
      <c r="Z11" s="60"/>
      <c r="AA11" s="60"/>
      <c r="AB11" s="60"/>
      <c r="AC11" s="54"/>
      <c r="AE11" s="23"/>
      <c r="AF11" s="23"/>
      <c r="AG11" s="23"/>
      <c r="AH11" s="23"/>
      <c r="AI11" s="23"/>
      <c r="AJ11" s="23"/>
      <c r="AK11" s="23"/>
      <c r="AL11" s="23"/>
    </row>
    <row r="12" spans="1:43" s="68" customFormat="1" ht="23.25" x14ac:dyDescent="0.35">
      <c r="A12" s="83" t="s">
        <v>67</v>
      </c>
      <c r="B12" s="83"/>
      <c r="C12" s="83"/>
      <c r="H12" s="69"/>
      <c r="I12" s="70"/>
      <c r="J12" s="69"/>
      <c r="K12" s="71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5"/>
      <c r="W12" s="72"/>
      <c r="X12" s="72"/>
      <c r="Y12" s="72"/>
      <c r="Z12" s="72"/>
      <c r="AA12" s="72"/>
      <c r="AB12" s="72"/>
      <c r="AC12" s="72"/>
      <c r="AE12" s="73"/>
      <c r="AF12" s="73"/>
      <c r="AG12" s="73"/>
      <c r="AH12" s="73"/>
      <c r="AI12" s="73"/>
      <c r="AJ12" s="73"/>
      <c r="AK12" s="73"/>
      <c r="AN12" s="69"/>
      <c r="AO12" s="69"/>
      <c r="AP12" s="69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61" customFormat="1" ht="15.75" thickBot="1" x14ac:dyDescent="0.3">
      <c r="C14" s="18"/>
      <c r="D14" s="62"/>
      <c r="F14" s="62">
        <v>31</v>
      </c>
      <c r="H14" s="62" t="s">
        <v>65</v>
      </c>
      <c r="I14" s="62"/>
      <c r="J14" s="62" t="s">
        <v>26</v>
      </c>
      <c r="L14" s="62" t="s">
        <v>27</v>
      </c>
      <c r="M14" s="62"/>
      <c r="N14" s="62" t="s">
        <v>26</v>
      </c>
      <c r="O14" s="62"/>
      <c r="P14" s="62" t="s">
        <v>27</v>
      </c>
      <c r="Q14" s="62"/>
      <c r="R14" s="62" t="s">
        <v>26</v>
      </c>
      <c r="S14" s="62"/>
      <c r="T14" s="62" t="s">
        <v>26</v>
      </c>
      <c r="U14" s="62"/>
      <c r="V14" s="62" t="s">
        <v>27</v>
      </c>
      <c r="W14" s="62"/>
      <c r="X14" s="62" t="s">
        <v>26</v>
      </c>
      <c r="Y14" s="62"/>
      <c r="Z14" s="62" t="s">
        <v>27</v>
      </c>
      <c r="AA14" s="62"/>
      <c r="AB14" s="62" t="s">
        <v>26</v>
      </c>
      <c r="AC14" s="62"/>
      <c r="AD14" s="63"/>
      <c r="AN14" s="62"/>
      <c r="AO14" s="62"/>
      <c r="AP14" s="62"/>
    </row>
    <row r="15" spans="1:43" s="13" customFormat="1" ht="35.1" customHeight="1" x14ac:dyDescent="0.25">
      <c r="A15" s="84" t="s">
        <v>0</v>
      </c>
      <c r="B15" s="86" t="s">
        <v>1</v>
      </c>
      <c r="C15" s="88" t="s">
        <v>2</v>
      </c>
      <c r="D15" s="90" t="s">
        <v>3</v>
      </c>
      <c r="E15" s="92" t="s">
        <v>4</v>
      </c>
      <c r="F15" s="92"/>
      <c r="G15" s="92"/>
      <c r="H15" s="92"/>
      <c r="I15" s="92"/>
      <c r="J15" s="92"/>
      <c r="K15" s="92"/>
      <c r="L15" s="92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52"/>
      <c r="AD15" s="102" t="s">
        <v>5</v>
      </c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98" t="s">
        <v>6</v>
      </c>
    </row>
    <row r="16" spans="1:43" s="13" customFormat="1" ht="35.1" customHeight="1" x14ac:dyDescent="0.25">
      <c r="A16" s="85"/>
      <c r="B16" s="87"/>
      <c r="C16" s="89"/>
      <c r="D16" s="91"/>
      <c r="E16" s="94"/>
      <c r="F16" s="94"/>
      <c r="G16" s="94"/>
      <c r="H16" s="94"/>
      <c r="I16" s="94"/>
      <c r="J16" s="94"/>
      <c r="K16" s="94"/>
      <c r="L16" s="94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53"/>
      <c r="AD16" s="100" t="s">
        <v>7</v>
      </c>
      <c r="AE16" s="100"/>
      <c r="AF16" s="100" t="s">
        <v>8</v>
      </c>
      <c r="AG16" s="100"/>
      <c r="AH16" s="100" t="s">
        <v>8</v>
      </c>
      <c r="AI16" s="100"/>
      <c r="AJ16" s="100" t="s">
        <v>8</v>
      </c>
      <c r="AK16" s="100"/>
      <c r="AL16" s="100" t="s">
        <v>48</v>
      </c>
      <c r="AM16" s="100"/>
      <c r="AN16" s="101" t="s">
        <v>9</v>
      </c>
      <c r="AO16" s="101" t="s">
        <v>10</v>
      </c>
      <c r="AP16" s="101" t="s">
        <v>11</v>
      </c>
      <c r="AQ16" s="99"/>
    </row>
    <row r="17" spans="1:43" s="13" customFormat="1" ht="35.1" customHeight="1" x14ac:dyDescent="0.25">
      <c r="A17" s="85"/>
      <c r="B17" s="87"/>
      <c r="C17" s="89"/>
      <c r="D17" s="91"/>
      <c r="E17" s="80" t="s">
        <v>12</v>
      </c>
      <c r="F17" s="80"/>
      <c r="G17" s="80" t="s">
        <v>13</v>
      </c>
      <c r="H17" s="80"/>
      <c r="I17" s="80" t="s">
        <v>14</v>
      </c>
      <c r="J17" s="80"/>
      <c r="K17" s="80" t="s">
        <v>15</v>
      </c>
      <c r="L17" s="80"/>
      <c r="M17" s="80" t="s">
        <v>53</v>
      </c>
      <c r="N17" s="80"/>
      <c r="O17" s="80" t="s">
        <v>54</v>
      </c>
      <c r="P17" s="80"/>
      <c r="Q17" s="80" t="s">
        <v>55</v>
      </c>
      <c r="R17" s="80"/>
      <c r="S17" s="80" t="s">
        <v>56</v>
      </c>
      <c r="T17" s="80"/>
      <c r="U17" s="80" t="s">
        <v>57</v>
      </c>
      <c r="V17" s="80"/>
      <c r="W17" s="80" t="s">
        <v>62</v>
      </c>
      <c r="X17" s="80"/>
      <c r="Y17" s="80" t="s">
        <v>63</v>
      </c>
      <c r="Z17" s="80"/>
      <c r="AA17" s="80" t="s">
        <v>64</v>
      </c>
      <c r="AB17" s="80"/>
      <c r="AC17" s="51" t="s">
        <v>50</v>
      </c>
      <c r="AD17" s="87" t="s">
        <v>43</v>
      </c>
      <c r="AE17" s="87" t="s">
        <v>44</v>
      </c>
      <c r="AF17" s="51" t="s">
        <v>43</v>
      </c>
      <c r="AG17" s="51" t="s">
        <v>44</v>
      </c>
      <c r="AH17" s="51" t="s">
        <v>43</v>
      </c>
      <c r="AI17" s="51" t="s">
        <v>44</v>
      </c>
      <c r="AJ17" s="51" t="s">
        <v>43</v>
      </c>
      <c r="AK17" s="51" t="s">
        <v>44</v>
      </c>
      <c r="AL17" s="51" t="s">
        <v>43</v>
      </c>
      <c r="AM17" s="51" t="s">
        <v>44</v>
      </c>
      <c r="AN17" s="101"/>
      <c r="AO17" s="101"/>
      <c r="AP17" s="101"/>
      <c r="AQ17" s="99"/>
    </row>
    <row r="18" spans="1:43" s="13" customFormat="1" ht="45" customHeight="1" x14ac:dyDescent="0.25">
      <c r="A18" s="85"/>
      <c r="B18" s="87"/>
      <c r="C18" s="89"/>
      <c r="D18" s="91"/>
      <c r="E18" s="29" t="s">
        <v>16</v>
      </c>
      <c r="F18" s="30" t="s">
        <v>6</v>
      </c>
      <c r="G18" s="29" t="s">
        <v>16</v>
      </c>
      <c r="H18" s="30" t="s">
        <v>6</v>
      </c>
      <c r="I18" s="31" t="s">
        <v>16</v>
      </c>
      <c r="J18" s="30" t="s">
        <v>6</v>
      </c>
      <c r="K18" s="29" t="s">
        <v>16</v>
      </c>
      <c r="L18" s="30" t="s">
        <v>6</v>
      </c>
      <c r="M18" s="29" t="s">
        <v>16</v>
      </c>
      <c r="N18" s="30" t="s">
        <v>6</v>
      </c>
      <c r="O18" s="29" t="s">
        <v>16</v>
      </c>
      <c r="P18" s="30" t="s">
        <v>6</v>
      </c>
      <c r="Q18" s="29" t="s">
        <v>16</v>
      </c>
      <c r="R18" s="30" t="s">
        <v>6</v>
      </c>
      <c r="S18" s="29" t="s">
        <v>16</v>
      </c>
      <c r="T18" s="30" t="s">
        <v>6</v>
      </c>
      <c r="U18" s="29" t="s">
        <v>16</v>
      </c>
      <c r="V18" s="30" t="s">
        <v>6</v>
      </c>
      <c r="W18" s="29" t="s">
        <v>16</v>
      </c>
      <c r="X18" s="30" t="s">
        <v>6</v>
      </c>
      <c r="Y18" s="29" t="s">
        <v>16</v>
      </c>
      <c r="Z18" s="30" t="s">
        <v>6</v>
      </c>
      <c r="AA18" s="29" t="s">
        <v>16</v>
      </c>
      <c r="AB18" s="30" t="s">
        <v>6</v>
      </c>
      <c r="AC18" s="51" t="s">
        <v>42</v>
      </c>
      <c r="AD18" s="87"/>
      <c r="AE18" s="87"/>
      <c r="AF18" s="51" t="s">
        <v>45</v>
      </c>
      <c r="AG18" s="51" t="s">
        <v>45</v>
      </c>
      <c r="AH18" s="51" t="s">
        <v>46</v>
      </c>
      <c r="AI18" s="51" t="s">
        <v>46</v>
      </c>
      <c r="AJ18" s="51" t="s">
        <v>47</v>
      </c>
      <c r="AK18" s="51" t="s">
        <v>47</v>
      </c>
      <c r="AL18" s="51" t="s">
        <v>43</v>
      </c>
      <c r="AM18" s="51" t="s">
        <v>44</v>
      </c>
      <c r="AN18" s="101"/>
      <c r="AO18" s="101"/>
      <c r="AP18" s="101"/>
      <c r="AQ18" s="99"/>
    </row>
    <row r="19" spans="1:43" s="6" customFormat="1" ht="54.95" customHeight="1" x14ac:dyDescent="0.25">
      <c r="A19" s="39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D19*E19*29</f>
        <v>4328.54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v>0</v>
      </c>
      <c r="U19" s="28">
        <v>2</v>
      </c>
      <c r="V19" s="26">
        <f>D19*1*17</f>
        <v>1268.71</v>
      </c>
      <c r="W19" s="28">
        <v>2</v>
      </c>
      <c r="X19" s="26">
        <f>D19*1*31</f>
        <v>2313.5300000000002</v>
      </c>
      <c r="Y19" s="28">
        <v>2</v>
      </c>
      <c r="Z19" s="26">
        <f>D19*E19*30</f>
        <v>4477.8</v>
      </c>
      <c r="AA19" s="28">
        <v>2</v>
      </c>
      <c r="AB19" s="26">
        <f>D19*E19*31</f>
        <v>4627.0600000000004</v>
      </c>
      <c r="AC19" s="26">
        <f>F19+H19+J19+L19+N19+P19+R19+T19+V19+X19+Z19+AB19</f>
        <v>44479.48</v>
      </c>
      <c r="AD19" s="32">
        <v>0</v>
      </c>
      <c r="AE19" s="32">
        <v>0</v>
      </c>
      <c r="AF19" s="32">
        <f>250*2</f>
        <v>500</v>
      </c>
      <c r="AG19" s="32">
        <f>AF19*4</f>
        <v>2000</v>
      </c>
      <c r="AH19" s="32">
        <f>504*2</f>
        <v>1008</v>
      </c>
      <c r="AI19" s="32">
        <f>AH19*4</f>
        <v>4032</v>
      </c>
      <c r="AJ19" s="32">
        <f>1500*2</f>
        <v>3000</v>
      </c>
      <c r="AK19" s="32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4219.71</v>
      </c>
      <c r="AO19" s="26">
        <f>(((AC19+AE19+AI19+AK19)/12))</f>
        <v>5042.62</v>
      </c>
      <c r="AP19" s="33">
        <f>(((200/366)*182))*2</f>
        <v>198.91</v>
      </c>
      <c r="AQ19" s="40">
        <f>AC19+AE19+AG19+AI19+AK19+AN19+AO19+AP19</f>
        <v>71972.72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 t="shared" ref="F20:F22" si="0">D20*E20*31</f>
        <v>9379.36</v>
      </c>
      <c r="G20" s="28">
        <v>4</v>
      </c>
      <c r="H20" s="26">
        <f t="shared" ref="H20:H21" si="1">D20*E20*29</f>
        <v>8774.24</v>
      </c>
      <c r="I20" s="28">
        <v>4</v>
      </c>
      <c r="J20" s="26">
        <f t="shared" ref="J20:J21" si="2">D20*E20*31</f>
        <v>9379.36</v>
      </c>
      <c r="K20" s="28">
        <v>4</v>
      </c>
      <c r="L20" s="26">
        <f t="shared" ref="L20:L22" si="3">D20*E20*30</f>
        <v>9076.7999999999993</v>
      </c>
      <c r="M20" s="28">
        <v>4</v>
      </c>
      <c r="N20" s="26">
        <f t="shared" ref="N20:N22" si="4">D20*E20*31</f>
        <v>9379.36</v>
      </c>
      <c r="O20" s="28">
        <v>4</v>
      </c>
      <c r="P20" s="26">
        <f t="shared" ref="P20:P22" si="5">D20*E20*30</f>
        <v>9076.7999999999993</v>
      </c>
      <c r="Q20" s="28">
        <v>4</v>
      </c>
      <c r="R20" s="26">
        <f t="shared" ref="R20:R22" si="6">D20*E20*31</f>
        <v>9379.36</v>
      </c>
      <c r="S20" s="28">
        <v>4</v>
      </c>
      <c r="T20" s="26">
        <f t="shared" ref="T20" si="7">D20*E20*31</f>
        <v>9379.36</v>
      </c>
      <c r="U20" s="28">
        <v>4</v>
      </c>
      <c r="V20" s="26">
        <f t="shared" ref="V20:V22" si="8">D20*E20*30</f>
        <v>9076.7999999999993</v>
      </c>
      <c r="W20" s="28">
        <v>4</v>
      </c>
      <c r="X20" s="26">
        <f t="shared" ref="X20:X22" si="9">D20*E20*31</f>
        <v>9379.36</v>
      </c>
      <c r="Y20" s="28">
        <v>4</v>
      </c>
      <c r="Z20" s="26">
        <f t="shared" ref="Z20:Z22" si="10">D20*E20*30</f>
        <v>9076.7999999999993</v>
      </c>
      <c r="AA20" s="28">
        <v>4</v>
      </c>
      <c r="AB20" s="26">
        <f t="shared" ref="AB20:AB22" si="11">D20*E20*31</f>
        <v>9379.36</v>
      </c>
      <c r="AC20" s="26">
        <f t="shared" ref="AC20:AC21" si="12">F20+H20+J20+L20+N20+P20+R20+T20+V20+X20+Z20+AB20</f>
        <v>110736.96000000001</v>
      </c>
      <c r="AD20" s="32">
        <v>0</v>
      </c>
      <c r="AE20" s="32">
        <v>0</v>
      </c>
      <c r="AF20" s="32">
        <f>250*4</f>
        <v>1000</v>
      </c>
      <c r="AG20" s="32">
        <f t="shared" ref="AG20:AG22" si="13">AF20*4</f>
        <v>4000</v>
      </c>
      <c r="AH20" s="32">
        <f>500*4</f>
        <v>2000</v>
      </c>
      <c r="AI20" s="32">
        <f>AH20*4</f>
        <v>8000</v>
      </c>
      <c r="AJ20" s="32">
        <f>1500*4</f>
        <v>6000</v>
      </c>
      <c r="AK20" s="32">
        <f t="shared" ref="AK20:AK22" si="14">AJ20*4</f>
        <v>24000</v>
      </c>
      <c r="AL20" s="26">
        <f t="shared" ref="AL20:AL21" si="15">AF20+AH20+AJ20</f>
        <v>9000</v>
      </c>
      <c r="AM20" s="26">
        <f t="shared" ref="AM20:AM21" si="16">AG20+AI20+AK20</f>
        <v>36000</v>
      </c>
      <c r="AN20" s="26">
        <f>(((L20+AD20+AH20+AJ20)/366)*182)</f>
        <v>8491.74</v>
      </c>
      <c r="AO20" s="26">
        <f t="shared" ref="AO20:AO22" si="17">(((AC20+AE20+AI20+AK20)/12))</f>
        <v>11894.75</v>
      </c>
      <c r="AP20" s="33">
        <f t="shared" ref="AP20:AP21" si="18">(((200/366)*182))*2</f>
        <v>198.91</v>
      </c>
      <c r="AQ20" s="40">
        <f t="shared" ref="AQ20:AQ22" si="19">AC20+AE20+AG20+AI20+AK20+AN20+AO20+AP20</f>
        <v>167322.35999999999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 t="shared" si="0"/>
        <v>13280.4</v>
      </c>
      <c r="G21" s="28">
        <v>6</v>
      </c>
      <c r="H21" s="26">
        <f t="shared" si="1"/>
        <v>12423.6</v>
      </c>
      <c r="I21" s="28">
        <v>6</v>
      </c>
      <c r="J21" s="26">
        <f t="shared" si="2"/>
        <v>13280.4</v>
      </c>
      <c r="K21" s="28">
        <v>6</v>
      </c>
      <c r="L21" s="26">
        <f t="shared" si="3"/>
        <v>12852</v>
      </c>
      <c r="M21" s="28">
        <v>6</v>
      </c>
      <c r="N21" s="26">
        <f t="shared" si="4"/>
        <v>13280.4</v>
      </c>
      <c r="O21" s="28">
        <v>6</v>
      </c>
      <c r="P21" s="26">
        <f t="shared" si="5"/>
        <v>12852</v>
      </c>
      <c r="Q21" s="28">
        <v>6</v>
      </c>
      <c r="R21" s="26">
        <f>D21*3*31</f>
        <v>6640.2</v>
      </c>
      <c r="S21" s="28">
        <v>6</v>
      </c>
      <c r="T21" s="26">
        <f>D21*3*31+10067.4</f>
        <v>16707.599999999999</v>
      </c>
      <c r="U21" s="28">
        <v>6</v>
      </c>
      <c r="V21" s="26">
        <f t="shared" si="8"/>
        <v>12852</v>
      </c>
      <c r="W21" s="28">
        <v>6</v>
      </c>
      <c r="X21" s="26">
        <f t="shared" si="9"/>
        <v>13280.4</v>
      </c>
      <c r="Y21" s="28">
        <v>6</v>
      </c>
      <c r="Z21" s="26">
        <f t="shared" si="10"/>
        <v>12852</v>
      </c>
      <c r="AA21" s="28">
        <v>6</v>
      </c>
      <c r="AB21" s="26">
        <f t="shared" si="11"/>
        <v>13280.4</v>
      </c>
      <c r="AC21" s="26">
        <f t="shared" si="12"/>
        <v>153581.4</v>
      </c>
      <c r="AD21" s="32">
        <v>0</v>
      </c>
      <c r="AE21" s="32">
        <v>0</v>
      </c>
      <c r="AF21" s="32">
        <f>250*6</f>
        <v>1500</v>
      </c>
      <c r="AG21" s="32">
        <f t="shared" si="13"/>
        <v>6000</v>
      </c>
      <c r="AH21" s="32">
        <f>601*5</f>
        <v>3005</v>
      </c>
      <c r="AI21" s="32">
        <f>AH21*4</f>
        <v>12020</v>
      </c>
      <c r="AJ21" s="32">
        <f>1500*6</f>
        <v>9000</v>
      </c>
      <c r="AK21" s="32">
        <f t="shared" si="14"/>
        <v>36000</v>
      </c>
      <c r="AL21" s="26">
        <f t="shared" si="15"/>
        <v>13505</v>
      </c>
      <c r="AM21" s="26">
        <f t="shared" si="16"/>
        <v>54020</v>
      </c>
      <c r="AN21" s="26">
        <f t="shared" ref="AN21:AN22" si="20">(((L21+AD21+AH21+AJ21)/366)*182)</f>
        <v>12360.58</v>
      </c>
      <c r="AO21" s="26">
        <f t="shared" si="17"/>
        <v>16800.12</v>
      </c>
      <c r="AP21" s="33">
        <f t="shared" si="18"/>
        <v>198.91</v>
      </c>
      <c r="AQ21" s="40">
        <f t="shared" si="19"/>
        <v>236961.01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si="0"/>
        <v>4851.5</v>
      </c>
      <c r="G22" s="28">
        <v>2</v>
      </c>
      <c r="H22" s="26">
        <f>D22*E22*29</f>
        <v>4538.5</v>
      </c>
      <c r="I22" s="28">
        <v>2</v>
      </c>
      <c r="J22" s="26">
        <f>D22*E22*31</f>
        <v>4851.5</v>
      </c>
      <c r="K22" s="28">
        <v>2</v>
      </c>
      <c r="L22" s="26">
        <f t="shared" si="3"/>
        <v>4695</v>
      </c>
      <c r="M22" s="28">
        <v>2</v>
      </c>
      <c r="N22" s="26">
        <f t="shared" si="4"/>
        <v>4851.5</v>
      </c>
      <c r="O22" s="28">
        <v>2</v>
      </c>
      <c r="P22" s="26">
        <f t="shared" si="5"/>
        <v>4695</v>
      </c>
      <c r="Q22" s="28">
        <v>2</v>
      </c>
      <c r="R22" s="26">
        <f t="shared" si="6"/>
        <v>4851.5</v>
      </c>
      <c r="S22" s="28">
        <v>2</v>
      </c>
      <c r="T22" s="26">
        <f>D22*E22*31</f>
        <v>4851.5</v>
      </c>
      <c r="U22" s="28">
        <v>2</v>
      </c>
      <c r="V22" s="26">
        <f t="shared" si="8"/>
        <v>4695</v>
      </c>
      <c r="W22" s="28">
        <v>2</v>
      </c>
      <c r="X22" s="26">
        <f t="shared" si="9"/>
        <v>4851.5</v>
      </c>
      <c r="Y22" s="28">
        <v>2</v>
      </c>
      <c r="Z22" s="26">
        <f t="shared" si="10"/>
        <v>4695</v>
      </c>
      <c r="AA22" s="28">
        <v>2</v>
      </c>
      <c r="AB22" s="26">
        <f t="shared" si="11"/>
        <v>4851.5</v>
      </c>
      <c r="AC22" s="26">
        <f>F22+H22+J22+L22+N22+P22+R22+T22+V22+X22+Z22+AB22</f>
        <v>57279</v>
      </c>
      <c r="AD22" s="32">
        <v>0</v>
      </c>
      <c r="AE22" s="32">
        <v>0</v>
      </c>
      <c r="AF22" s="32">
        <f>250*2</f>
        <v>500</v>
      </c>
      <c r="AG22" s="32">
        <f t="shared" si="13"/>
        <v>2000</v>
      </c>
      <c r="AH22" s="32">
        <v>395</v>
      </c>
      <c r="AI22" s="32">
        <f>AH22*4</f>
        <v>1580</v>
      </c>
      <c r="AJ22" s="32">
        <f>1500*2</f>
        <v>3000</v>
      </c>
      <c r="AK22" s="32">
        <f t="shared" si="14"/>
        <v>12000</v>
      </c>
      <c r="AL22" s="26">
        <f>AF22+AH22+AJ22</f>
        <v>3895</v>
      </c>
      <c r="AM22" s="26">
        <f>AG22+AI22+AK22</f>
        <v>15580</v>
      </c>
      <c r="AN22" s="26">
        <f t="shared" si="20"/>
        <v>4022.9</v>
      </c>
      <c r="AO22" s="26">
        <f t="shared" si="17"/>
        <v>5904.92</v>
      </c>
      <c r="AP22" s="33">
        <f>(((200/366)*182))*2</f>
        <v>198.91</v>
      </c>
      <c r="AQ22" s="40">
        <f t="shared" si="19"/>
        <v>82985.73</v>
      </c>
    </row>
    <row r="23" spans="1:43" ht="54.95" customHeight="1" x14ac:dyDescent="0.25">
      <c r="A23" s="7"/>
      <c r="B23" s="16" t="s">
        <v>41</v>
      </c>
      <c r="C23" s="15"/>
      <c r="D23" s="27"/>
      <c r="E23" s="56">
        <f>SUM(E19:E22)</f>
        <v>14</v>
      </c>
      <c r="F23" s="58">
        <f>SUM(F19:F22)</f>
        <v>32138.32</v>
      </c>
      <c r="G23" s="28"/>
      <c r="H23" s="20">
        <f>SUM(H19:H22)</f>
        <v>30064.880000000001</v>
      </c>
      <c r="I23" s="28"/>
      <c r="J23" s="58">
        <f>SUM(J19:J22)</f>
        <v>32138.32</v>
      </c>
      <c r="K23" s="28"/>
      <c r="L23" s="58">
        <f>SUM(L19:L22)</f>
        <v>31101.599999999999</v>
      </c>
      <c r="M23" s="28"/>
      <c r="N23" s="58">
        <f>SUM(N19:N22)</f>
        <v>32138.32</v>
      </c>
      <c r="O23" s="28"/>
      <c r="P23" s="58">
        <f>SUM(P19:P22)</f>
        <v>31101.599999999999</v>
      </c>
      <c r="Q23" s="28"/>
      <c r="R23" s="58">
        <f>SUM(R19:R22)</f>
        <v>25498.12</v>
      </c>
      <c r="S23" s="28"/>
      <c r="T23" s="58">
        <f>SUM(T19:T22)</f>
        <v>30938.46</v>
      </c>
      <c r="U23" s="28"/>
      <c r="V23" s="58">
        <f>SUM(V19:V22)</f>
        <v>27892.51</v>
      </c>
      <c r="W23" s="28"/>
      <c r="X23" s="58">
        <f>SUM(X19:X22)</f>
        <v>29824.79</v>
      </c>
      <c r="Y23" s="28"/>
      <c r="Z23" s="58">
        <f>SUM(Z19:Z22)</f>
        <v>31101.599999999999</v>
      </c>
      <c r="AA23" s="28"/>
      <c r="AB23" s="58">
        <f>SUM(AB19:AB22)</f>
        <v>32138.32</v>
      </c>
      <c r="AC23" s="20">
        <f>SUM(AC19:AC22)</f>
        <v>366076.84</v>
      </c>
      <c r="AD23" s="22">
        <f t="shared" ref="AD23:AE23" si="21">SUM(AD19:AD22)</f>
        <v>0</v>
      </c>
      <c r="AE23" s="22">
        <f t="shared" si="21"/>
        <v>0</v>
      </c>
      <c r="AF23" s="22">
        <f t="shared" ref="AF23:AK23" si="22">SUM(AF19:AF22)</f>
        <v>3500</v>
      </c>
      <c r="AG23" s="22">
        <f t="shared" si="22"/>
        <v>14000</v>
      </c>
      <c r="AH23" s="22">
        <f t="shared" si="22"/>
        <v>6408</v>
      </c>
      <c r="AI23" s="22">
        <f t="shared" si="22"/>
        <v>25632</v>
      </c>
      <c r="AJ23" s="22">
        <f t="shared" si="22"/>
        <v>21000</v>
      </c>
      <c r="AK23" s="22">
        <f t="shared" si="22"/>
        <v>84000</v>
      </c>
      <c r="AL23" s="20">
        <f t="shared" ref="AL23:AM23" si="23">SUM(AL19:AL22)</f>
        <v>30908</v>
      </c>
      <c r="AM23" s="20">
        <f t="shared" si="23"/>
        <v>123632</v>
      </c>
      <c r="AN23" s="17">
        <f>SUM(AN19:AN22)</f>
        <v>29094.93</v>
      </c>
      <c r="AO23" s="17">
        <f>SUM(AO19:AO22)</f>
        <v>39642.410000000003</v>
      </c>
      <c r="AP23" s="17">
        <f>SUM(AP19:AP22)</f>
        <v>795.64</v>
      </c>
      <c r="AQ23" s="24">
        <f>SUM(AQ19:AQ22)</f>
        <v>559241.81999999995</v>
      </c>
    </row>
    <row r="24" spans="1:43" ht="54.95" customHeight="1" x14ac:dyDescent="0.25">
      <c r="A24" s="7">
        <v>1</v>
      </c>
      <c r="B24" s="16" t="s">
        <v>28</v>
      </c>
      <c r="C24" s="14" t="s">
        <v>21</v>
      </c>
      <c r="D24" s="27">
        <v>74.63</v>
      </c>
      <c r="E24" s="28">
        <v>4</v>
      </c>
      <c r="F24" s="26">
        <f>D24*E24*31</f>
        <v>9254.1200000000008</v>
      </c>
      <c r="G24" s="28">
        <v>4</v>
      </c>
      <c r="H24" s="26">
        <f>D24*3*29</f>
        <v>6492.81</v>
      </c>
      <c r="I24" s="28">
        <v>4</v>
      </c>
      <c r="J24" s="26">
        <f>D24*3*31</f>
        <v>6940.59</v>
      </c>
      <c r="K24" s="28">
        <v>4</v>
      </c>
      <c r="L24" s="26">
        <f>D24*3*30</f>
        <v>6716.7</v>
      </c>
      <c r="M24" s="28">
        <v>4</v>
      </c>
      <c r="N24" s="26">
        <f>D24*3*31</f>
        <v>6940.59</v>
      </c>
      <c r="O24" s="28">
        <v>4</v>
      </c>
      <c r="P24" s="26">
        <f>D24*3*30</f>
        <v>6716.7</v>
      </c>
      <c r="Q24" s="28">
        <v>4</v>
      </c>
      <c r="R24" s="26">
        <f>D24*3*31</f>
        <v>6940.59</v>
      </c>
      <c r="S24" s="28">
        <v>4</v>
      </c>
      <c r="T24" s="26">
        <f>D24*3*31</f>
        <v>6940.59</v>
      </c>
      <c r="U24" s="28">
        <v>4</v>
      </c>
      <c r="V24" s="26">
        <f>D24*3*30</f>
        <v>6716.7</v>
      </c>
      <c r="W24" s="28">
        <v>4</v>
      </c>
      <c r="X24" s="26">
        <f>D24*3*31</f>
        <v>6940.59</v>
      </c>
      <c r="Y24" s="28">
        <v>4</v>
      </c>
      <c r="Z24" s="26">
        <f>D24*E24*30</f>
        <v>8955.6</v>
      </c>
      <c r="AA24" s="28">
        <v>4</v>
      </c>
      <c r="AB24" s="26">
        <f>D24*E24*31</f>
        <v>9254.1200000000008</v>
      </c>
      <c r="AC24" s="26">
        <f>F24+H24+J24+L24+N24+P24+R24+T24+V24+X24+Z24+AB24</f>
        <v>88809.7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:AO25" si="24">(((AC24+AE24+AI24+AK24)/12))</f>
        <v>11471.48</v>
      </c>
      <c r="AP24" s="33">
        <f t="shared" ref="AP24:AP25" si="25">(((200/366)*182))*2</f>
        <v>198.91</v>
      </c>
      <c r="AQ24" s="40">
        <f>AC24+AE24+AG24+AI24+AK24+AN24+AO24+AP24</f>
        <v>164740.72</v>
      </c>
    </row>
    <row r="25" spans="1:43" ht="54.95" customHeight="1" x14ac:dyDescent="0.25">
      <c r="A25" s="7">
        <v>2</v>
      </c>
      <c r="B25" s="16" t="s">
        <v>28</v>
      </c>
      <c r="C25" s="14" t="s">
        <v>22</v>
      </c>
      <c r="D25" s="27">
        <v>75.64</v>
      </c>
      <c r="E25" s="28">
        <v>1</v>
      </c>
      <c r="F25" s="26">
        <v>0</v>
      </c>
      <c r="G25" s="28">
        <v>1</v>
      </c>
      <c r="H25" s="26">
        <v>0</v>
      </c>
      <c r="I25" s="28">
        <v>1</v>
      </c>
      <c r="J25" s="26">
        <v>0</v>
      </c>
      <c r="K25" s="28">
        <v>1</v>
      </c>
      <c r="L25" s="26">
        <v>0</v>
      </c>
      <c r="M25" s="28">
        <v>1</v>
      </c>
      <c r="N25" s="26">
        <f>D25*M25*31</f>
        <v>2344.84</v>
      </c>
      <c r="O25" s="28">
        <v>1</v>
      </c>
      <c r="P25" s="26">
        <f>D25*O25*30</f>
        <v>2269.1999999999998</v>
      </c>
      <c r="Q25" s="28">
        <v>1</v>
      </c>
      <c r="R25" s="26">
        <v>0</v>
      </c>
      <c r="S25" s="28">
        <v>1</v>
      </c>
      <c r="T25" s="26">
        <v>0</v>
      </c>
      <c r="U25" s="28">
        <v>1</v>
      </c>
      <c r="V25" s="26">
        <v>0</v>
      </c>
      <c r="W25" s="28">
        <v>1</v>
      </c>
      <c r="X25" s="26">
        <v>0</v>
      </c>
      <c r="Y25" s="28">
        <v>1</v>
      </c>
      <c r="Z25" s="26">
        <v>0</v>
      </c>
      <c r="AA25" s="28">
        <v>1</v>
      </c>
      <c r="AB25" s="26">
        <v>0</v>
      </c>
      <c r="AC25" s="26">
        <f t="shared" ref="AC25" si="26">F25+H25+J25+L25+N25+P25+R25+T25+V25+X25+Z25+AB25</f>
        <v>4614.04</v>
      </c>
      <c r="AD25" s="25">
        <v>0</v>
      </c>
      <c r="AE25" s="25">
        <v>0</v>
      </c>
      <c r="AF25" s="25">
        <f>250</f>
        <v>250</v>
      </c>
      <c r="AG25" s="25">
        <f>AF25*4</f>
        <v>1000</v>
      </c>
      <c r="AH25" s="25">
        <f>500</f>
        <v>500</v>
      </c>
      <c r="AI25" s="25">
        <f>AH25*4</f>
        <v>2000</v>
      </c>
      <c r="AJ25" s="25">
        <f>1500</f>
        <v>1500</v>
      </c>
      <c r="AK25" s="25">
        <f>AJ25*4</f>
        <v>6000</v>
      </c>
      <c r="AL25" s="26">
        <f>AF25+AH25+AJ25</f>
        <v>2250</v>
      </c>
      <c r="AM25" s="26">
        <f>AG25+AI25+AK25</f>
        <v>9000</v>
      </c>
      <c r="AN25" s="26">
        <f t="shared" ref="AN25" si="27">(((L25+AD25+AH25+AJ25)/366)*182)</f>
        <v>994.54</v>
      </c>
      <c r="AO25" s="26">
        <f t="shared" si="24"/>
        <v>1051.17</v>
      </c>
      <c r="AP25" s="33">
        <f t="shared" si="25"/>
        <v>198.91</v>
      </c>
      <c r="AQ25" s="40">
        <f t="shared" ref="AQ25" si="28">AC25+AE25+AG25+AI25+AK25+AN25+AO25+AP25</f>
        <v>15858.66</v>
      </c>
    </row>
    <row r="26" spans="1:43" ht="54.95" customHeight="1" x14ac:dyDescent="0.25">
      <c r="A26" s="7"/>
      <c r="B26" s="16" t="s">
        <v>41</v>
      </c>
      <c r="C26" s="14"/>
      <c r="D26" s="27"/>
      <c r="E26" s="56">
        <f>SUM(E24:E25)</f>
        <v>5</v>
      </c>
      <c r="F26" s="58">
        <f>SUM(F24:F25)</f>
        <v>9254.1200000000008</v>
      </c>
      <c r="G26" s="28"/>
      <c r="H26" s="20">
        <f>SUM(H24:H25)</f>
        <v>6492.81</v>
      </c>
      <c r="I26" s="28"/>
      <c r="J26" s="58">
        <f>SUM(J24:J25)</f>
        <v>6940.59</v>
      </c>
      <c r="K26" s="28"/>
      <c r="L26" s="58">
        <f>SUM(L24:L25)</f>
        <v>6716.7</v>
      </c>
      <c r="M26" s="28"/>
      <c r="N26" s="58">
        <f>SUM(N24:N25)</f>
        <v>9285.43</v>
      </c>
      <c r="O26" s="28"/>
      <c r="P26" s="58">
        <f>SUM(P24:P25)</f>
        <v>8985.9</v>
      </c>
      <c r="Q26" s="28"/>
      <c r="R26" s="58">
        <f>SUM(R24:R25)</f>
        <v>6940.59</v>
      </c>
      <c r="S26" s="28"/>
      <c r="T26" s="58">
        <f>SUM(T24:T25)</f>
        <v>6940.59</v>
      </c>
      <c r="U26" s="28"/>
      <c r="V26" s="58">
        <f>SUM(V24:V25)</f>
        <v>6716.7</v>
      </c>
      <c r="W26" s="28"/>
      <c r="X26" s="58">
        <f>SUM(X24:X25)</f>
        <v>6940.59</v>
      </c>
      <c r="Y26" s="28"/>
      <c r="Z26" s="58">
        <f>SUM(Z24:Z25)</f>
        <v>8955.6</v>
      </c>
      <c r="AA26" s="28"/>
      <c r="AB26" s="58">
        <f>SUM(AB24:AB25)</f>
        <v>9254.1200000000008</v>
      </c>
      <c r="AC26" s="20">
        <f>SUM(AC24:AC25)</f>
        <v>93423.74</v>
      </c>
      <c r="AD26" s="22">
        <f t="shared" ref="AD26:AE26" si="29">SUM(AD24:AD25)</f>
        <v>200</v>
      </c>
      <c r="AE26" s="22">
        <f t="shared" si="29"/>
        <v>800</v>
      </c>
      <c r="AF26" s="22">
        <f t="shared" ref="AF26:AK26" si="30">SUM(AF24:AF25)</f>
        <v>1750</v>
      </c>
      <c r="AG26" s="22">
        <f t="shared" si="30"/>
        <v>7000</v>
      </c>
      <c r="AH26" s="22">
        <f t="shared" si="30"/>
        <v>3512</v>
      </c>
      <c r="AI26" s="22">
        <f t="shared" si="30"/>
        <v>14048</v>
      </c>
      <c r="AJ26" s="22">
        <f t="shared" si="30"/>
        <v>10500</v>
      </c>
      <c r="AK26" s="22">
        <f t="shared" si="30"/>
        <v>42000</v>
      </c>
      <c r="AL26" s="20">
        <f t="shared" ref="AL26" si="31">SUM(AL24:AL25)</f>
        <v>15762</v>
      </c>
      <c r="AM26" s="20">
        <f>SUM(AM24:AM25)</f>
        <v>63048</v>
      </c>
      <c r="AN26" s="17">
        <f t="shared" ref="AN26:AO26" si="32">SUM(AN24:AN25)</f>
        <v>10407.17</v>
      </c>
      <c r="AO26" s="17">
        <f t="shared" si="32"/>
        <v>12522.65</v>
      </c>
      <c r="AP26" s="17">
        <f>SUM(AP24:AP25)</f>
        <v>397.82</v>
      </c>
      <c r="AQ26" s="24">
        <f>SUM(AQ24:AQ25)</f>
        <v>180599.38</v>
      </c>
    </row>
    <row r="27" spans="1:43" ht="54.95" customHeight="1" x14ac:dyDescent="0.25">
      <c r="A27" s="7"/>
      <c r="B27" s="16" t="s">
        <v>29</v>
      </c>
      <c r="C27" s="14" t="s">
        <v>22</v>
      </c>
      <c r="D27" s="27">
        <v>75.64</v>
      </c>
      <c r="E27" s="28">
        <v>14</v>
      </c>
      <c r="F27" s="26">
        <f>D27*E27*31</f>
        <v>32827.760000000002</v>
      </c>
      <c r="G27" s="28">
        <v>14</v>
      </c>
      <c r="H27" s="26">
        <f>D27*E27*29</f>
        <v>30709.84</v>
      </c>
      <c r="I27" s="28">
        <v>14</v>
      </c>
      <c r="J27" s="26">
        <f>D27*E27*31</f>
        <v>32827.760000000002</v>
      </c>
      <c r="K27" s="28">
        <v>14</v>
      </c>
      <c r="L27" s="26">
        <f>D27*E27*30</f>
        <v>31768.799999999999</v>
      </c>
      <c r="M27" s="28">
        <v>14</v>
      </c>
      <c r="N27" s="26">
        <f>D27*E27*31</f>
        <v>32827.760000000002</v>
      </c>
      <c r="O27" s="28">
        <v>14</v>
      </c>
      <c r="P27" s="26">
        <f>D27*E27*30</f>
        <v>31768.799999999999</v>
      </c>
      <c r="Q27" s="28">
        <v>14</v>
      </c>
      <c r="R27" s="26">
        <f>D27*E27*31</f>
        <v>32827.760000000002</v>
      </c>
      <c r="S27" s="28">
        <v>14</v>
      </c>
      <c r="T27" s="26">
        <f>D27*E27*31</f>
        <v>32827.760000000002</v>
      </c>
      <c r="U27" s="28">
        <v>14</v>
      </c>
      <c r="V27" s="26">
        <f>D27*E27*30</f>
        <v>31768.799999999999</v>
      </c>
      <c r="W27" s="28">
        <v>14</v>
      </c>
      <c r="X27" s="26">
        <f>D27*E27*31</f>
        <v>32827.760000000002</v>
      </c>
      <c r="Y27" s="28">
        <v>14</v>
      </c>
      <c r="Z27" s="26">
        <f>D27*E27*30</f>
        <v>31768.799999999999</v>
      </c>
      <c r="AA27" s="28">
        <v>14</v>
      </c>
      <c r="AB27" s="26">
        <f>D27*E27*31</f>
        <v>32827.760000000002</v>
      </c>
      <c r="AC27" s="26">
        <f>F27+H27+J27+L27+N27+P27+R27+T27+V27+X27+Z27+AB27</f>
        <v>387579.36</v>
      </c>
      <c r="AD27" s="25">
        <f>50+50+50+50+75+75+50+50+50</f>
        <v>500</v>
      </c>
      <c r="AE27" s="25">
        <f>AD27*4</f>
        <v>2000</v>
      </c>
      <c r="AF27" s="25">
        <f>250*14</f>
        <v>3500</v>
      </c>
      <c r="AG27" s="25">
        <f>AF27*4</f>
        <v>14000</v>
      </c>
      <c r="AH27" s="25">
        <f>500+500+500+500+500+500+500+500+500+500+500+500+500+500</f>
        <v>7000</v>
      </c>
      <c r="AI27" s="25">
        <f>AH27*4</f>
        <v>28000</v>
      </c>
      <c r="AJ27" s="25">
        <f>1500*14</f>
        <v>21000</v>
      </c>
      <c r="AK27" s="25">
        <f>AJ27*4</f>
        <v>84000</v>
      </c>
      <c r="AL27" s="26">
        <f>AF27+AH27+AJ27</f>
        <v>31500</v>
      </c>
      <c r="AM27" s="26">
        <f>AG27+AI27+AK27</f>
        <v>126000</v>
      </c>
      <c r="AN27" s="26">
        <f t="shared" ref="AN27:AN42" si="33">(((L27+AD27+AH27+AJ27)/366)*182)</f>
        <v>29969.73</v>
      </c>
      <c r="AO27" s="26">
        <f t="shared" ref="AO27:AO42" si="34">(((AC27+AE27+AI27+AK27)/12))</f>
        <v>41798.28</v>
      </c>
      <c r="AP27" s="33">
        <f>(((200/365)*120))*14</f>
        <v>920.55</v>
      </c>
      <c r="AQ27" s="40">
        <f>AC27+AE27+AG27+AI27+AK27+AN27+AO27+AP27</f>
        <v>588267.92000000004</v>
      </c>
    </row>
    <row r="28" spans="1:43" ht="54.95" customHeight="1" x14ac:dyDescent="0.25">
      <c r="A28" s="7"/>
      <c r="B28" s="16" t="s">
        <v>29</v>
      </c>
      <c r="C28" s="14" t="s">
        <v>21</v>
      </c>
      <c r="D28" s="27">
        <v>74.63</v>
      </c>
      <c r="E28" s="28">
        <v>3</v>
      </c>
      <c r="F28" s="26">
        <f>D28*E28*31</f>
        <v>6940.59</v>
      </c>
      <c r="G28" s="28">
        <v>3</v>
      </c>
      <c r="H28" s="26">
        <f t="shared" ref="H28" si="35">D28*E28*29</f>
        <v>6492.81</v>
      </c>
      <c r="I28" s="28">
        <v>3</v>
      </c>
      <c r="J28" s="26">
        <f t="shared" ref="J28:J45" si="36">D28*E28*31</f>
        <v>6940.59</v>
      </c>
      <c r="K28" s="28">
        <v>3</v>
      </c>
      <c r="L28" s="26">
        <f t="shared" ref="L28:L45" si="37">D28*E28*30</f>
        <v>6716.7</v>
      </c>
      <c r="M28" s="28">
        <v>3</v>
      </c>
      <c r="N28" s="26">
        <f t="shared" ref="N28:N45" si="38">D28*E28*31</f>
        <v>6940.59</v>
      </c>
      <c r="O28" s="28">
        <v>3</v>
      </c>
      <c r="P28" s="26">
        <f t="shared" ref="P28:P45" si="39">D28*E28*30</f>
        <v>6716.7</v>
      </c>
      <c r="Q28" s="28">
        <v>3</v>
      </c>
      <c r="R28" s="26">
        <f t="shared" ref="R28:R45" si="40">D28*E28*31</f>
        <v>6940.59</v>
      </c>
      <c r="S28" s="28">
        <v>3</v>
      </c>
      <c r="T28" s="26">
        <f t="shared" ref="T28:T46" si="41">D28*E28*31</f>
        <v>6940.59</v>
      </c>
      <c r="U28" s="28">
        <v>3</v>
      </c>
      <c r="V28" s="26">
        <f t="shared" ref="V28:V46" si="42">D28*E28*30</f>
        <v>6716.7</v>
      </c>
      <c r="W28" s="28">
        <v>3</v>
      </c>
      <c r="X28" s="26">
        <f t="shared" ref="X28:X46" si="43">D28*E28*31</f>
        <v>6940.59</v>
      </c>
      <c r="Y28" s="28">
        <v>3</v>
      </c>
      <c r="Z28" s="26">
        <f t="shared" ref="Z28:Z46" si="44">D28*E28*30</f>
        <v>6716.7</v>
      </c>
      <c r="AA28" s="28">
        <v>3</v>
      </c>
      <c r="AB28" s="26">
        <f t="shared" ref="AB28:AB46" si="45">D28*E28*31</f>
        <v>6940.59</v>
      </c>
      <c r="AC28" s="26">
        <f t="shared" ref="AC28:AC42" si="46">F28+H28+J28+L28+N28+P28+R28+T28+V28+X28+Z28+AB28</f>
        <v>81943.740000000005</v>
      </c>
      <c r="AD28" s="25">
        <v>0</v>
      </c>
      <c r="AE28" s="25">
        <v>0</v>
      </c>
      <c r="AF28" s="25">
        <f>250*3</f>
        <v>750</v>
      </c>
      <c r="AG28" s="25">
        <f>AF28*4</f>
        <v>3000</v>
      </c>
      <c r="AH28" s="25">
        <f>504*3</f>
        <v>1512</v>
      </c>
      <c r="AI28" s="25">
        <f t="shared" ref="AI28:AI42" si="47">AH28*4</f>
        <v>6048</v>
      </c>
      <c r="AJ28" s="25">
        <f>1500*3</f>
        <v>4500</v>
      </c>
      <c r="AK28" s="25">
        <f t="shared" ref="AK28:AK42" si="48">AJ28*4</f>
        <v>18000</v>
      </c>
      <c r="AL28" s="26">
        <f t="shared" ref="AL28:AL42" si="49">AF28+AH28+AJ28</f>
        <v>6762</v>
      </c>
      <c r="AM28" s="26">
        <f t="shared" ref="AM28:AM42" si="50">AG28+AI28+AK28</f>
        <v>27048</v>
      </c>
      <c r="AN28" s="26">
        <f t="shared" si="33"/>
        <v>6329.57</v>
      </c>
      <c r="AO28" s="26">
        <f t="shared" si="34"/>
        <v>8832.65</v>
      </c>
      <c r="AP28" s="33">
        <f>(((200/365)*120))*3</f>
        <v>197.26</v>
      </c>
      <c r="AQ28" s="40">
        <f t="shared" ref="AQ28:AQ42" si="51">AC28+AE28+AG28+AI28+AK28+AN28+AO28+AP28</f>
        <v>124351.22</v>
      </c>
    </row>
    <row r="29" spans="1:43" ht="54.95" customHeight="1" x14ac:dyDescent="0.25">
      <c r="A29" s="7"/>
      <c r="B29" s="16" t="s">
        <v>29</v>
      </c>
      <c r="C29" s="14" t="s">
        <v>23</v>
      </c>
      <c r="D29" s="27">
        <v>71.400000000000006</v>
      </c>
      <c r="E29" s="28">
        <v>7</v>
      </c>
      <c r="F29" s="26">
        <f>D29*6*31</f>
        <v>13280.4</v>
      </c>
      <c r="G29" s="28">
        <v>7</v>
      </c>
      <c r="H29" s="26">
        <f>D29*6*29</f>
        <v>12423.6</v>
      </c>
      <c r="I29" s="28">
        <v>7</v>
      </c>
      <c r="J29" s="26">
        <f t="shared" ref="J29:J41" si="52">D29*E29*31</f>
        <v>15493.8</v>
      </c>
      <c r="K29" s="28">
        <v>7</v>
      </c>
      <c r="L29" s="26">
        <f t="shared" ref="L29:L41" si="53">D29*E29*30</f>
        <v>14994</v>
      </c>
      <c r="M29" s="28">
        <v>7</v>
      </c>
      <c r="N29" s="26">
        <f t="shared" ref="N29:N41" si="54">D29*E29*31</f>
        <v>15493.8</v>
      </c>
      <c r="O29" s="28">
        <v>7</v>
      </c>
      <c r="P29" s="26">
        <f t="shared" ref="P29:P41" si="55">D29*E29*30</f>
        <v>14994</v>
      </c>
      <c r="Q29" s="28">
        <v>7</v>
      </c>
      <c r="R29" s="26">
        <f t="shared" ref="R29:R41" si="56">D29*E29*31</f>
        <v>15493.8</v>
      </c>
      <c r="S29" s="28">
        <v>7</v>
      </c>
      <c r="T29" s="26">
        <f>D29*E29*31</f>
        <v>15493.8</v>
      </c>
      <c r="U29" s="28">
        <v>7</v>
      </c>
      <c r="V29" s="26">
        <f>D29*6*30</f>
        <v>12852</v>
      </c>
      <c r="W29" s="28">
        <v>7</v>
      </c>
      <c r="X29" s="26">
        <f>D29*7*31+66.65</f>
        <v>15560.45</v>
      </c>
      <c r="Y29" s="28">
        <v>7</v>
      </c>
      <c r="Z29" s="26">
        <f t="shared" ref="Z29:Z41" si="57">D29*E29*30</f>
        <v>14994</v>
      </c>
      <c r="AA29" s="28">
        <v>7</v>
      </c>
      <c r="AB29" s="26">
        <f t="shared" ref="AB29:AB41" si="58">D29*E29*31</f>
        <v>15493.8</v>
      </c>
      <c r="AC29" s="26">
        <f t="shared" ref="AC29:AC41" si="59">F29+H29+J29+L29+N29+P29+R29+T29+V29+X29+Z29+AB29</f>
        <v>176567.45</v>
      </c>
      <c r="AD29" s="25">
        <f>75+50+50+75</f>
        <v>250</v>
      </c>
      <c r="AE29" s="25">
        <f>AD29*4</f>
        <v>1000</v>
      </c>
      <c r="AF29" s="25">
        <f>250*9</f>
        <v>2250</v>
      </c>
      <c r="AG29" s="25">
        <f>AF29*9</f>
        <v>20250</v>
      </c>
      <c r="AH29" s="25">
        <f>551+551+566+551+601+500+500+601+526</f>
        <v>4947</v>
      </c>
      <c r="AI29" s="25">
        <f t="shared" ref="AI29:AI41" si="60">AH29*4</f>
        <v>19788</v>
      </c>
      <c r="AJ29" s="25">
        <f>1500*9</f>
        <v>13500</v>
      </c>
      <c r="AK29" s="25">
        <f>AJ29*4</f>
        <v>54000</v>
      </c>
      <c r="AL29" s="26">
        <f t="shared" ref="AL29:AL41" si="61">AF29+AH29+AJ29</f>
        <v>20697</v>
      </c>
      <c r="AM29" s="26">
        <f t="shared" si="50"/>
        <v>94038</v>
      </c>
      <c r="AN29" s="26">
        <f t="shared" si="33"/>
        <v>16753.45</v>
      </c>
      <c r="AO29" s="26">
        <f t="shared" si="34"/>
        <v>20946.29</v>
      </c>
      <c r="AP29" s="33">
        <f>(((200/365)*120))*9</f>
        <v>591.78</v>
      </c>
      <c r="AQ29" s="40">
        <f t="shared" ref="AQ29:AQ41" si="62">AC29+AE29+AG29+AI29+AK29+AN29+AO29+AP29</f>
        <v>309896.96999999997</v>
      </c>
    </row>
    <row r="30" spans="1:43" ht="54.95" customHeight="1" x14ac:dyDescent="0.25">
      <c r="A30" s="7"/>
      <c r="B30" s="16" t="s">
        <v>29</v>
      </c>
      <c r="C30" s="55" t="s">
        <v>30</v>
      </c>
      <c r="D30" s="27">
        <v>72.540000000000006</v>
      </c>
      <c r="E30" s="28">
        <v>4</v>
      </c>
      <c r="F30" s="26">
        <f t="shared" ref="F30:F41" si="63">D30*E30*31</f>
        <v>8994.9599999999991</v>
      </c>
      <c r="G30" s="28">
        <v>4</v>
      </c>
      <c r="H30" s="26">
        <f t="shared" ref="H30:H42" si="64">D30*E30*29</f>
        <v>8414.64</v>
      </c>
      <c r="I30" s="28">
        <v>4</v>
      </c>
      <c r="J30" s="26">
        <f t="shared" si="52"/>
        <v>8994.9599999999991</v>
      </c>
      <c r="K30" s="28">
        <v>4</v>
      </c>
      <c r="L30" s="26">
        <f t="shared" si="53"/>
        <v>8704.7999999999993</v>
      </c>
      <c r="M30" s="28">
        <v>4</v>
      </c>
      <c r="N30" s="26">
        <f t="shared" si="54"/>
        <v>8994.9599999999991</v>
      </c>
      <c r="O30" s="28">
        <v>4</v>
      </c>
      <c r="P30" s="26">
        <f>D30*E30*30+D30*1*60</f>
        <v>13057.2</v>
      </c>
      <c r="Q30" s="28">
        <v>4</v>
      </c>
      <c r="R30" s="26">
        <f>D30*5*31</f>
        <v>11243.7</v>
      </c>
      <c r="S30" s="28">
        <v>4</v>
      </c>
      <c r="T30" s="26">
        <f>D30*5*31</f>
        <v>11243.7</v>
      </c>
      <c r="U30" s="28">
        <v>4</v>
      </c>
      <c r="V30" s="26">
        <f>D30*5*30</f>
        <v>10881</v>
      </c>
      <c r="W30" s="28">
        <v>4</v>
      </c>
      <c r="X30" s="26">
        <f t="shared" ref="X30:X41" si="65">D30*E30*31</f>
        <v>8994.9599999999991</v>
      </c>
      <c r="Y30" s="28">
        <v>4</v>
      </c>
      <c r="Z30" s="26">
        <f t="shared" si="57"/>
        <v>8704.7999999999993</v>
      </c>
      <c r="AA30" s="28">
        <v>4</v>
      </c>
      <c r="AB30" s="26">
        <f t="shared" si="58"/>
        <v>8994.9599999999991</v>
      </c>
      <c r="AC30" s="26">
        <f t="shared" si="59"/>
        <v>117224.64</v>
      </c>
      <c r="AD30" s="25">
        <f>50</f>
        <v>50</v>
      </c>
      <c r="AE30" s="25">
        <f>AD30*4</f>
        <v>200</v>
      </c>
      <c r="AF30" s="25">
        <f>250*6</f>
        <v>1500</v>
      </c>
      <c r="AG30" s="25">
        <f t="shared" ref="AG30:AG42" si="66">AF30*4</f>
        <v>6000</v>
      </c>
      <c r="AH30" s="25">
        <f>532+567+567+567+532+567</f>
        <v>3332</v>
      </c>
      <c r="AI30" s="25">
        <f t="shared" si="60"/>
        <v>13328</v>
      </c>
      <c r="AJ30" s="25">
        <f>1500*6</f>
        <v>9000</v>
      </c>
      <c r="AK30" s="25">
        <f>AJ30*4</f>
        <v>36000</v>
      </c>
      <c r="AL30" s="26">
        <f t="shared" si="61"/>
        <v>13832</v>
      </c>
      <c r="AM30" s="26">
        <f t="shared" si="50"/>
        <v>55328</v>
      </c>
      <c r="AN30" s="26">
        <f t="shared" si="33"/>
        <v>10485.79</v>
      </c>
      <c r="AO30" s="26">
        <f t="shared" si="34"/>
        <v>13896.05</v>
      </c>
      <c r="AP30" s="33">
        <f>(((200/365)*120))*6</f>
        <v>394.52</v>
      </c>
      <c r="AQ30" s="40">
        <f t="shared" si="62"/>
        <v>197529</v>
      </c>
    </row>
    <row r="31" spans="1:43" ht="54.95" customHeight="1" x14ac:dyDescent="0.25">
      <c r="A31" s="7"/>
      <c r="B31" s="16" t="s">
        <v>29</v>
      </c>
      <c r="C31" s="14" t="s">
        <v>38</v>
      </c>
      <c r="D31" s="27">
        <v>72.540000000000006</v>
      </c>
      <c r="E31" s="28">
        <v>4</v>
      </c>
      <c r="F31" s="26">
        <f t="shared" si="63"/>
        <v>8994.9599999999991</v>
      </c>
      <c r="G31" s="28">
        <v>4</v>
      </c>
      <c r="H31" s="26">
        <f t="shared" si="64"/>
        <v>8414.64</v>
      </c>
      <c r="I31" s="28">
        <v>4</v>
      </c>
      <c r="J31" s="26">
        <f t="shared" si="52"/>
        <v>8994.9599999999991</v>
      </c>
      <c r="K31" s="28">
        <v>4</v>
      </c>
      <c r="L31" s="26">
        <f t="shared" si="53"/>
        <v>8704.7999999999993</v>
      </c>
      <c r="M31" s="28">
        <v>4</v>
      </c>
      <c r="N31" s="26">
        <f t="shared" si="54"/>
        <v>8994.9599999999991</v>
      </c>
      <c r="O31" s="28">
        <v>4</v>
      </c>
      <c r="P31" s="26">
        <f t="shared" si="55"/>
        <v>8704.7999999999993</v>
      </c>
      <c r="Q31" s="28">
        <v>4</v>
      </c>
      <c r="R31" s="26">
        <f t="shared" si="56"/>
        <v>8994.9599999999991</v>
      </c>
      <c r="S31" s="28">
        <v>4</v>
      </c>
      <c r="T31" s="26">
        <f t="shared" ref="T31:T41" si="67">D31*E31*31</f>
        <v>8994.9599999999991</v>
      </c>
      <c r="U31" s="28">
        <v>4</v>
      </c>
      <c r="V31" s="26">
        <f t="shared" ref="V31:V41" si="68">D31*E31*30</f>
        <v>8704.7999999999993</v>
      </c>
      <c r="W31" s="28">
        <v>4</v>
      </c>
      <c r="X31" s="26">
        <f t="shared" si="65"/>
        <v>8994.9599999999991</v>
      </c>
      <c r="Y31" s="28">
        <v>4</v>
      </c>
      <c r="Z31" s="26">
        <f t="shared" si="57"/>
        <v>8704.7999999999993</v>
      </c>
      <c r="AA31" s="28">
        <v>4</v>
      </c>
      <c r="AB31" s="26">
        <f t="shared" si="58"/>
        <v>8994.9599999999991</v>
      </c>
      <c r="AC31" s="26">
        <f t="shared" si="59"/>
        <v>106198.56</v>
      </c>
      <c r="AD31" s="25">
        <f>50</f>
        <v>50</v>
      </c>
      <c r="AE31" s="25">
        <f>AD31*4</f>
        <v>200</v>
      </c>
      <c r="AF31" s="25">
        <f>250*4</f>
        <v>1000</v>
      </c>
      <c r="AG31" s="25">
        <f t="shared" si="66"/>
        <v>4000</v>
      </c>
      <c r="AH31" s="25">
        <f>532+567+567+567</f>
        <v>2233</v>
      </c>
      <c r="AI31" s="25">
        <f t="shared" si="60"/>
        <v>8932</v>
      </c>
      <c r="AJ31" s="25">
        <f>1500*4</f>
        <v>6000</v>
      </c>
      <c r="AK31" s="25">
        <f>AJ31*4</f>
        <v>24000</v>
      </c>
      <c r="AL31" s="26">
        <f t="shared" si="61"/>
        <v>9233</v>
      </c>
      <c r="AM31" s="26">
        <f t="shared" si="50"/>
        <v>36932</v>
      </c>
      <c r="AN31" s="26">
        <f t="shared" si="33"/>
        <v>8447.49</v>
      </c>
      <c r="AO31" s="26">
        <f t="shared" si="34"/>
        <v>11610.88</v>
      </c>
      <c r="AP31" s="33">
        <f>(((200/365)*120))*4</f>
        <v>263.01</v>
      </c>
      <c r="AQ31" s="40">
        <f t="shared" si="62"/>
        <v>163651.94</v>
      </c>
    </row>
    <row r="32" spans="1:43" ht="54.95" customHeight="1" x14ac:dyDescent="0.25">
      <c r="A32" s="7"/>
      <c r="B32" s="16" t="s">
        <v>29</v>
      </c>
      <c r="C32" s="14" t="s">
        <v>32</v>
      </c>
      <c r="D32" s="27">
        <v>71.400000000000006</v>
      </c>
      <c r="E32" s="28">
        <v>1</v>
      </c>
      <c r="F32" s="26">
        <f t="shared" si="63"/>
        <v>2213.4</v>
      </c>
      <c r="G32" s="28">
        <v>1</v>
      </c>
      <c r="H32" s="26">
        <f t="shared" si="64"/>
        <v>2070.6</v>
      </c>
      <c r="I32" s="28">
        <v>1</v>
      </c>
      <c r="J32" s="26">
        <f t="shared" si="52"/>
        <v>2213.4</v>
      </c>
      <c r="K32" s="28">
        <v>1</v>
      </c>
      <c r="L32" s="26">
        <f t="shared" si="53"/>
        <v>2142</v>
      </c>
      <c r="M32" s="28">
        <v>1</v>
      </c>
      <c r="N32" s="26">
        <f t="shared" si="54"/>
        <v>2213.4</v>
      </c>
      <c r="O32" s="28">
        <v>1</v>
      </c>
      <c r="P32" s="26">
        <f t="shared" si="55"/>
        <v>2142</v>
      </c>
      <c r="Q32" s="28">
        <v>1</v>
      </c>
      <c r="R32" s="26">
        <f t="shared" si="56"/>
        <v>2213.4</v>
      </c>
      <c r="S32" s="28">
        <v>1</v>
      </c>
      <c r="T32" s="26">
        <f t="shared" si="67"/>
        <v>2213.4</v>
      </c>
      <c r="U32" s="28">
        <v>1</v>
      </c>
      <c r="V32" s="26">
        <f t="shared" si="68"/>
        <v>2142</v>
      </c>
      <c r="W32" s="28">
        <v>1</v>
      </c>
      <c r="X32" s="26">
        <f t="shared" si="65"/>
        <v>2213.4</v>
      </c>
      <c r="Y32" s="28">
        <v>1</v>
      </c>
      <c r="Z32" s="26">
        <f t="shared" si="57"/>
        <v>2142</v>
      </c>
      <c r="AA32" s="28">
        <v>1</v>
      </c>
      <c r="AB32" s="26">
        <f t="shared" si="58"/>
        <v>2213.4</v>
      </c>
      <c r="AC32" s="26">
        <f t="shared" si="59"/>
        <v>26132.400000000001</v>
      </c>
      <c r="AD32" s="25">
        <v>0</v>
      </c>
      <c r="AE32" s="25">
        <v>0</v>
      </c>
      <c r="AF32" s="25">
        <v>250</v>
      </c>
      <c r="AG32" s="25">
        <f t="shared" si="66"/>
        <v>1000</v>
      </c>
      <c r="AH32" s="25">
        <v>601</v>
      </c>
      <c r="AI32" s="25">
        <f t="shared" si="60"/>
        <v>2404</v>
      </c>
      <c r="AJ32" s="25">
        <v>1500</v>
      </c>
      <c r="AK32" s="25">
        <f>1500*4</f>
        <v>6000</v>
      </c>
      <c r="AL32" s="26">
        <f t="shared" si="61"/>
        <v>2351</v>
      </c>
      <c r="AM32" s="26">
        <f t="shared" si="50"/>
        <v>9404</v>
      </c>
      <c r="AN32" s="26">
        <f t="shared" si="33"/>
        <v>2109.91</v>
      </c>
      <c r="AO32" s="26">
        <f t="shared" si="34"/>
        <v>2878.03</v>
      </c>
      <c r="AP32" s="33">
        <f>(((200/365)*120))*1</f>
        <v>65.75</v>
      </c>
      <c r="AQ32" s="40">
        <f t="shared" si="62"/>
        <v>40590.089999999997</v>
      </c>
    </row>
    <row r="33" spans="1:43" ht="54.95" customHeight="1" x14ac:dyDescent="0.25">
      <c r="A33" s="7"/>
      <c r="B33" s="16" t="s">
        <v>29</v>
      </c>
      <c r="C33" s="14" t="s">
        <v>36</v>
      </c>
      <c r="D33" s="27">
        <v>74.63</v>
      </c>
      <c r="E33" s="28">
        <v>2</v>
      </c>
      <c r="F33" s="26">
        <f t="shared" si="63"/>
        <v>4627.0600000000004</v>
      </c>
      <c r="G33" s="28">
        <v>2</v>
      </c>
      <c r="H33" s="26">
        <f t="shared" si="64"/>
        <v>4328.54</v>
      </c>
      <c r="I33" s="28">
        <v>2</v>
      </c>
      <c r="J33" s="26">
        <f t="shared" si="52"/>
        <v>4627.0600000000004</v>
      </c>
      <c r="K33" s="28">
        <v>2</v>
      </c>
      <c r="L33" s="26">
        <f t="shared" si="53"/>
        <v>4477.8</v>
      </c>
      <c r="M33" s="28">
        <v>2</v>
      </c>
      <c r="N33" s="26">
        <f t="shared" si="54"/>
        <v>4627.0600000000004</v>
      </c>
      <c r="O33" s="28">
        <v>2</v>
      </c>
      <c r="P33" s="26">
        <f t="shared" si="55"/>
        <v>4477.8</v>
      </c>
      <c r="Q33" s="28">
        <v>2</v>
      </c>
      <c r="R33" s="26">
        <f t="shared" si="56"/>
        <v>4627.0600000000004</v>
      </c>
      <c r="S33" s="28">
        <v>2</v>
      </c>
      <c r="T33" s="26">
        <f t="shared" si="67"/>
        <v>4627.0600000000004</v>
      </c>
      <c r="U33" s="28">
        <v>2</v>
      </c>
      <c r="V33" s="26">
        <f t="shared" si="68"/>
        <v>4477.8</v>
      </c>
      <c r="W33" s="28">
        <v>2</v>
      </c>
      <c r="X33" s="26">
        <f t="shared" si="65"/>
        <v>4627.0600000000004</v>
      </c>
      <c r="Y33" s="28">
        <v>2</v>
      </c>
      <c r="Z33" s="26">
        <f t="shared" si="57"/>
        <v>4477.8</v>
      </c>
      <c r="AA33" s="28">
        <v>2</v>
      </c>
      <c r="AB33" s="26">
        <f t="shared" si="58"/>
        <v>4627.0600000000004</v>
      </c>
      <c r="AC33" s="26">
        <f t="shared" si="59"/>
        <v>54629.16</v>
      </c>
      <c r="AD33" s="25">
        <v>50</v>
      </c>
      <c r="AE33" s="25">
        <f>AD33*4</f>
        <v>200</v>
      </c>
      <c r="AF33" s="25">
        <f>250*2</f>
        <v>500</v>
      </c>
      <c r="AG33" s="25">
        <f t="shared" si="66"/>
        <v>2000</v>
      </c>
      <c r="AH33" s="25">
        <f>504+500</f>
        <v>1004</v>
      </c>
      <c r="AI33" s="25">
        <f t="shared" si="60"/>
        <v>4016</v>
      </c>
      <c r="AJ33" s="25">
        <f>1500*2</f>
        <v>3000</v>
      </c>
      <c r="AK33" s="25">
        <f t="shared" ref="AK33:AK41" si="69">AJ33*4</f>
        <v>12000</v>
      </c>
      <c r="AL33" s="26">
        <f t="shared" si="61"/>
        <v>4504</v>
      </c>
      <c r="AM33" s="26">
        <f t="shared" si="50"/>
        <v>18016</v>
      </c>
      <c r="AN33" s="26">
        <f t="shared" si="33"/>
        <v>4242.59</v>
      </c>
      <c r="AO33" s="26">
        <f t="shared" si="34"/>
        <v>5903.76</v>
      </c>
      <c r="AP33" s="33">
        <f>(((200/365)*120))*2</f>
        <v>131.51</v>
      </c>
      <c r="AQ33" s="40">
        <f t="shared" si="62"/>
        <v>83123.02</v>
      </c>
    </row>
    <row r="34" spans="1:43" ht="54.95" customHeight="1" x14ac:dyDescent="0.25">
      <c r="A34" s="7"/>
      <c r="B34" s="16" t="s">
        <v>29</v>
      </c>
      <c r="C34" s="14" t="s">
        <v>66</v>
      </c>
      <c r="D34" s="74">
        <v>75.64</v>
      </c>
      <c r="E34" s="28">
        <v>1</v>
      </c>
      <c r="F34" s="26">
        <v>0</v>
      </c>
      <c r="G34" s="28">
        <v>1</v>
      </c>
      <c r="H34" s="26">
        <v>0</v>
      </c>
      <c r="I34" s="28">
        <v>1</v>
      </c>
      <c r="J34" s="26">
        <v>0</v>
      </c>
      <c r="K34" s="28">
        <v>1</v>
      </c>
      <c r="L34" s="26">
        <v>0</v>
      </c>
      <c r="M34" s="28">
        <v>1</v>
      </c>
      <c r="N34" s="26">
        <v>0</v>
      </c>
      <c r="O34" s="28">
        <v>1</v>
      </c>
      <c r="P34" s="26">
        <f>D34*O34*60</f>
        <v>4538.3999999999996</v>
      </c>
      <c r="Q34" s="28"/>
      <c r="R34" s="26">
        <f t="shared" si="56"/>
        <v>2344.84</v>
      </c>
      <c r="S34" s="28">
        <v>1</v>
      </c>
      <c r="T34" s="26">
        <f t="shared" si="67"/>
        <v>2344.84</v>
      </c>
      <c r="U34" s="28">
        <v>1</v>
      </c>
      <c r="V34" s="26">
        <f t="shared" si="68"/>
        <v>2269.1999999999998</v>
      </c>
      <c r="W34" s="28">
        <v>1</v>
      </c>
      <c r="X34" s="26">
        <v>0</v>
      </c>
      <c r="Y34" s="28"/>
      <c r="Z34" s="26">
        <f t="shared" si="57"/>
        <v>2269.1999999999998</v>
      </c>
      <c r="AA34" s="28"/>
      <c r="AB34" s="26">
        <f t="shared" si="58"/>
        <v>2344.84</v>
      </c>
      <c r="AC34" s="26">
        <f t="shared" si="59"/>
        <v>16111.32</v>
      </c>
      <c r="AD34" s="25"/>
      <c r="AE34" s="25"/>
      <c r="AF34" s="25"/>
      <c r="AG34" s="25"/>
      <c r="AH34" s="25"/>
      <c r="AI34" s="25"/>
      <c r="AJ34" s="25"/>
      <c r="AK34" s="25"/>
      <c r="AL34" s="26"/>
      <c r="AM34" s="26"/>
      <c r="AN34" s="26"/>
      <c r="AO34" s="26"/>
      <c r="AP34" s="33"/>
      <c r="AQ34" s="40"/>
    </row>
    <row r="35" spans="1:43" ht="54.95" customHeight="1" x14ac:dyDescent="0.25">
      <c r="A35" s="7"/>
      <c r="B35" s="16" t="s">
        <v>29</v>
      </c>
      <c r="C35" s="14" t="s">
        <v>40</v>
      </c>
      <c r="D35" s="27">
        <v>76.59</v>
      </c>
      <c r="E35" s="28">
        <v>2</v>
      </c>
      <c r="F35" s="26">
        <f t="shared" si="63"/>
        <v>4748.58</v>
      </c>
      <c r="G35" s="28">
        <v>2</v>
      </c>
      <c r="H35" s="26">
        <f t="shared" si="64"/>
        <v>4442.22</v>
      </c>
      <c r="I35" s="28">
        <v>2</v>
      </c>
      <c r="J35" s="26">
        <f t="shared" si="52"/>
        <v>4748.58</v>
      </c>
      <c r="K35" s="28">
        <v>2</v>
      </c>
      <c r="L35" s="26">
        <f t="shared" si="53"/>
        <v>4595.3999999999996</v>
      </c>
      <c r="M35" s="28">
        <v>2</v>
      </c>
      <c r="N35" s="26">
        <f t="shared" si="54"/>
        <v>4748.58</v>
      </c>
      <c r="O35" s="28">
        <v>2</v>
      </c>
      <c r="P35" s="26">
        <f t="shared" si="55"/>
        <v>4595.3999999999996</v>
      </c>
      <c r="Q35" s="28">
        <v>2</v>
      </c>
      <c r="R35" s="26">
        <f t="shared" si="56"/>
        <v>4748.58</v>
      </c>
      <c r="S35" s="28">
        <v>2</v>
      </c>
      <c r="T35" s="26">
        <f t="shared" si="67"/>
        <v>4748.58</v>
      </c>
      <c r="U35" s="28">
        <v>2</v>
      </c>
      <c r="V35" s="26">
        <f t="shared" si="68"/>
        <v>4595.3999999999996</v>
      </c>
      <c r="W35" s="28">
        <v>2</v>
      </c>
      <c r="X35" s="26">
        <f t="shared" si="65"/>
        <v>4748.58</v>
      </c>
      <c r="Y35" s="28">
        <v>2</v>
      </c>
      <c r="Z35" s="26">
        <f t="shared" si="57"/>
        <v>4595.3999999999996</v>
      </c>
      <c r="AA35" s="28">
        <v>2</v>
      </c>
      <c r="AB35" s="26">
        <f t="shared" si="58"/>
        <v>4748.58</v>
      </c>
      <c r="AC35" s="26">
        <f t="shared" si="59"/>
        <v>56063.88</v>
      </c>
      <c r="AD35" s="25">
        <f>50</f>
        <v>50</v>
      </c>
      <c r="AE35" s="25">
        <f>AD35*4</f>
        <v>200</v>
      </c>
      <c r="AF35" s="25">
        <f>250*2</f>
        <v>500</v>
      </c>
      <c r="AG35" s="25">
        <f t="shared" si="66"/>
        <v>2000</v>
      </c>
      <c r="AH35" s="25">
        <f>500+500</f>
        <v>1000</v>
      </c>
      <c r="AI35" s="25">
        <f t="shared" si="60"/>
        <v>4000</v>
      </c>
      <c r="AJ35" s="25">
        <f>1500*2</f>
        <v>3000</v>
      </c>
      <c r="AK35" s="25">
        <f t="shared" si="69"/>
        <v>12000</v>
      </c>
      <c r="AL35" s="26">
        <f t="shared" si="61"/>
        <v>4500</v>
      </c>
      <c r="AM35" s="26">
        <f t="shared" si="50"/>
        <v>18000</v>
      </c>
      <c r="AN35" s="26">
        <f t="shared" si="33"/>
        <v>4299.08</v>
      </c>
      <c r="AO35" s="26">
        <f t="shared" si="34"/>
        <v>6021.99</v>
      </c>
      <c r="AP35" s="33">
        <f>(((200/365)*120))*2</f>
        <v>131.51</v>
      </c>
      <c r="AQ35" s="40">
        <f t="shared" si="62"/>
        <v>84716.46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73.59</v>
      </c>
      <c r="E36" s="28">
        <v>1</v>
      </c>
      <c r="F36" s="26">
        <f t="shared" si="63"/>
        <v>2281.29</v>
      </c>
      <c r="G36" s="28">
        <v>1</v>
      </c>
      <c r="H36" s="26">
        <f t="shared" si="64"/>
        <v>2134.11</v>
      </c>
      <c r="I36" s="28">
        <v>1</v>
      </c>
      <c r="J36" s="26">
        <f t="shared" si="52"/>
        <v>2281.29</v>
      </c>
      <c r="K36" s="28">
        <v>1</v>
      </c>
      <c r="L36" s="26">
        <f t="shared" si="53"/>
        <v>2207.6999999999998</v>
      </c>
      <c r="M36" s="28">
        <v>1</v>
      </c>
      <c r="N36" s="26">
        <f t="shared" si="54"/>
        <v>2281.29</v>
      </c>
      <c r="O36" s="28">
        <v>1</v>
      </c>
      <c r="P36" s="26">
        <f t="shared" si="55"/>
        <v>2207.6999999999998</v>
      </c>
      <c r="Q36" s="28">
        <v>1</v>
      </c>
      <c r="R36" s="26">
        <f t="shared" si="56"/>
        <v>2281.29</v>
      </c>
      <c r="S36" s="28">
        <v>1</v>
      </c>
      <c r="T36" s="26">
        <f t="shared" si="67"/>
        <v>2281.29</v>
      </c>
      <c r="U36" s="28">
        <v>1</v>
      </c>
      <c r="V36" s="26">
        <f t="shared" si="68"/>
        <v>2207.6999999999998</v>
      </c>
      <c r="W36" s="28">
        <v>1</v>
      </c>
      <c r="X36" s="26">
        <f t="shared" si="65"/>
        <v>2281.29</v>
      </c>
      <c r="Y36" s="28">
        <v>1</v>
      </c>
      <c r="Z36" s="26">
        <f t="shared" si="57"/>
        <v>2207.6999999999998</v>
      </c>
      <c r="AA36" s="28">
        <v>1</v>
      </c>
      <c r="AB36" s="26">
        <f t="shared" si="58"/>
        <v>2281.29</v>
      </c>
      <c r="AC36" s="26">
        <f t="shared" si="59"/>
        <v>26933.94</v>
      </c>
      <c r="AD36" s="25">
        <v>75</v>
      </c>
      <c r="AE36" s="25">
        <f>AD36*4</f>
        <v>300</v>
      </c>
      <c r="AF36" s="25">
        <v>250</v>
      </c>
      <c r="AG36" s="25">
        <f t="shared" si="66"/>
        <v>1000</v>
      </c>
      <c r="AH36" s="25">
        <f>500</f>
        <v>500</v>
      </c>
      <c r="AI36" s="25">
        <f t="shared" si="60"/>
        <v>2000</v>
      </c>
      <c r="AJ36" s="25">
        <v>1500</v>
      </c>
      <c r="AK36" s="25">
        <f t="shared" si="69"/>
        <v>6000</v>
      </c>
      <c r="AL36" s="26">
        <f t="shared" si="61"/>
        <v>2250</v>
      </c>
      <c r="AM36" s="26">
        <f t="shared" si="50"/>
        <v>9000</v>
      </c>
      <c r="AN36" s="26">
        <f t="shared" si="33"/>
        <v>2129.65</v>
      </c>
      <c r="AO36" s="26">
        <f t="shared" si="34"/>
        <v>2936.16</v>
      </c>
      <c r="AP36" s="33">
        <f>(((200/365)*120))*1</f>
        <v>65.75</v>
      </c>
      <c r="AQ36" s="40">
        <f t="shared" si="62"/>
        <v>41365.5</v>
      </c>
    </row>
    <row r="37" spans="1:43" ht="54.95" customHeight="1" x14ac:dyDescent="0.25">
      <c r="A37" s="7"/>
      <c r="B37" s="16" t="s">
        <v>29</v>
      </c>
      <c r="C37" s="14" t="s">
        <v>35</v>
      </c>
      <c r="D37" s="27">
        <v>74.63</v>
      </c>
      <c r="E37" s="66">
        <v>1</v>
      </c>
      <c r="F37" s="26">
        <f t="shared" si="63"/>
        <v>2313.5300000000002</v>
      </c>
      <c r="G37" s="28">
        <v>1</v>
      </c>
      <c r="H37" s="26">
        <f t="shared" si="64"/>
        <v>2164.27</v>
      </c>
      <c r="I37" s="28">
        <v>1</v>
      </c>
      <c r="J37" s="26">
        <f>D37*E37*10</f>
        <v>746.3</v>
      </c>
      <c r="K37" s="28">
        <v>1</v>
      </c>
      <c r="L37" s="26">
        <v>0</v>
      </c>
      <c r="M37" s="28">
        <v>1</v>
      </c>
      <c r="N37" s="26">
        <v>0</v>
      </c>
      <c r="O37" s="28">
        <v>1</v>
      </c>
      <c r="P37" s="26">
        <v>0</v>
      </c>
      <c r="Q37" s="28">
        <v>1</v>
      </c>
      <c r="R37" s="26">
        <v>0</v>
      </c>
      <c r="S37" s="28">
        <v>1</v>
      </c>
      <c r="T37" s="26">
        <v>0</v>
      </c>
      <c r="U37" s="28">
        <v>1</v>
      </c>
      <c r="V37" s="26">
        <v>0</v>
      </c>
      <c r="W37" s="28">
        <v>1</v>
      </c>
      <c r="X37" s="26">
        <f t="shared" si="65"/>
        <v>2313.5300000000002</v>
      </c>
      <c r="Y37" s="28">
        <v>1</v>
      </c>
      <c r="Z37" s="26">
        <f t="shared" si="57"/>
        <v>2238.9</v>
      </c>
      <c r="AA37" s="28">
        <v>1</v>
      </c>
      <c r="AB37" s="26">
        <f t="shared" si="58"/>
        <v>2313.5300000000002</v>
      </c>
      <c r="AC37" s="26">
        <f t="shared" si="59"/>
        <v>12090.06</v>
      </c>
      <c r="AD37" s="25">
        <v>75</v>
      </c>
      <c r="AE37" s="25">
        <f>AD37*4</f>
        <v>300</v>
      </c>
      <c r="AF37" s="25">
        <v>250</v>
      </c>
      <c r="AG37" s="25">
        <f t="shared" si="66"/>
        <v>1000</v>
      </c>
      <c r="AH37" s="25">
        <v>500</v>
      </c>
      <c r="AI37" s="25">
        <f t="shared" si="60"/>
        <v>2000</v>
      </c>
      <c r="AJ37" s="25">
        <v>1500</v>
      </c>
      <c r="AK37" s="25">
        <f t="shared" si="69"/>
        <v>6000</v>
      </c>
      <c r="AL37" s="26">
        <f t="shared" si="61"/>
        <v>2250</v>
      </c>
      <c r="AM37" s="26">
        <f t="shared" si="50"/>
        <v>9000</v>
      </c>
      <c r="AN37" s="26">
        <f t="shared" si="33"/>
        <v>1031.83</v>
      </c>
      <c r="AO37" s="26">
        <f t="shared" si="34"/>
        <v>1699.17</v>
      </c>
      <c r="AP37" s="33">
        <f>(((200/365)*120))*1</f>
        <v>65.75</v>
      </c>
      <c r="AQ37" s="40">
        <f t="shared" si="62"/>
        <v>24186.81</v>
      </c>
    </row>
    <row r="38" spans="1:43" ht="54.95" customHeight="1" x14ac:dyDescent="0.25">
      <c r="A38" s="7"/>
      <c r="B38" s="16" t="s">
        <v>29</v>
      </c>
      <c r="C38" s="15" t="s">
        <v>31</v>
      </c>
      <c r="D38" s="27">
        <v>78.25</v>
      </c>
      <c r="E38" s="28">
        <v>2</v>
      </c>
      <c r="F38" s="26">
        <f t="shared" si="63"/>
        <v>4851.5</v>
      </c>
      <c r="G38" s="28">
        <v>2</v>
      </c>
      <c r="H38" s="26">
        <f t="shared" si="64"/>
        <v>4538.5</v>
      </c>
      <c r="I38" s="28">
        <v>2</v>
      </c>
      <c r="J38" s="26">
        <f t="shared" si="52"/>
        <v>4851.5</v>
      </c>
      <c r="K38" s="28">
        <v>2</v>
      </c>
      <c r="L38" s="26">
        <f t="shared" si="53"/>
        <v>4695</v>
      </c>
      <c r="M38" s="28">
        <v>2</v>
      </c>
      <c r="N38" s="26">
        <f t="shared" si="54"/>
        <v>4851.5</v>
      </c>
      <c r="O38" s="28">
        <v>2</v>
      </c>
      <c r="P38" s="26">
        <f>D38*1*30</f>
        <v>2347.5</v>
      </c>
      <c r="Q38" s="28">
        <v>2</v>
      </c>
      <c r="R38" s="26">
        <f>D38*1*31+D38*1*30</f>
        <v>4773.25</v>
      </c>
      <c r="S38" s="28">
        <v>2</v>
      </c>
      <c r="T38" s="26">
        <f>D38*2*31</f>
        <v>4851.5</v>
      </c>
      <c r="U38" s="28">
        <v>2</v>
      </c>
      <c r="V38" s="26">
        <f t="shared" si="68"/>
        <v>4695</v>
      </c>
      <c r="W38" s="28">
        <v>2</v>
      </c>
      <c r="X38" s="26">
        <f t="shared" si="65"/>
        <v>4851.5</v>
      </c>
      <c r="Y38" s="28">
        <v>2</v>
      </c>
      <c r="Z38" s="26">
        <f t="shared" si="57"/>
        <v>4695</v>
      </c>
      <c r="AA38" s="28">
        <v>2</v>
      </c>
      <c r="AB38" s="26">
        <f t="shared" si="58"/>
        <v>4851.5</v>
      </c>
      <c r="AC38" s="26">
        <f t="shared" si="59"/>
        <v>54853.25</v>
      </c>
      <c r="AD38" s="25">
        <f>0</f>
        <v>0</v>
      </c>
      <c r="AE38" s="25">
        <f>AD38*2</f>
        <v>0</v>
      </c>
      <c r="AF38" s="25">
        <f>250*2</f>
        <v>500</v>
      </c>
      <c r="AG38" s="25">
        <f t="shared" si="66"/>
        <v>2000</v>
      </c>
      <c r="AH38" s="25">
        <f>500*2</f>
        <v>1000</v>
      </c>
      <c r="AI38" s="25">
        <f t="shared" si="60"/>
        <v>4000</v>
      </c>
      <c r="AJ38" s="25">
        <f>1500*2</f>
        <v>3000</v>
      </c>
      <c r="AK38" s="25">
        <f t="shared" si="69"/>
        <v>12000</v>
      </c>
      <c r="AL38" s="26">
        <f t="shared" si="61"/>
        <v>4500</v>
      </c>
      <c r="AM38" s="26">
        <f t="shared" si="50"/>
        <v>18000</v>
      </c>
      <c r="AN38" s="26">
        <f t="shared" si="33"/>
        <v>4323.74</v>
      </c>
      <c r="AO38" s="26">
        <f t="shared" si="34"/>
        <v>5904.44</v>
      </c>
      <c r="AP38" s="33">
        <f>(((200/365)*120))*2</f>
        <v>131.51</v>
      </c>
      <c r="AQ38" s="40">
        <f t="shared" si="62"/>
        <v>83212.94</v>
      </c>
    </row>
    <row r="39" spans="1:43" ht="54.95" customHeight="1" x14ac:dyDescent="0.25">
      <c r="A39" s="7"/>
      <c r="B39" s="16" t="s">
        <v>29</v>
      </c>
      <c r="C39" s="14" t="s">
        <v>33</v>
      </c>
      <c r="D39" s="27">
        <v>72.540000000000006</v>
      </c>
      <c r="E39" s="28">
        <v>1</v>
      </c>
      <c r="F39" s="26">
        <f t="shared" si="63"/>
        <v>2248.7399999999998</v>
      </c>
      <c r="G39" s="28">
        <v>1</v>
      </c>
      <c r="H39" s="26">
        <f t="shared" si="64"/>
        <v>2103.66</v>
      </c>
      <c r="I39" s="28">
        <v>1</v>
      </c>
      <c r="J39" s="26">
        <f t="shared" si="52"/>
        <v>2248.7399999999998</v>
      </c>
      <c r="K39" s="28">
        <v>1</v>
      </c>
      <c r="L39" s="26">
        <f t="shared" si="53"/>
        <v>2176.1999999999998</v>
      </c>
      <c r="M39" s="28">
        <v>1</v>
      </c>
      <c r="N39" s="26">
        <f t="shared" si="54"/>
        <v>2248.7399999999998</v>
      </c>
      <c r="O39" s="28">
        <v>1</v>
      </c>
      <c r="P39" s="26">
        <f t="shared" si="55"/>
        <v>2176.1999999999998</v>
      </c>
      <c r="Q39" s="28">
        <v>1</v>
      </c>
      <c r="R39" s="26">
        <f t="shared" si="56"/>
        <v>2248.7399999999998</v>
      </c>
      <c r="S39" s="28">
        <v>1</v>
      </c>
      <c r="T39" s="26">
        <f t="shared" si="67"/>
        <v>2248.7399999999998</v>
      </c>
      <c r="U39" s="28">
        <v>1</v>
      </c>
      <c r="V39" s="26">
        <v>0</v>
      </c>
      <c r="W39" s="28">
        <v>1</v>
      </c>
      <c r="X39" s="26">
        <v>0</v>
      </c>
      <c r="Y39" s="28">
        <v>1</v>
      </c>
      <c r="Z39" s="26">
        <f t="shared" si="57"/>
        <v>2176.1999999999998</v>
      </c>
      <c r="AA39" s="28">
        <v>1</v>
      </c>
      <c r="AB39" s="26">
        <f t="shared" si="58"/>
        <v>2248.7399999999998</v>
      </c>
      <c r="AC39" s="26">
        <f t="shared" si="59"/>
        <v>22124.7</v>
      </c>
      <c r="AD39" s="25">
        <v>50</v>
      </c>
      <c r="AE39" s="25">
        <f>AD39*4</f>
        <v>200</v>
      </c>
      <c r="AF39" s="25">
        <f>250</f>
        <v>250</v>
      </c>
      <c r="AG39" s="25">
        <f t="shared" si="66"/>
        <v>1000</v>
      </c>
      <c r="AH39" s="25">
        <v>517</v>
      </c>
      <c r="AI39" s="25">
        <f t="shared" si="60"/>
        <v>2068</v>
      </c>
      <c r="AJ39" s="25">
        <v>1500</v>
      </c>
      <c r="AK39" s="25">
        <f t="shared" si="69"/>
        <v>6000</v>
      </c>
      <c r="AL39" s="26">
        <f t="shared" si="61"/>
        <v>2267</v>
      </c>
      <c r="AM39" s="26">
        <f t="shared" si="50"/>
        <v>9068</v>
      </c>
      <c r="AN39" s="26">
        <f t="shared" si="33"/>
        <v>2110.0100000000002</v>
      </c>
      <c r="AO39" s="26">
        <f t="shared" si="34"/>
        <v>2532.73</v>
      </c>
      <c r="AP39" s="33">
        <f>(((200/365)*120))*1</f>
        <v>65.75</v>
      </c>
      <c r="AQ39" s="40">
        <f t="shared" si="62"/>
        <v>36101.19</v>
      </c>
    </row>
    <row r="40" spans="1:43" ht="54.95" customHeight="1" x14ac:dyDescent="0.25">
      <c r="A40" s="7"/>
      <c r="B40" s="16" t="s">
        <v>29</v>
      </c>
      <c r="C40" s="14" t="s">
        <v>37</v>
      </c>
      <c r="D40" s="27">
        <v>73.59</v>
      </c>
      <c r="E40" s="28">
        <v>1</v>
      </c>
      <c r="F40" s="26">
        <f t="shared" si="63"/>
        <v>2281.29</v>
      </c>
      <c r="G40" s="28">
        <v>1</v>
      </c>
      <c r="H40" s="26">
        <f t="shared" si="64"/>
        <v>2134.11</v>
      </c>
      <c r="I40" s="28">
        <v>1</v>
      </c>
      <c r="J40" s="26">
        <f t="shared" si="52"/>
        <v>2281.29</v>
      </c>
      <c r="K40" s="28">
        <v>1</v>
      </c>
      <c r="L40" s="26">
        <f t="shared" si="53"/>
        <v>2207.6999999999998</v>
      </c>
      <c r="M40" s="28">
        <v>1</v>
      </c>
      <c r="N40" s="26">
        <f t="shared" si="54"/>
        <v>2281.29</v>
      </c>
      <c r="O40" s="28">
        <v>1</v>
      </c>
      <c r="P40" s="26">
        <f t="shared" si="55"/>
        <v>2207.6999999999998</v>
      </c>
      <c r="Q40" s="28">
        <v>1</v>
      </c>
      <c r="R40" s="26">
        <f t="shared" si="56"/>
        <v>2281.29</v>
      </c>
      <c r="S40" s="28">
        <v>1</v>
      </c>
      <c r="T40" s="26">
        <f t="shared" si="67"/>
        <v>2281.29</v>
      </c>
      <c r="U40" s="28">
        <v>1</v>
      </c>
      <c r="V40" s="26">
        <f t="shared" si="68"/>
        <v>2207.6999999999998</v>
      </c>
      <c r="W40" s="28">
        <v>1</v>
      </c>
      <c r="X40" s="26">
        <f t="shared" si="65"/>
        <v>2281.29</v>
      </c>
      <c r="Y40" s="28">
        <v>1</v>
      </c>
      <c r="Z40" s="26">
        <f t="shared" si="57"/>
        <v>2207.6999999999998</v>
      </c>
      <c r="AA40" s="28">
        <v>1</v>
      </c>
      <c r="AB40" s="26">
        <f t="shared" si="58"/>
        <v>2281.29</v>
      </c>
      <c r="AC40" s="26">
        <f t="shared" si="59"/>
        <v>26933.94</v>
      </c>
      <c r="AD40" s="25">
        <v>75</v>
      </c>
      <c r="AE40" s="25">
        <f>AD40*4</f>
        <v>300</v>
      </c>
      <c r="AF40" s="25">
        <v>250</v>
      </c>
      <c r="AG40" s="25">
        <f t="shared" si="66"/>
        <v>1000</v>
      </c>
      <c r="AH40" s="25">
        <v>500</v>
      </c>
      <c r="AI40" s="25">
        <f t="shared" si="60"/>
        <v>2000</v>
      </c>
      <c r="AJ40" s="25">
        <v>1500</v>
      </c>
      <c r="AK40" s="25">
        <f t="shared" si="69"/>
        <v>6000</v>
      </c>
      <c r="AL40" s="26">
        <f t="shared" si="61"/>
        <v>2250</v>
      </c>
      <c r="AM40" s="26">
        <f t="shared" si="50"/>
        <v>9000</v>
      </c>
      <c r="AN40" s="26">
        <f t="shared" si="33"/>
        <v>2129.65</v>
      </c>
      <c r="AO40" s="26">
        <f t="shared" si="34"/>
        <v>2936.16</v>
      </c>
      <c r="AP40" s="33">
        <f>(((200/365)*120))*1</f>
        <v>65.75</v>
      </c>
      <c r="AQ40" s="40">
        <f t="shared" si="62"/>
        <v>41365.5</v>
      </c>
    </row>
    <row r="41" spans="1:43" ht="54.95" customHeight="1" x14ac:dyDescent="0.25">
      <c r="A41" s="7"/>
      <c r="B41" s="16" t="s">
        <v>29</v>
      </c>
      <c r="C41" s="14" t="s">
        <v>39</v>
      </c>
      <c r="D41" s="27">
        <v>75.64</v>
      </c>
      <c r="E41" s="28">
        <v>1</v>
      </c>
      <c r="F41" s="26">
        <f t="shared" si="63"/>
        <v>2344.84</v>
      </c>
      <c r="G41" s="28">
        <v>1</v>
      </c>
      <c r="H41" s="26">
        <f t="shared" si="64"/>
        <v>2193.56</v>
      </c>
      <c r="I41" s="28">
        <v>1</v>
      </c>
      <c r="J41" s="26">
        <f t="shared" si="52"/>
        <v>2344.84</v>
      </c>
      <c r="K41" s="28">
        <v>1</v>
      </c>
      <c r="L41" s="26">
        <f t="shared" si="53"/>
        <v>2269.1999999999998</v>
      </c>
      <c r="M41" s="28">
        <v>1</v>
      </c>
      <c r="N41" s="26">
        <f t="shared" si="54"/>
        <v>2344.84</v>
      </c>
      <c r="O41" s="28">
        <v>1</v>
      </c>
      <c r="P41" s="26">
        <f t="shared" si="55"/>
        <v>2269.1999999999998</v>
      </c>
      <c r="Q41" s="28">
        <v>1</v>
      </c>
      <c r="R41" s="26">
        <f t="shared" si="56"/>
        <v>2344.84</v>
      </c>
      <c r="S41" s="28">
        <v>1</v>
      </c>
      <c r="T41" s="26">
        <f t="shared" si="67"/>
        <v>2344.84</v>
      </c>
      <c r="U41" s="28">
        <v>1</v>
      </c>
      <c r="V41" s="26">
        <f t="shared" si="68"/>
        <v>2269.1999999999998</v>
      </c>
      <c r="W41" s="28">
        <v>1</v>
      </c>
      <c r="X41" s="26">
        <f t="shared" si="65"/>
        <v>2344.84</v>
      </c>
      <c r="Y41" s="28">
        <v>1</v>
      </c>
      <c r="Z41" s="26">
        <f t="shared" si="57"/>
        <v>2269.1999999999998</v>
      </c>
      <c r="AA41" s="28">
        <v>1</v>
      </c>
      <c r="AB41" s="26">
        <f t="shared" si="58"/>
        <v>2344.84</v>
      </c>
      <c r="AC41" s="26">
        <f t="shared" si="59"/>
        <v>27684.240000000002</v>
      </c>
      <c r="AD41" s="25">
        <v>50</v>
      </c>
      <c r="AE41" s="25">
        <f t="shared" ref="AE41" si="70">AD41*4</f>
        <v>200</v>
      </c>
      <c r="AF41" s="25">
        <v>250</v>
      </c>
      <c r="AG41" s="25">
        <f t="shared" si="66"/>
        <v>1000</v>
      </c>
      <c r="AH41" s="25">
        <v>500</v>
      </c>
      <c r="AI41" s="25">
        <f t="shared" si="60"/>
        <v>2000</v>
      </c>
      <c r="AJ41" s="25">
        <v>1500</v>
      </c>
      <c r="AK41" s="25">
        <f t="shared" si="69"/>
        <v>6000</v>
      </c>
      <c r="AL41" s="26">
        <f t="shared" si="61"/>
        <v>2250</v>
      </c>
      <c r="AM41" s="26">
        <f t="shared" si="50"/>
        <v>9000</v>
      </c>
      <c r="AN41" s="26">
        <f t="shared" si="33"/>
        <v>2147.8000000000002</v>
      </c>
      <c r="AO41" s="26">
        <f t="shared" si="34"/>
        <v>2990.35</v>
      </c>
      <c r="AP41" s="33">
        <f>(((200/365)*120))*1</f>
        <v>65.75</v>
      </c>
      <c r="AQ41" s="40">
        <f t="shared" si="62"/>
        <v>42088.14</v>
      </c>
    </row>
    <row r="42" spans="1:43" ht="54.95" customHeight="1" x14ac:dyDescent="0.25">
      <c r="A42" s="7"/>
      <c r="B42" s="16" t="s">
        <v>29</v>
      </c>
      <c r="C42" s="15" t="s">
        <v>24</v>
      </c>
      <c r="D42" s="27">
        <v>78.25</v>
      </c>
      <c r="E42" s="28">
        <v>1</v>
      </c>
      <c r="F42" s="26">
        <f t="shared" ref="F42" si="71">D42*E42*31</f>
        <v>2425.75</v>
      </c>
      <c r="G42" s="28">
        <v>1</v>
      </c>
      <c r="H42" s="26">
        <f t="shared" si="64"/>
        <v>2269.25</v>
      </c>
      <c r="I42" s="28">
        <v>1</v>
      </c>
      <c r="J42" s="26">
        <f t="shared" si="36"/>
        <v>2425.75</v>
      </c>
      <c r="K42" s="28">
        <v>1</v>
      </c>
      <c r="L42" s="26">
        <f t="shared" si="37"/>
        <v>2347.5</v>
      </c>
      <c r="M42" s="28">
        <v>1</v>
      </c>
      <c r="N42" s="26">
        <f t="shared" si="38"/>
        <v>2425.75</v>
      </c>
      <c r="O42" s="28">
        <v>1</v>
      </c>
      <c r="P42" s="26">
        <f t="shared" si="39"/>
        <v>2347.5</v>
      </c>
      <c r="Q42" s="28">
        <v>1</v>
      </c>
      <c r="R42" s="26">
        <f t="shared" si="40"/>
        <v>2425.75</v>
      </c>
      <c r="S42" s="28">
        <v>1</v>
      </c>
      <c r="T42" s="26">
        <f t="shared" si="41"/>
        <v>2425.75</v>
      </c>
      <c r="U42" s="28">
        <v>1</v>
      </c>
      <c r="V42" s="26">
        <f t="shared" si="42"/>
        <v>2347.5</v>
      </c>
      <c r="W42" s="28">
        <v>1</v>
      </c>
      <c r="X42" s="26">
        <f t="shared" si="43"/>
        <v>2425.75</v>
      </c>
      <c r="Y42" s="28">
        <v>1</v>
      </c>
      <c r="Z42" s="26">
        <f t="shared" si="44"/>
        <v>2347.5</v>
      </c>
      <c r="AA42" s="28">
        <v>1</v>
      </c>
      <c r="AB42" s="26">
        <f t="shared" si="45"/>
        <v>2425.75</v>
      </c>
      <c r="AC42" s="26">
        <f t="shared" si="46"/>
        <v>28639.5</v>
      </c>
      <c r="AD42" s="25">
        <v>0</v>
      </c>
      <c r="AE42" s="25">
        <v>0</v>
      </c>
      <c r="AF42" s="25">
        <f>250</f>
        <v>250</v>
      </c>
      <c r="AG42" s="25">
        <f t="shared" si="66"/>
        <v>1000</v>
      </c>
      <c r="AH42" s="25">
        <f>500</f>
        <v>500</v>
      </c>
      <c r="AI42" s="25">
        <f t="shared" si="47"/>
        <v>2000</v>
      </c>
      <c r="AJ42" s="25">
        <f>1500</f>
        <v>1500</v>
      </c>
      <c r="AK42" s="25">
        <f t="shared" si="48"/>
        <v>6000</v>
      </c>
      <c r="AL42" s="26">
        <f t="shared" si="49"/>
        <v>2250</v>
      </c>
      <c r="AM42" s="26">
        <f t="shared" si="50"/>
        <v>9000</v>
      </c>
      <c r="AN42" s="26">
        <f t="shared" si="33"/>
        <v>2161.87</v>
      </c>
      <c r="AO42" s="26">
        <f t="shared" si="34"/>
        <v>3053.29</v>
      </c>
      <c r="AP42" s="33">
        <f>(((200/365)*120))*1</f>
        <v>65.75</v>
      </c>
      <c r="AQ42" s="40">
        <f t="shared" si="51"/>
        <v>42920.41</v>
      </c>
    </row>
    <row r="43" spans="1:43" ht="54.95" customHeight="1" x14ac:dyDescent="0.25">
      <c r="A43" s="7"/>
      <c r="B43" s="16" t="s">
        <v>41</v>
      </c>
      <c r="C43" s="76"/>
      <c r="D43" s="27"/>
      <c r="E43" s="56">
        <f>SUM(E27:E42)</f>
        <v>46</v>
      </c>
      <c r="F43" s="58">
        <f>SUM(F27:F42)</f>
        <v>101374.65</v>
      </c>
      <c r="G43" s="28"/>
      <c r="H43" s="58">
        <f>SUM(H27:H42)</f>
        <v>94834.35</v>
      </c>
      <c r="I43" s="28"/>
      <c r="J43" s="58">
        <f>SUM(J27:J42)</f>
        <v>102020.82</v>
      </c>
      <c r="K43" s="28"/>
      <c r="L43" s="58">
        <f>SUM(L27:L42)</f>
        <v>98007.6</v>
      </c>
      <c r="M43" s="28"/>
      <c r="N43" s="58">
        <f>SUM(N27:N42)</f>
        <v>101274.52</v>
      </c>
      <c r="O43" s="28"/>
      <c r="P43" s="58">
        <f>SUM(P27:P42)</f>
        <v>104550.9</v>
      </c>
      <c r="Q43" s="28"/>
      <c r="R43" s="58">
        <f>SUM(R27:R42)</f>
        <v>105789.85</v>
      </c>
      <c r="S43" s="28"/>
      <c r="T43" s="58">
        <f>SUM(T27:T42)</f>
        <v>105868.1</v>
      </c>
      <c r="U43" s="28"/>
      <c r="V43" s="58">
        <f>SUM(V27:V42)</f>
        <v>98134.8</v>
      </c>
      <c r="W43" s="79"/>
      <c r="X43" s="58">
        <f>SUM(X27:X42)</f>
        <v>101405.96</v>
      </c>
      <c r="Y43" s="28"/>
      <c r="Z43" s="58">
        <f>SUM(Z27:Z42)</f>
        <v>102515.7</v>
      </c>
      <c r="AA43" s="28"/>
      <c r="AB43" s="58">
        <f>SUM(AB27:AB42)</f>
        <v>105932.89</v>
      </c>
      <c r="AC43" s="20">
        <f t="shared" ref="AC43:AO43" si="72">SUM(AC28:AC42)</f>
        <v>834130.78</v>
      </c>
      <c r="AD43" s="22">
        <f t="shared" si="72"/>
        <v>775</v>
      </c>
      <c r="AE43" s="22">
        <f t="shared" si="72"/>
        <v>3100</v>
      </c>
      <c r="AF43" s="22">
        <f t="shared" si="72"/>
        <v>8750</v>
      </c>
      <c r="AG43" s="22">
        <f t="shared" si="72"/>
        <v>46250</v>
      </c>
      <c r="AH43" s="22">
        <f t="shared" si="72"/>
        <v>18646</v>
      </c>
      <c r="AI43" s="22">
        <f t="shared" si="72"/>
        <v>74584</v>
      </c>
      <c r="AJ43" s="22">
        <f t="shared" si="72"/>
        <v>52500</v>
      </c>
      <c r="AK43" s="22">
        <f t="shared" si="72"/>
        <v>210000</v>
      </c>
      <c r="AL43" s="20">
        <f t="shared" si="72"/>
        <v>79896</v>
      </c>
      <c r="AM43" s="20">
        <f t="shared" si="72"/>
        <v>330834</v>
      </c>
      <c r="AN43" s="17">
        <f t="shared" si="72"/>
        <v>68702.429999999993</v>
      </c>
      <c r="AO43" s="17">
        <f t="shared" si="72"/>
        <v>92141.95</v>
      </c>
      <c r="AP43" s="17">
        <f>SUM(AP27:AP42)</f>
        <v>3221.9</v>
      </c>
      <c r="AQ43" s="24">
        <f>SUM(AQ28:AQ42)</f>
        <v>1315099.19</v>
      </c>
    </row>
    <row r="44" spans="1:43" ht="54.95" customHeight="1" x14ac:dyDescent="0.25">
      <c r="A44" s="7"/>
      <c r="B44" s="16" t="s">
        <v>58</v>
      </c>
      <c r="C44" s="14" t="s">
        <v>61</v>
      </c>
      <c r="D44" s="64">
        <v>80.86</v>
      </c>
      <c r="E44" s="67">
        <v>5</v>
      </c>
      <c r="F44" s="26">
        <f>D44*E44*31</f>
        <v>12533.3</v>
      </c>
      <c r="G44" s="67">
        <v>5</v>
      </c>
      <c r="H44" s="26">
        <f t="shared" ref="H44:H45" si="73">D44*E44*29</f>
        <v>11724.7</v>
      </c>
      <c r="I44" s="67">
        <v>5</v>
      </c>
      <c r="J44" s="26">
        <f>D44*E44*31</f>
        <v>12533.3</v>
      </c>
      <c r="K44" s="67">
        <v>5</v>
      </c>
      <c r="L44" s="26">
        <f t="shared" si="37"/>
        <v>12129</v>
      </c>
      <c r="M44" s="67">
        <v>5</v>
      </c>
      <c r="N44" s="26">
        <f t="shared" si="38"/>
        <v>12533.3</v>
      </c>
      <c r="O44" s="67">
        <v>5</v>
      </c>
      <c r="P44" s="26">
        <f t="shared" si="39"/>
        <v>12129</v>
      </c>
      <c r="Q44" s="67">
        <v>5</v>
      </c>
      <c r="R44" s="26">
        <f>D44*4*31+D44*1*28</f>
        <v>12290.72</v>
      </c>
      <c r="S44" s="67">
        <v>5</v>
      </c>
      <c r="T44" s="26">
        <f t="shared" si="41"/>
        <v>12533.3</v>
      </c>
      <c r="U44" s="67">
        <v>5</v>
      </c>
      <c r="V44" s="26">
        <f t="shared" si="42"/>
        <v>12129</v>
      </c>
      <c r="W44" s="67">
        <v>5</v>
      </c>
      <c r="X44" s="26">
        <f t="shared" si="43"/>
        <v>12533.3</v>
      </c>
      <c r="Y44" s="67">
        <v>5</v>
      </c>
      <c r="Z44" s="26">
        <f t="shared" si="44"/>
        <v>12129</v>
      </c>
      <c r="AA44" s="67">
        <v>5</v>
      </c>
      <c r="AB44" s="26">
        <f t="shared" si="45"/>
        <v>12533.3</v>
      </c>
      <c r="AC44" s="26">
        <f>F44+H44+J44+L44+N44+P44+R44+T44+V44+X44+Z44+AB44</f>
        <v>147731.22</v>
      </c>
      <c r="AD44" s="25">
        <v>0</v>
      </c>
      <c r="AE44" s="25">
        <v>0</v>
      </c>
      <c r="AF44" s="25">
        <v>250</v>
      </c>
      <c r="AG44" s="25">
        <f>AF44*5</f>
        <v>1250</v>
      </c>
      <c r="AH44" s="25">
        <v>0</v>
      </c>
      <c r="AI44" s="25">
        <f t="shared" ref="AI44" si="74">AH44*4</f>
        <v>0</v>
      </c>
      <c r="AJ44" s="25">
        <f>1500</f>
        <v>1500</v>
      </c>
      <c r="AK44" s="25">
        <f>AJ44*5</f>
        <v>7500</v>
      </c>
      <c r="AL44" s="26">
        <f t="shared" ref="AL44:AM46" si="75">AF44+AH44+AJ44</f>
        <v>1750</v>
      </c>
      <c r="AM44" s="26">
        <f t="shared" si="75"/>
        <v>8750</v>
      </c>
      <c r="AN44" s="26">
        <f>(((L44+AD44+AH44+AJ44)/366)*182)</f>
        <v>6777.26</v>
      </c>
      <c r="AO44" s="26">
        <f t="shared" ref="AO44:AO46" si="76">(((AC44+AE44+AI44+AK44)/12))</f>
        <v>12935.94</v>
      </c>
      <c r="AP44" s="33">
        <f t="shared" ref="AP44:AP46" si="77">(((200/366)*182))*2</f>
        <v>198.91</v>
      </c>
      <c r="AQ44" s="40">
        <f>AC44+AE44+AG44+AI44+AK44+AN44+AO44+AP44</f>
        <v>176393.33</v>
      </c>
    </row>
    <row r="45" spans="1:43" ht="54.95" customHeight="1" x14ac:dyDescent="0.25">
      <c r="A45" s="7"/>
      <c r="B45" s="16" t="s">
        <v>58</v>
      </c>
      <c r="C45" s="14" t="s">
        <v>60</v>
      </c>
      <c r="D45" s="64">
        <v>71.400000000000006</v>
      </c>
      <c r="E45" s="67">
        <v>2</v>
      </c>
      <c r="F45" s="26">
        <f t="shared" ref="F45" si="78">D45*E45*31</f>
        <v>4426.8</v>
      </c>
      <c r="G45" s="67">
        <v>2</v>
      </c>
      <c r="H45" s="26">
        <f t="shared" si="73"/>
        <v>4141.2</v>
      </c>
      <c r="I45" s="67">
        <v>2</v>
      </c>
      <c r="J45" s="26">
        <f t="shared" si="36"/>
        <v>4426.8</v>
      </c>
      <c r="K45" s="67">
        <v>2</v>
      </c>
      <c r="L45" s="26">
        <f t="shared" si="37"/>
        <v>4284</v>
      </c>
      <c r="M45" s="67">
        <v>2</v>
      </c>
      <c r="N45" s="26">
        <f t="shared" si="38"/>
        <v>4426.8</v>
      </c>
      <c r="O45" s="67">
        <v>2</v>
      </c>
      <c r="P45" s="26">
        <f t="shared" si="39"/>
        <v>4284</v>
      </c>
      <c r="Q45" s="67">
        <v>2</v>
      </c>
      <c r="R45" s="26">
        <f t="shared" si="40"/>
        <v>4426.8</v>
      </c>
      <c r="S45" s="67">
        <v>2</v>
      </c>
      <c r="T45" s="26">
        <f t="shared" si="41"/>
        <v>4426.8</v>
      </c>
      <c r="U45" s="67">
        <v>2</v>
      </c>
      <c r="V45" s="26">
        <f t="shared" si="42"/>
        <v>4284</v>
      </c>
      <c r="W45" s="67">
        <v>2</v>
      </c>
      <c r="X45" s="26">
        <f t="shared" si="43"/>
        <v>4426.8</v>
      </c>
      <c r="Y45" s="67">
        <v>2</v>
      </c>
      <c r="Z45" s="26">
        <f t="shared" si="44"/>
        <v>4284</v>
      </c>
      <c r="AA45" s="67">
        <v>2</v>
      </c>
      <c r="AB45" s="26">
        <f t="shared" si="45"/>
        <v>4426.8</v>
      </c>
      <c r="AC45" s="26">
        <f t="shared" ref="AC45" si="79">F45+H45+J45+L45+N45+P45+R45+T45+V45+X45+Z45+AB45</f>
        <v>52264.800000000003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75"/>
        <v>1750</v>
      </c>
      <c r="AM45" s="26">
        <f t="shared" si="75"/>
        <v>3500</v>
      </c>
      <c r="AN45" s="26">
        <f t="shared" ref="AN45:AN46" si="80">(((L45+AD45+AH45+AJ45)/366)*182)</f>
        <v>2876.2</v>
      </c>
      <c r="AO45" s="26">
        <f t="shared" si="76"/>
        <v>4605.3999999999996</v>
      </c>
      <c r="AP45" s="33">
        <f t="shared" si="77"/>
        <v>198.91</v>
      </c>
      <c r="AQ45" s="40">
        <f t="shared" ref="AQ45" si="81">AC45+AE45+AG45+AI45+AK45+AN45+AO45+AP45</f>
        <v>63445.31</v>
      </c>
    </row>
    <row r="46" spans="1:43" ht="54.95" customHeight="1" x14ac:dyDescent="0.25">
      <c r="A46" s="7"/>
      <c r="B46" s="16" t="s">
        <v>58</v>
      </c>
      <c r="C46" s="14" t="s">
        <v>59</v>
      </c>
      <c r="D46" s="64">
        <v>75.64</v>
      </c>
      <c r="E46" s="67">
        <v>2</v>
      </c>
      <c r="F46" s="26">
        <f>D46*E46*31</f>
        <v>4689.68</v>
      </c>
      <c r="G46" s="67">
        <v>2</v>
      </c>
      <c r="H46" s="26">
        <f>D46*1*29</f>
        <v>2193.56</v>
      </c>
      <c r="I46" s="67">
        <v>2</v>
      </c>
      <c r="J46" s="26">
        <f>D46*1*31</f>
        <v>2344.84</v>
      </c>
      <c r="K46" s="67">
        <v>2</v>
      </c>
      <c r="L46" s="26">
        <f>D46*1*30</f>
        <v>2269.1999999999998</v>
      </c>
      <c r="M46" s="67">
        <v>2</v>
      </c>
      <c r="N46" s="26">
        <f>D46*1*31</f>
        <v>2344.84</v>
      </c>
      <c r="O46" s="67">
        <v>2</v>
      </c>
      <c r="P46" s="26">
        <f>D46*1*30</f>
        <v>2269.1999999999998</v>
      </c>
      <c r="Q46" s="67">
        <v>2</v>
      </c>
      <c r="R46" s="26">
        <f>D46*1*31+4462.76</f>
        <v>6807.6</v>
      </c>
      <c r="S46" s="67">
        <v>2</v>
      </c>
      <c r="T46" s="26">
        <f t="shared" si="41"/>
        <v>4689.68</v>
      </c>
      <c r="U46" s="67">
        <v>2</v>
      </c>
      <c r="V46" s="26">
        <f t="shared" si="42"/>
        <v>4538.3999999999996</v>
      </c>
      <c r="W46" s="67">
        <v>2</v>
      </c>
      <c r="X46" s="26">
        <f t="shared" si="43"/>
        <v>4689.68</v>
      </c>
      <c r="Y46" s="67">
        <v>2</v>
      </c>
      <c r="Z46" s="26">
        <f t="shared" si="44"/>
        <v>4538.3999999999996</v>
      </c>
      <c r="AA46" s="67">
        <v>2</v>
      </c>
      <c r="AB46" s="26">
        <f t="shared" si="45"/>
        <v>4689.68</v>
      </c>
      <c r="AC46" s="26">
        <f>F46+H46+J46+L46+N46+P46+R46+T46+V46+X46+Z46+AB46</f>
        <v>46064.76</v>
      </c>
      <c r="AD46" s="25">
        <v>0</v>
      </c>
      <c r="AE46" s="25">
        <v>0</v>
      </c>
      <c r="AF46" s="25">
        <v>250</v>
      </c>
      <c r="AG46" s="25">
        <f>AF46*2</f>
        <v>500</v>
      </c>
      <c r="AH46" s="25">
        <v>0</v>
      </c>
      <c r="AI46" s="25">
        <v>0</v>
      </c>
      <c r="AJ46" s="25">
        <f>1500</f>
        <v>1500</v>
      </c>
      <c r="AK46" s="25">
        <f>AJ46*2</f>
        <v>3000</v>
      </c>
      <c r="AL46" s="26">
        <f t="shared" si="75"/>
        <v>1750</v>
      </c>
      <c r="AM46" s="26">
        <f t="shared" si="75"/>
        <v>3500</v>
      </c>
      <c r="AN46" s="26">
        <f t="shared" si="80"/>
        <v>1874.3</v>
      </c>
      <c r="AO46" s="26">
        <f t="shared" si="76"/>
        <v>4088.73</v>
      </c>
      <c r="AP46" s="33">
        <f t="shared" si="77"/>
        <v>198.91</v>
      </c>
      <c r="AQ46" s="40">
        <f>AC46+AE46+AG46+AI46+AK46+AN46+AO46+AP46</f>
        <v>55726.7</v>
      </c>
    </row>
    <row r="47" spans="1:43" ht="54.95" customHeight="1" x14ac:dyDescent="0.25">
      <c r="A47" s="7"/>
      <c r="B47" s="16"/>
      <c r="C47" s="14"/>
      <c r="D47" s="27"/>
      <c r="E47" s="56">
        <f>SUM(E44:E46)</f>
        <v>9</v>
      </c>
      <c r="F47" s="22">
        <f>SUM(F44:F46)</f>
        <v>21649.78</v>
      </c>
      <c r="G47" s="28"/>
      <c r="H47" s="22">
        <f>SUM(H44:H46)</f>
        <v>18059.46</v>
      </c>
      <c r="I47" s="28"/>
      <c r="J47" s="22">
        <f>SUM(J44:J46)</f>
        <v>19304.939999999999</v>
      </c>
      <c r="K47" s="28"/>
      <c r="L47" s="22">
        <f>SUM(L44:L46)</f>
        <v>18682.2</v>
      </c>
      <c r="M47" s="28"/>
      <c r="N47" s="22">
        <f>SUM(N44:N46)</f>
        <v>19304.939999999999</v>
      </c>
      <c r="O47" s="28"/>
      <c r="P47" s="22">
        <f>SUM(P44:P46)</f>
        <v>18682.2</v>
      </c>
      <c r="Q47" s="28"/>
      <c r="R47" s="22">
        <f>SUM(R44:R46)</f>
        <v>23525.119999999999</v>
      </c>
      <c r="S47" s="28"/>
      <c r="T47" s="22">
        <f>SUM(T44:T46)</f>
        <v>21649.78</v>
      </c>
      <c r="U47" s="28"/>
      <c r="V47" s="22">
        <f>SUM(V44:V46)</f>
        <v>20951.400000000001</v>
      </c>
      <c r="W47" s="28"/>
      <c r="X47" s="22">
        <f>SUM(X44:X46)</f>
        <v>21649.78</v>
      </c>
      <c r="Y47" s="28"/>
      <c r="Z47" s="22">
        <f>SUM(Z44:Z46)</f>
        <v>20951.400000000001</v>
      </c>
      <c r="AA47" s="28"/>
      <c r="AB47" s="22">
        <f>SUM(AB44:AB46)</f>
        <v>21649.78</v>
      </c>
      <c r="AC47" s="20">
        <f>SUM(AC44:AC46)</f>
        <v>246060.78</v>
      </c>
      <c r="AD47" s="20">
        <f t="shared" ref="AD47:AM47" si="82">SUM(AD46:AD46)</f>
        <v>0</v>
      </c>
      <c r="AE47" s="20">
        <f t="shared" si="82"/>
        <v>0</v>
      </c>
      <c r="AF47" s="20">
        <f t="shared" si="82"/>
        <v>250</v>
      </c>
      <c r="AG47" s="20">
        <f t="shared" si="82"/>
        <v>500</v>
      </c>
      <c r="AH47" s="20">
        <f t="shared" si="82"/>
        <v>0</v>
      </c>
      <c r="AI47" s="20">
        <f t="shared" si="82"/>
        <v>0</v>
      </c>
      <c r="AJ47" s="20">
        <f t="shared" si="82"/>
        <v>1500</v>
      </c>
      <c r="AK47" s="20">
        <f t="shared" si="82"/>
        <v>3000</v>
      </c>
      <c r="AL47" s="20">
        <f t="shared" si="82"/>
        <v>1750</v>
      </c>
      <c r="AM47" s="20">
        <f t="shared" si="82"/>
        <v>3500</v>
      </c>
      <c r="AN47" s="20">
        <f>SUM(AN44:AN46)</f>
        <v>11527.76</v>
      </c>
      <c r="AO47" s="20">
        <f>SUM(AO44:AO46)</f>
        <v>21630.07</v>
      </c>
      <c r="AP47" s="20">
        <f>SUM(AP44:AP46)</f>
        <v>596.73</v>
      </c>
      <c r="AQ47" s="77">
        <f>SUM(AQ44:AQ46)</f>
        <v>295565.34000000003</v>
      </c>
    </row>
    <row r="48" spans="1:43" ht="54.95" customHeight="1" x14ac:dyDescent="0.25">
      <c r="A48" s="7"/>
      <c r="B48" s="19"/>
      <c r="C48" s="57" t="s">
        <v>49</v>
      </c>
      <c r="D48" s="27"/>
      <c r="E48" s="28">
        <f>E23+E26+E43+E47</f>
        <v>74</v>
      </c>
      <c r="F48" s="21">
        <f>F23+F26+F43+F47</f>
        <v>164416.87</v>
      </c>
      <c r="G48" s="21"/>
      <c r="H48" s="21">
        <f>H23+H26+H43+H47</f>
        <v>149451.5</v>
      </c>
      <c r="I48" s="21"/>
      <c r="J48" s="21">
        <f>J23+J26+J43+J47</f>
        <v>160404.67000000001</v>
      </c>
      <c r="K48" s="21"/>
      <c r="L48" s="21">
        <f>L23+L26+L43+L47</f>
        <v>154508.1</v>
      </c>
      <c r="M48" s="21"/>
      <c r="N48" s="21">
        <f>N23+N26+N43+N47</f>
        <v>162003.21</v>
      </c>
      <c r="O48" s="21"/>
      <c r="P48" s="21">
        <f>P23+P26+P43+P47</f>
        <v>163320.6</v>
      </c>
      <c r="Q48" s="21"/>
      <c r="R48" s="21">
        <f>R23+R26+R43+R47</f>
        <v>161753.68</v>
      </c>
      <c r="S48" s="21"/>
      <c r="T48" s="21">
        <f>T23+T26+T43+T47</f>
        <v>165396.93</v>
      </c>
      <c r="U48" s="21"/>
      <c r="V48" s="21">
        <f>V23+V26+V43+V47</f>
        <v>153695.41</v>
      </c>
      <c r="W48" s="21"/>
      <c r="X48" s="21">
        <f>X23+X26+X43+X47</f>
        <v>159821.12</v>
      </c>
      <c r="Y48" s="21"/>
      <c r="Z48" s="21">
        <f>Z23+Z26+Z43+Z47</f>
        <v>163524.29999999999</v>
      </c>
      <c r="AA48" s="21"/>
      <c r="AB48" s="21">
        <f t="shared" ref="AB48:AQ48" si="83">AB23+AB26+AB43+AB47</f>
        <v>168975.11</v>
      </c>
      <c r="AC48" s="21">
        <f t="shared" si="83"/>
        <v>1539692.14</v>
      </c>
      <c r="AD48" s="21">
        <f t="shared" si="83"/>
        <v>975</v>
      </c>
      <c r="AE48" s="21">
        <f t="shared" si="83"/>
        <v>3900</v>
      </c>
      <c r="AF48" s="21">
        <f t="shared" si="83"/>
        <v>14250</v>
      </c>
      <c r="AG48" s="21">
        <f t="shared" si="83"/>
        <v>67750</v>
      </c>
      <c r="AH48" s="21">
        <f t="shared" si="83"/>
        <v>28566</v>
      </c>
      <c r="AI48" s="21">
        <f t="shared" si="83"/>
        <v>114264</v>
      </c>
      <c r="AJ48" s="21">
        <f t="shared" si="83"/>
        <v>85500</v>
      </c>
      <c r="AK48" s="21">
        <f t="shared" si="83"/>
        <v>339000</v>
      </c>
      <c r="AL48" s="21">
        <f t="shared" si="83"/>
        <v>128316</v>
      </c>
      <c r="AM48" s="21">
        <f t="shared" si="83"/>
        <v>521014</v>
      </c>
      <c r="AN48" s="21">
        <f t="shared" si="83"/>
        <v>119732.29</v>
      </c>
      <c r="AO48" s="21">
        <f t="shared" si="83"/>
        <v>165937.07999999999</v>
      </c>
      <c r="AP48" s="21">
        <f t="shared" si="83"/>
        <v>5012.09</v>
      </c>
      <c r="AQ48" s="78">
        <f t="shared" si="83"/>
        <v>2350505.73</v>
      </c>
    </row>
    <row r="49" spans="1:43" x14ac:dyDescent="0.25">
      <c r="A49" s="41"/>
      <c r="B49" s="34"/>
      <c r="C49" s="35"/>
      <c r="D49" s="36"/>
      <c r="E49" s="37"/>
      <c r="F49" s="36"/>
      <c r="G49" s="37"/>
      <c r="H49" s="36"/>
      <c r="I49" s="38"/>
      <c r="J49" s="36"/>
      <c r="K49" s="37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6"/>
      <c r="AO49" s="36"/>
      <c r="AP49" s="36"/>
      <c r="AQ49" s="42"/>
    </row>
    <row r="50" spans="1:43" ht="21.75" thickBot="1" x14ac:dyDescent="0.4">
      <c r="A50" s="43" t="s">
        <v>17</v>
      </c>
      <c r="B50" s="44"/>
      <c r="C50" s="45"/>
      <c r="D50" s="46"/>
      <c r="E50" s="47"/>
      <c r="F50" s="46"/>
      <c r="G50" s="47"/>
      <c r="H50" s="46"/>
      <c r="I50" s="48"/>
      <c r="J50" s="46"/>
      <c r="K50" s="47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6"/>
      <c r="AO50" s="46"/>
      <c r="AP50" s="49"/>
      <c r="AQ50" s="50"/>
    </row>
    <row r="53" spans="1:43" x14ac:dyDescent="0.25">
      <c r="Q53" s="65"/>
      <c r="R53" s="59"/>
      <c r="S53" s="65"/>
      <c r="T53" s="59"/>
      <c r="U53" s="65"/>
      <c r="V53" s="59"/>
      <c r="W53" s="65"/>
      <c r="X53" s="59"/>
      <c r="Y53" s="65"/>
      <c r="Z53" s="59"/>
      <c r="AA53" s="65"/>
      <c r="AB53" s="59"/>
      <c r="AC53" s="65"/>
    </row>
  </sheetData>
  <mergeCells count="33"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K17:L17"/>
    <mergeCell ref="S17:T17"/>
    <mergeCell ref="O17:P17"/>
    <mergeCell ref="M17:N17"/>
    <mergeCell ref="W17:X17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ignoredErrors>
    <ignoredError sqref="AD16 AN16:AP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Artes</cp:lastModifiedBy>
  <cp:lastPrinted>2023-02-03T22:15:18Z</cp:lastPrinted>
  <dcterms:created xsi:type="dcterms:W3CDTF">2022-03-31T18:56:32Z</dcterms:created>
  <dcterms:modified xsi:type="dcterms:W3CDTF">2024-11-05T21:00:43Z</dcterms:modified>
</cp:coreProperties>
</file>