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Yadira Lopez\Desktop\DOCUMENTOS YADIRA LOPEZ\2025\17 TER\"/>
    </mc:Choice>
  </mc:AlternateContent>
  <xr:revisionPtr revIDLastSave="0" documentId="8_{7698A7F3-BCA4-4453-B4D8-96ED233064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B&quot; (2)" sheetId="3" r:id="rId1"/>
    <sheet name="Hoja1" sheetId="4" r:id="rId2"/>
    <sheet name="REPRO SEPTIEMBRE" sheetId="2" state="hidden" r:id="rId3"/>
  </sheets>
  <definedNames>
    <definedName name="_xlnm.Print_Area" localSheetId="0">'Literal "B" (2)'!$B$1:$AU$175</definedName>
    <definedName name="_xlnm.Print_Titles" localSheetId="0">'Literal "B" (2)'!$1:$17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3" l="1"/>
  <c r="I29" i="3"/>
  <c r="I28" i="3"/>
  <c r="I27" i="3"/>
  <c r="I26" i="3"/>
  <c r="I25" i="3"/>
  <c r="I24" i="3"/>
  <c r="I23" i="3"/>
  <c r="I22" i="3"/>
  <c r="I20" i="3"/>
  <c r="I19" i="3"/>
  <c r="AN135" i="3"/>
  <c r="AM135" i="3"/>
  <c r="AL135" i="3"/>
  <c r="AJ135" i="3"/>
  <c r="AH135" i="3"/>
  <c r="AF135" i="3"/>
  <c r="AD135" i="3"/>
  <c r="G135" i="3"/>
  <c r="B135" i="3"/>
  <c r="I136" i="3"/>
  <c r="I134" i="3"/>
  <c r="I133" i="3"/>
  <c r="I132" i="3"/>
  <c r="I131" i="3"/>
  <c r="I130" i="3"/>
  <c r="I129" i="3"/>
  <c r="I128" i="3"/>
  <c r="I127" i="3"/>
  <c r="I126" i="3"/>
  <c r="I114" i="3"/>
  <c r="AO114" i="3"/>
  <c r="AN114" i="3"/>
  <c r="AM114" i="3"/>
  <c r="AL114" i="3"/>
  <c r="AJ114" i="3"/>
  <c r="AH114" i="3"/>
  <c r="AF114" i="3"/>
  <c r="AD114" i="3"/>
  <c r="G114" i="3"/>
  <c r="I109" i="3"/>
  <c r="I110" i="3"/>
  <c r="G111" i="3"/>
  <c r="AU111" i="3" s="1"/>
  <c r="I111" i="3"/>
  <c r="AD111" i="3"/>
  <c r="AF111" i="3"/>
  <c r="AH111" i="3"/>
  <c r="AJ111" i="3"/>
  <c r="AL111" i="3"/>
  <c r="AM111" i="3"/>
  <c r="AN111" i="3"/>
  <c r="AO111" i="3"/>
  <c r="I105" i="3"/>
  <c r="I124" i="3"/>
  <c r="I123" i="3"/>
  <c r="I122" i="3"/>
  <c r="I121" i="3"/>
  <c r="I120" i="3"/>
  <c r="I119" i="3"/>
  <c r="I118" i="3"/>
  <c r="I117" i="3"/>
  <c r="I116" i="3"/>
  <c r="I113" i="3"/>
  <c r="I112" i="3"/>
  <c r="I108" i="3"/>
  <c r="I107" i="3"/>
  <c r="I106" i="3"/>
  <c r="I154" i="3"/>
  <c r="I153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7" i="3"/>
  <c r="I85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G57" i="3"/>
  <c r="I64" i="3"/>
  <c r="I63" i="3"/>
  <c r="I62" i="3"/>
  <c r="I61" i="3"/>
  <c r="I60" i="3"/>
  <c r="I59" i="3"/>
  <c r="I56" i="3"/>
  <c r="I55" i="3"/>
  <c r="I54" i="3"/>
  <c r="I53" i="3"/>
  <c r="I52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G154" i="3"/>
  <c r="G153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7" i="3"/>
  <c r="AU135" i="3" l="1"/>
  <c r="AU114" i="3"/>
  <c r="G136" i="3"/>
  <c r="G134" i="3"/>
  <c r="G133" i="3"/>
  <c r="G132" i="3"/>
  <c r="G131" i="3"/>
  <c r="G130" i="3"/>
  <c r="G129" i="3"/>
  <c r="G128" i="3"/>
  <c r="G127" i="3"/>
  <c r="G126" i="3"/>
  <c r="G124" i="3"/>
  <c r="G123" i="3"/>
  <c r="G122" i="3"/>
  <c r="G121" i="3"/>
  <c r="G120" i="3"/>
  <c r="G119" i="3"/>
  <c r="G118" i="3"/>
  <c r="G117" i="3"/>
  <c r="G116" i="3"/>
  <c r="G113" i="3"/>
  <c r="G112" i="3"/>
  <c r="G107" i="3"/>
  <c r="G106" i="3"/>
  <c r="G105" i="3"/>
  <c r="AM115" i="3"/>
  <c r="G51" i="3" l="1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4" i="3"/>
  <c r="G82" i="3"/>
  <c r="G79" i="3" l="1"/>
  <c r="AN81" i="3"/>
  <c r="AM81" i="3"/>
  <c r="AL81" i="3"/>
  <c r="AJ81" i="3"/>
  <c r="AH81" i="3"/>
  <c r="AF81" i="3"/>
  <c r="AD81" i="3"/>
  <c r="G81" i="3"/>
  <c r="AN80" i="3"/>
  <c r="AM80" i="3"/>
  <c r="AL80" i="3"/>
  <c r="AJ80" i="3"/>
  <c r="AH80" i="3"/>
  <c r="AF80" i="3"/>
  <c r="AD80" i="3"/>
  <c r="G80" i="3"/>
  <c r="G78" i="3"/>
  <c r="AN77" i="3"/>
  <c r="AM77" i="3"/>
  <c r="AL77" i="3"/>
  <c r="AJ77" i="3"/>
  <c r="AH77" i="3"/>
  <c r="AF77" i="3"/>
  <c r="AD77" i="3"/>
  <c r="G77" i="3"/>
  <c r="AO76" i="3"/>
  <c r="AN76" i="3"/>
  <c r="AM76" i="3"/>
  <c r="AL76" i="3"/>
  <c r="AJ76" i="3"/>
  <c r="AH76" i="3"/>
  <c r="AF76" i="3"/>
  <c r="AD76" i="3"/>
  <c r="G76" i="3"/>
  <c r="AO75" i="3"/>
  <c r="AN75" i="3"/>
  <c r="AM75" i="3"/>
  <c r="AL75" i="3"/>
  <c r="AJ75" i="3"/>
  <c r="AH75" i="3"/>
  <c r="AF75" i="3"/>
  <c r="AD75" i="3"/>
  <c r="G75" i="3"/>
  <c r="G74" i="3"/>
  <c r="AO73" i="3"/>
  <c r="AN73" i="3"/>
  <c r="AM73" i="3"/>
  <c r="AL73" i="3"/>
  <c r="AJ73" i="3"/>
  <c r="AH73" i="3"/>
  <c r="AF73" i="3"/>
  <c r="AD73" i="3"/>
  <c r="G73" i="3"/>
  <c r="G71" i="3"/>
  <c r="G70" i="3"/>
  <c r="G69" i="3"/>
  <c r="G68" i="3"/>
  <c r="G67" i="3"/>
  <c r="G66" i="3"/>
  <c r="G64" i="3"/>
  <c r="G63" i="3"/>
  <c r="G62" i="3"/>
  <c r="G61" i="3"/>
  <c r="G60" i="3"/>
  <c r="G59" i="3"/>
  <c r="G56" i="3"/>
  <c r="G55" i="3"/>
  <c r="G54" i="3"/>
  <c r="G53" i="3"/>
  <c r="G52" i="3"/>
  <c r="G50" i="3"/>
  <c r="G49" i="3"/>
  <c r="G48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AU73" i="3" l="1"/>
  <c r="AU76" i="3"/>
  <c r="AU81" i="3"/>
  <c r="AU80" i="3"/>
  <c r="AU77" i="3"/>
  <c r="AU75" i="3"/>
  <c r="AD158" i="3"/>
  <c r="AF158" i="3"/>
  <c r="AH158" i="3"/>
  <c r="AJ158" i="3"/>
  <c r="AL158" i="3"/>
  <c r="AM158" i="3"/>
  <c r="AN158" i="3"/>
  <c r="AL159" i="3"/>
  <c r="AD160" i="3"/>
  <c r="AF160" i="3"/>
  <c r="AH160" i="3"/>
  <c r="AJ160" i="3"/>
  <c r="AL160" i="3"/>
  <c r="AM160" i="3"/>
  <c r="AN160" i="3"/>
  <c r="AU160" i="3" l="1"/>
  <c r="AU158" i="3"/>
  <c r="AN174" i="3" l="1"/>
  <c r="AM174" i="3"/>
  <c r="AL174" i="3"/>
  <c r="AJ174" i="3"/>
  <c r="AH174" i="3"/>
  <c r="AF174" i="3"/>
  <c r="AD174" i="3"/>
  <c r="AU174" i="3" l="1"/>
  <c r="AO40" i="3" l="1"/>
  <c r="AN40" i="3"/>
  <c r="AM40" i="3"/>
  <c r="AL40" i="3"/>
  <c r="AJ40" i="3"/>
  <c r="AH40" i="3"/>
  <c r="AF40" i="3"/>
  <c r="AD40" i="3"/>
  <c r="AO25" i="3"/>
  <c r="AN25" i="3"/>
  <c r="AM25" i="3"/>
  <c r="AL25" i="3"/>
  <c r="AJ25" i="3"/>
  <c r="AH25" i="3"/>
  <c r="AF25" i="3"/>
  <c r="AD25" i="3"/>
  <c r="G25" i="3"/>
  <c r="AU40" i="3" l="1"/>
  <c r="AU25" i="3"/>
  <c r="E125" i="4" l="1"/>
  <c r="I123" i="4"/>
  <c r="H123" i="4"/>
  <c r="G123" i="4"/>
  <c r="F123" i="4"/>
  <c r="I122" i="4"/>
  <c r="H122" i="4"/>
  <c r="G122" i="4"/>
  <c r="F122" i="4"/>
  <c r="I121" i="4"/>
  <c r="H121" i="4"/>
  <c r="G121" i="4"/>
  <c r="F121" i="4"/>
  <c r="I119" i="4"/>
  <c r="H119" i="4"/>
  <c r="G119" i="4"/>
  <c r="F119" i="4"/>
  <c r="I118" i="4"/>
  <c r="H118" i="4"/>
  <c r="G118" i="4"/>
  <c r="F118" i="4"/>
  <c r="I117" i="4"/>
  <c r="H117" i="4"/>
  <c r="G117" i="4"/>
  <c r="F117" i="4"/>
  <c r="I116" i="4"/>
  <c r="H116" i="4"/>
  <c r="G116" i="4"/>
  <c r="F116" i="4"/>
  <c r="I115" i="4"/>
  <c r="H115" i="4"/>
  <c r="G115" i="4"/>
  <c r="F115" i="4"/>
  <c r="I114" i="4"/>
  <c r="H114" i="4"/>
  <c r="G114" i="4"/>
  <c r="F114" i="4"/>
  <c r="I113" i="4"/>
  <c r="H113" i="4"/>
  <c r="G113" i="4"/>
  <c r="F113" i="4"/>
  <c r="I112" i="4"/>
  <c r="H112" i="4"/>
  <c r="G112" i="4"/>
  <c r="F112" i="4"/>
  <c r="I111" i="4"/>
  <c r="H111" i="4"/>
  <c r="G111" i="4"/>
  <c r="F111" i="4"/>
  <c r="I110" i="4"/>
  <c r="H110" i="4"/>
  <c r="G110" i="4"/>
  <c r="F110" i="4"/>
  <c r="I109" i="4"/>
  <c r="H109" i="4"/>
  <c r="G109" i="4"/>
  <c r="F109" i="4"/>
  <c r="I108" i="4"/>
  <c r="H108" i="4"/>
  <c r="G108" i="4"/>
  <c r="F108" i="4"/>
  <c r="I107" i="4"/>
  <c r="H107" i="4"/>
  <c r="G107" i="4"/>
  <c r="F107" i="4"/>
  <c r="I105" i="4"/>
  <c r="H105" i="4"/>
  <c r="G105" i="4"/>
  <c r="F105" i="4"/>
  <c r="F125" i="4" s="1"/>
  <c r="E100" i="4"/>
  <c r="I98" i="4"/>
  <c r="H98" i="4"/>
  <c r="G98" i="4"/>
  <c r="F98" i="4"/>
  <c r="I97" i="4"/>
  <c r="H97" i="4"/>
  <c r="G97" i="4"/>
  <c r="F97" i="4"/>
  <c r="I96" i="4"/>
  <c r="H96" i="4"/>
  <c r="G96" i="4"/>
  <c r="F96" i="4"/>
  <c r="I95" i="4"/>
  <c r="H95" i="4"/>
  <c r="G95" i="4"/>
  <c r="F95" i="4"/>
  <c r="I94" i="4"/>
  <c r="H94" i="4"/>
  <c r="G94" i="4"/>
  <c r="F94" i="4"/>
  <c r="I93" i="4"/>
  <c r="H93" i="4"/>
  <c r="G93" i="4"/>
  <c r="F93" i="4"/>
  <c r="I92" i="4"/>
  <c r="H92" i="4"/>
  <c r="G92" i="4"/>
  <c r="F92" i="4"/>
  <c r="I91" i="4"/>
  <c r="H91" i="4"/>
  <c r="G91" i="4"/>
  <c r="F91" i="4"/>
  <c r="I90" i="4"/>
  <c r="H90" i="4"/>
  <c r="G90" i="4"/>
  <c r="F90" i="4"/>
  <c r="I89" i="4"/>
  <c r="H89" i="4"/>
  <c r="G89" i="4"/>
  <c r="F89" i="4"/>
  <c r="I88" i="4"/>
  <c r="H88" i="4"/>
  <c r="G88" i="4"/>
  <c r="F88" i="4"/>
  <c r="I87" i="4"/>
  <c r="H87" i="4"/>
  <c r="G87" i="4"/>
  <c r="F87" i="4"/>
  <c r="I86" i="4"/>
  <c r="H86" i="4"/>
  <c r="G86" i="4"/>
  <c r="F86" i="4"/>
  <c r="I85" i="4"/>
  <c r="H85" i="4"/>
  <c r="G85" i="4"/>
  <c r="F85" i="4"/>
  <c r="I84" i="4"/>
  <c r="H84" i="4"/>
  <c r="G84" i="4"/>
  <c r="F84" i="4"/>
  <c r="I83" i="4"/>
  <c r="H83" i="4"/>
  <c r="G83" i="4"/>
  <c r="F83" i="4"/>
  <c r="I82" i="4"/>
  <c r="H82" i="4"/>
  <c r="G82" i="4"/>
  <c r="F82" i="4"/>
  <c r="I81" i="4"/>
  <c r="H81" i="4"/>
  <c r="G81" i="4"/>
  <c r="F81" i="4"/>
  <c r="I80" i="4"/>
  <c r="H80" i="4"/>
  <c r="G80" i="4"/>
  <c r="F80" i="4"/>
  <c r="I79" i="4"/>
  <c r="H79" i="4"/>
  <c r="G79" i="4"/>
  <c r="F79" i="4"/>
  <c r="I78" i="4"/>
  <c r="H78" i="4"/>
  <c r="G78" i="4"/>
  <c r="F78" i="4"/>
  <c r="I77" i="4"/>
  <c r="H77" i="4"/>
  <c r="G77" i="4"/>
  <c r="F77" i="4"/>
  <c r="I76" i="4"/>
  <c r="H76" i="4"/>
  <c r="G76" i="4"/>
  <c r="F76" i="4"/>
  <c r="I75" i="4"/>
  <c r="H75" i="4"/>
  <c r="G75" i="4"/>
  <c r="F75" i="4"/>
  <c r="I74" i="4"/>
  <c r="H74" i="4"/>
  <c r="G74" i="4"/>
  <c r="F74" i="4"/>
  <c r="I73" i="4"/>
  <c r="H73" i="4"/>
  <c r="G73" i="4"/>
  <c r="F73" i="4"/>
  <c r="E68" i="4"/>
  <c r="I62" i="4"/>
  <c r="H62" i="4"/>
  <c r="G62" i="4"/>
  <c r="F62" i="4"/>
  <c r="I63" i="4"/>
  <c r="H63" i="4"/>
  <c r="G63" i="4"/>
  <c r="F63" i="4"/>
  <c r="I50" i="4"/>
  <c r="H50" i="4"/>
  <c r="G50" i="4"/>
  <c r="F50" i="4"/>
  <c r="I66" i="4"/>
  <c r="H66" i="4"/>
  <c r="G66" i="4"/>
  <c r="F66" i="4"/>
  <c r="I65" i="4"/>
  <c r="H65" i="4"/>
  <c r="G65" i="4"/>
  <c r="F65" i="4"/>
  <c r="I64" i="4"/>
  <c r="H64" i="4"/>
  <c r="G64" i="4"/>
  <c r="F64" i="4"/>
  <c r="I61" i="4"/>
  <c r="H61" i="4"/>
  <c r="G61" i="4"/>
  <c r="F61" i="4"/>
  <c r="I60" i="4"/>
  <c r="H60" i="4"/>
  <c r="G60" i="4"/>
  <c r="F60" i="4"/>
  <c r="I59" i="4"/>
  <c r="H59" i="4"/>
  <c r="G59" i="4"/>
  <c r="F59" i="4"/>
  <c r="I58" i="4"/>
  <c r="H58" i="4"/>
  <c r="G58" i="4"/>
  <c r="F58" i="4"/>
  <c r="I57" i="4"/>
  <c r="H57" i="4"/>
  <c r="G57" i="4"/>
  <c r="F57" i="4"/>
  <c r="I56" i="4"/>
  <c r="H56" i="4"/>
  <c r="G56" i="4"/>
  <c r="F56" i="4"/>
  <c r="I55" i="4"/>
  <c r="H55" i="4"/>
  <c r="G55" i="4"/>
  <c r="F55" i="4"/>
  <c r="I54" i="4"/>
  <c r="H54" i="4"/>
  <c r="G54" i="4"/>
  <c r="F54" i="4"/>
  <c r="I53" i="4"/>
  <c r="H53" i="4"/>
  <c r="G53" i="4"/>
  <c r="F53" i="4"/>
  <c r="I49" i="4"/>
  <c r="H49" i="4"/>
  <c r="G49" i="4"/>
  <c r="F49" i="4"/>
  <c r="I51" i="4"/>
  <c r="H51" i="4"/>
  <c r="G51" i="4"/>
  <c r="F51" i="4"/>
  <c r="I48" i="4"/>
  <c r="H48" i="4"/>
  <c r="G48" i="4"/>
  <c r="F48" i="4"/>
  <c r="I47" i="4"/>
  <c r="H47" i="4"/>
  <c r="G47" i="4"/>
  <c r="F47" i="4"/>
  <c r="G72" i="3"/>
  <c r="G47" i="3"/>
  <c r="G32" i="3"/>
  <c r="I29" i="4"/>
  <c r="F29" i="4"/>
  <c r="H29" i="4"/>
  <c r="G29" i="4"/>
  <c r="E41" i="4"/>
  <c r="I39" i="4"/>
  <c r="H39" i="4"/>
  <c r="G39" i="4"/>
  <c r="F39" i="4"/>
  <c r="I38" i="4"/>
  <c r="H38" i="4"/>
  <c r="G38" i="4"/>
  <c r="F38" i="4"/>
  <c r="I30" i="4"/>
  <c r="H30" i="4"/>
  <c r="G30" i="4"/>
  <c r="F30" i="4"/>
  <c r="I26" i="4"/>
  <c r="H26" i="4"/>
  <c r="G26" i="4"/>
  <c r="F26" i="4"/>
  <c r="I25" i="4"/>
  <c r="H25" i="4"/>
  <c r="G25" i="4"/>
  <c r="F25" i="4"/>
  <c r="I22" i="4"/>
  <c r="H22" i="4"/>
  <c r="G22" i="4"/>
  <c r="F22" i="4"/>
  <c r="I21" i="4"/>
  <c r="H21" i="4"/>
  <c r="G21" i="4"/>
  <c r="F21" i="4"/>
  <c r="I18" i="4"/>
  <c r="H18" i="4"/>
  <c r="G18" i="4"/>
  <c r="F18" i="4"/>
  <c r="I16" i="4"/>
  <c r="H16" i="4"/>
  <c r="G16" i="4"/>
  <c r="F16" i="4"/>
  <c r="I14" i="4"/>
  <c r="H14" i="4"/>
  <c r="G14" i="4"/>
  <c r="F14" i="4"/>
  <c r="I12" i="4"/>
  <c r="H12" i="4"/>
  <c r="G12" i="4"/>
  <c r="F12" i="4"/>
  <c r="I11" i="4"/>
  <c r="H11" i="4"/>
  <c r="G11" i="4"/>
  <c r="F11" i="4"/>
  <c r="I10" i="4"/>
  <c r="H10" i="4"/>
  <c r="G10" i="4"/>
  <c r="F10" i="4"/>
  <c r="I8" i="4"/>
  <c r="H8" i="4"/>
  <c r="G8" i="4"/>
  <c r="F8" i="4"/>
  <c r="I7" i="4"/>
  <c r="H7" i="4"/>
  <c r="G7" i="4"/>
  <c r="F7" i="4"/>
  <c r="I6" i="4"/>
  <c r="H6" i="4"/>
  <c r="G6" i="4"/>
  <c r="F6" i="4"/>
  <c r="V5" i="4"/>
  <c r="V4" i="4"/>
  <c r="I4" i="4"/>
  <c r="H4" i="4"/>
  <c r="G4" i="4"/>
  <c r="F4" i="4"/>
  <c r="I37" i="4"/>
  <c r="H37" i="4"/>
  <c r="G37" i="4"/>
  <c r="F37" i="4"/>
  <c r="I36" i="4"/>
  <c r="H36" i="4"/>
  <c r="G36" i="4"/>
  <c r="F36" i="4"/>
  <c r="I35" i="4"/>
  <c r="H35" i="4"/>
  <c r="G35" i="4"/>
  <c r="F35" i="4"/>
  <c r="I32" i="4"/>
  <c r="H32" i="4"/>
  <c r="G32" i="4"/>
  <c r="F32" i="4"/>
  <c r="I27" i="4"/>
  <c r="H27" i="4"/>
  <c r="G27" i="4"/>
  <c r="F27" i="4"/>
  <c r="I23" i="4"/>
  <c r="H23" i="4"/>
  <c r="G23" i="4"/>
  <c r="F23" i="4"/>
  <c r="I20" i="4"/>
  <c r="H20" i="4"/>
  <c r="G20" i="4"/>
  <c r="F20" i="4"/>
  <c r="I19" i="4"/>
  <c r="H19" i="4"/>
  <c r="G19" i="4"/>
  <c r="F19" i="4"/>
  <c r="I15" i="4"/>
  <c r="H15" i="4"/>
  <c r="G15" i="4"/>
  <c r="F15" i="4"/>
  <c r="I13" i="4"/>
  <c r="H13" i="4"/>
  <c r="G13" i="4"/>
  <c r="F13" i="4"/>
  <c r="I33" i="4"/>
  <c r="H33" i="4"/>
  <c r="G33" i="4"/>
  <c r="F33" i="4"/>
  <c r="I28" i="4"/>
  <c r="H28" i="4"/>
  <c r="G28" i="4"/>
  <c r="F28" i="4"/>
  <c r="I24" i="4"/>
  <c r="H24" i="4"/>
  <c r="G24" i="4"/>
  <c r="F24" i="4"/>
  <c r="G28" i="3"/>
  <c r="G27" i="3"/>
  <c r="G26" i="3"/>
  <c r="G24" i="3"/>
  <c r="G23" i="3"/>
  <c r="G22" i="3"/>
  <c r="G20" i="3"/>
  <c r="F100" i="4" l="1"/>
  <c r="F68" i="4"/>
  <c r="F41" i="4"/>
  <c r="AM19" i="3"/>
  <c r="AN19" i="3"/>
  <c r="AO19" i="3"/>
  <c r="AM22" i="3"/>
  <c r="AN22" i="3"/>
  <c r="AO22" i="3"/>
  <c r="AM23" i="3"/>
  <c r="AN23" i="3"/>
  <c r="AO23" i="3"/>
  <c r="AM24" i="3"/>
  <c r="AN24" i="3"/>
  <c r="AO24" i="3"/>
  <c r="AM26" i="3"/>
  <c r="AN26" i="3"/>
  <c r="AO26" i="3"/>
  <c r="AM27" i="3"/>
  <c r="AN27" i="3"/>
  <c r="AO27" i="3"/>
  <c r="AM29" i="3"/>
  <c r="AN29" i="3"/>
  <c r="AO29" i="3"/>
  <c r="AM32" i="3"/>
  <c r="AN32" i="3"/>
  <c r="AO32" i="3"/>
  <c r="AM33" i="3"/>
  <c r="AN33" i="3"/>
  <c r="AO33" i="3"/>
  <c r="AM34" i="3"/>
  <c r="AN34" i="3"/>
  <c r="AO34" i="3"/>
  <c r="AM35" i="3"/>
  <c r="AN35" i="3"/>
  <c r="AO35" i="3"/>
  <c r="AM36" i="3"/>
  <c r="AN36" i="3"/>
  <c r="AO36" i="3"/>
  <c r="AM37" i="3"/>
  <c r="AN37" i="3"/>
  <c r="AO37" i="3"/>
  <c r="AM38" i="3"/>
  <c r="AN38" i="3"/>
  <c r="AO38" i="3"/>
  <c r="AM39" i="3"/>
  <c r="AN39" i="3"/>
  <c r="AO39" i="3"/>
  <c r="AM41" i="3"/>
  <c r="AN41" i="3"/>
  <c r="AO41" i="3"/>
  <c r="AM42" i="3"/>
  <c r="AN42" i="3"/>
  <c r="AO42" i="3"/>
  <c r="AM44" i="3"/>
  <c r="AN44" i="3"/>
  <c r="AO44" i="3"/>
  <c r="AM45" i="3"/>
  <c r="AN45" i="3"/>
  <c r="AO45" i="3"/>
  <c r="AM47" i="3"/>
  <c r="AN47" i="3"/>
  <c r="AO47" i="3"/>
  <c r="AM49" i="3"/>
  <c r="AN49" i="3"/>
  <c r="AO49" i="3"/>
  <c r="AM50" i="3"/>
  <c r="AN50" i="3"/>
  <c r="AO50" i="3"/>
  <c r="AM53" i="3"/>
  <c r="AN53" i="3"/>
  <c r="AO53" i="3"/>
  <c r="AM54" i="3"/>
  <c r="AN54" i="3"/>
  <c r="AO54" i="3"/>
  <c r="AM55" i="3"/>
  <c r="AN55" i="3"/>
  <c r="AO55" i="3"/>
  <c r="AM56" i="3"/>
  <c r="AN56" i="3"/>
  <c r="AM60" i="3"/>
  <c r="AN60" i="3"/>
  <c r="AO60" i="3"/>
  <c r="AM61" i="3"/>
  <c r="AN61" i="3"/>
  <c r="AO61" i="3"/>
  <c r="AM62" i="3"/>
  <c r="AN62" i="3"/>
  <c r="AO62" i="3"/>
  <c r="AM63" i="3"/>
  <c r="AN63" i="3"/>
  <c r="AO63" i="3"/>
  <c r="AM64" i="3"/>
  <c r="AN64" i="3"/>
  <c r="AO64" i="3"/>
  <c r="AM65" i="3"/>
  <c r="AN65" i="3"/>
  <c r="AO65" i="3"/>
  <c r="AM67" i="3"/>
  <c r="AN67" i="3"/>
  <c r="AO67" i="3"/>
  <c r="AM68" i="3"/>
  <c r="AN68" i="3"/>
  <c r="AO68" i="3"/>
  <c r="AM69" i="3"/>
  <c r="AN69" i="3"/>
  <c r="AM71" i="3"/>
  <c r="AN71" i="3"/>
  <c r="AM72" i="3"/>
  <c r="AN72" i="3"/>
  <c r="AM86" i="3"/>
  <c r="AN86" i="3"/>
  <c r="AO86" i="3"/>
  <c r="AM87" i="3"/>
  <c r="AN87" i="3"/>
  <c r="AO87" i="3"/>
  <c r="AM91" i="3"/>
  <c r="AN91" i="3"/>
  <c r="AO91" i="3"/>
  <c r="AM93" i="3"/>
  <c r="AN93" i="3"/>
  <c r="AO93" i="3"/>
  <c r="AM94" i="3"/>
  <c r="AN94" i="3"/>
  <c r="AO94" i="3"/>
  <c r="AM95" i="3"/>
  <c r="AN95" i="3"/>
  <c r="AO95" i="3"/>
  <c r="AM96" i="3"/>
  <c r="AN96" i="3"/>
  <c r="AO96" i="3"/>
  <c r="AM99" i="3"/>
  <c r="AN99" i="3"/>
  <c r="AO99" i="3"/>
  <c r="AM100" i="3"/>
  <c r="AN100" i="3"/>
  <c r="AO100" i="3"/>
  <c r="AM101" i="3"/>
  <c r="AN101" i="3"/>
  <c r="AO101" i="3"/>
  <c r="AM102" i="3"/>
  <c r="AN102" i="3"/>
  <c r="AO102" i="3"/>
  <c r="AM105" i="3"/>
  <c r="AN105" i="3"/>
  <c r="AO105" i="3"/>
  <c r="AM106" i="3"/>
  <c r="AN106" i="3"/>
  <c r="AO106" i="3"/>
  <c r="AM107" i="3"/>
  <c r="AN107" i="3"/>
  <c r="AM112" i="3"/>
  <c r="AN112" i="3"/>
  <c r="AO112" i="3"/>
  <c r="AM113" i="3"/>
  <c r="AN113" i="3"/>
  <c r="AO113" i="3"/>
  <c r="AM117" i="3"/>
  <c r="AN117" i="3"/>
  <c r="AO117" i="3"/>
  <c r="AM118" i="3"/>
  <c r="AN118" i="3"/>
  <c r="AO118" i="3"/>
  <c r="AM119" i="3"/>
  <c r="AN119" i="3"/>
  <c r="AO119" i="3"/>
  <c r="AM121" i="3"/>
  <c r="AN121" i="3"/>
  <c r="AO121" i="3"/>
  <c r="AM122" i="3"/>
  <c r="AN122" i="3"/>
  <c r="AO122" i="3"/>
  <c r="AM123" i="3"/>
  <c r="AN123" i="3"/>
  <c r="AO123" i="3"/>
  <c r="AM124" i="3"/>
  <c r="AN124" i="3"/>
  <c r="AO124" i="3"/>
  <c r="AM126" i="3"/>
  <c r="AN126" i="3"/>
  <c r="AM127" i="3"/>
  <c r="AN127" i="3"/>
  <c r="AM129" i="3"/>
  <c r="AN129" i="3"/>
  <c r="AM136" i="3"/>
  <c r="AN136" i="3"/>
  <c r="AM137" i="3"/>
  <c r="AN137" i="3"/>
  <c r="AM138" i="3"/>
  <c r="AN138" i="3"/>
  <c r="AM139" i="3"/>
  <c r="AN139" i="3"/>
  <c r="AM141" i="3"/>
  <c r="AN141" i="3"/>
  <c r="AM142" i="3"/>
  <c r="AN142" i="3"/>
  <c r="AM143" i="3"/>
  <c r="AN143" i="3"/>
  <c r="AM145" i="3"/>
  <c r="AN145" i="3"/>
  <c r="AM146" i="3"/>
  <c r="AN146" i="3"/>
  <c r="AM147" i="3"/>
  <c r="AN147" i="3"/>
  <c r="AM148" i="3"/>
  <c r="AN148" i="3"/>
  <c r="AM149" i="3"/>
  <c r="AN149" i="3"/>
  <c r="AM150" i="3"/>
  <c r="AN150" i="3"/>
  <c r="AM154" i="3"/>
  <c r="AN154" i="3"/>
  <c r="AM156" i="3"/>
  <c r="AN156" i="3"/>
  <c r="AM157" i="3"/>
  <c r="AN157" i="3"/>
  <c r="AM161" i="3"/>
  <c r="AN161" i="3"/>
  <c r="AM162" i="3"/>
  <c r="AN162" i="3"/>
  <c r="AM163" i="3"/>
  <c r="AN163" i="3"/>
  <c r="AM164" i="3"/>
  <c r="AN164" i="3"/>
  <c r="AM165" i="3"/>
  <c r="AN165" i="3"/>
  <c r="AM166" i="3"/>
  <c r="AN166" i="3"/>
  <c r="AM167" i="3"/>
  <c r="AN167" i="3"/>
  <c r="AM168" i="3"/>
  <c r="AN168" i="3"/>
  <c r="AM169" i="3"/>
  <c r="AN169" i="3"/>
  <c r="AM175" i="3"/>
  <c r="AN175" i="3"/>
  <c r="G19" i="3"/>
  <c r="AD19" i="3"/>
  <c r="AF19" i="3"/>
  <c r="AH19" i="3"/>
  <c r="AJ19" i="3"/>
  <c r="AL19" i="3"/>
  <c r="B20" i="3"/>
  <c r="B21" i="3" s="1"/>
  <c r="B22" i="3" s="1"/>
  <c r="AD22" i="3"/>
  <c r="AF22" i="3"/>
  <c r="AH22" i="3"/>
  <c r="AJ22" i="3"/>
  <c r="AL22" i="3"/>
  <c r="AD23" i="3"/>
  <c r="AF23" i="3"/>
  <c r="AH23" i="3"/>
  <c r="AJ23" i="3"/>
  <c r="AL23" i="3"/>
  <c r="AD24" i="3"/>
  <c r="AF24" i="3"/>
  <c r="AH24" i="3"/>
  <c r="AJ24" i="3"/>
  <c r="AL24" i="3"/>
  <c r="AD26" i="3"/>
  <c r="AF26" i="3"/>
  <c r="AH26" i="3"/>
  <c r="AJ26" i="3"/>
  <c r="AL26" i="3"/>
  <c r="AD27" i="3"/>
  <c r="AF27" i="3"/>
  <c r="AH27" i="3"/>
  <c r="AJ27" i="3"/>
  <c r="AL27" i="3"/>
  <c r="G29" i="3"/>
  <c r="AD29" i="3"/>
  <c r="AF29" i="3"/>
  <c r="AH29" i="3"/>
  <c r="AJ29" i="3"/>
  <c r="AL29" i="3"/>
  <c r="G30" i="3"/>
  <c r="AD32" i="3"/>
  <c r="AF32" i="3"/>
  <c r="AH32" i="3"/>
  <c r="AJ32" i="3"/>
  <c r="AL32" i="3"/>
  <c r="AD33" i="3"/>
  <c r="AF33" i="3"/>
  <c r="AH33" i="3"/>
  <c r="AJ33" i="3"/>
  <c r="AL33" i="3"/>
  <c r="AD34" i="3"/>
  <c r="AF34" i="3"/>
  <c r="AH34" i="3"/>
  <c r="AJ34" i="3"/>
  <c r="AL34" i="3"/>
  <c r="AD35" i="3"/>
  <c r="AF35" i="3"/>
  <c r="AH35" i="3"/>
  <c r="AJ35" i="3"/>
  <c r="AL35" i="3"/>
  <c r="AD36" i="3"/>
  <c r="AF36" i="3"/>
  <c r="AH36" i="3"/>
  <c r="AJ36" i="3"/>
  <c r="AL36" i="3"/>
  <c r="AD37" i="3"/>
  <c r="AF37" i="3"/>
  <c r="AH37" i="3"/>
  <c r="AJ37" i="3"/>
  <c r="AL37" i="3"/>
  <c r="AD38" i="3"/>
  <c r="AF38" i="3"/>
  <c r="AH38" i="3"/>
  <c r="AJ38" i="3"/>
  <c r="AL38" i="3"/>
  <c r="AD39" i="3"/>
  <c r="AF39" i="3"/>
  <c r="AH39" i="3"/>
  <c r="AJ39" i="3"/>
  <c r="AL39" i="3"/>
  <c r="AD41" i="3"/>
  <c r="AF41" i="3"/>
  <c r="AH41" i="3"/>
  <c r="AJ41" i="3"/>
  <c r="AL41" i="3"/>
  <c r="AD42" i="3"/>
  <c r="AF42" i="3"/>
  <c r="AH42" i="3"/>
  <c r="AJ42" i="3"/>
  <c r="AL42" i="3"/>
  <c r="AD44" i="3"/>
  <c r="AF44" i="3"/>
  <c r="AH44" i="3"/>
  <c r="AJ44" i="3"/>
  <c r="AL44" i="3"/>
  <c r="AD47" i="3"/>
  <c r="AF47" i="3"/>
  <c r="AH47" i="3"/>
  <c r="AJ47" i="3"/>
  <c r="AL47" i="3"/>
  <c r="AD49" i="3"/>
  <c r="AF49" i="3"/>
  <c r="AH49" i="3"/>
  <c r="AJ49" i="3"/>
  <c r="AL49" i="3"/>
  <c r="AD50" i="3"/>
  <c r="AF50" i="3"/>
  <c r="AH50" i="3"/>
  <c r="AJ50" i="3"/>
  <c r="AL50" i="3"/>
  <c r="AD53" i="3"/>
  <c r="AF53" i="3"/>
  <c r="AH53" i="3"/>
  <c r="AJ53" i="3"/>
  <c r="AL53" i="3"/>
  <c r="AD54" i="3"/>
  <c r="AF54" i="3"/>
  <c r="AH54" i="3"/>
  <c r="AJ54" i="3"/>
  <c r="AL54" i="3"/>
  <c r="AD55" i="3"/>
  <c r="AF55" i="3"/>
  <c r="AH55" i="3"/>
  <c r="AJ55" i="3"/>
  <c r="AL55" i="3"/>
  <c r="AD56" i="3"/>
  <c r="AF56" i="3"/>
  <c r="AH56" i="3"/>
  <c r="AJ56" i="3"/>
  <c r="AL56" i="3"/>
  <c r="AD60" i="3"/>
  <c r="AF60" i="3"/>
  <c r="AH60" i="3"/>
  <c r="AJ60" i="3"/>
  <c r="AL60" i="3"/>
  <c r="AD61" i="3"/>
  <c r="AF61" i="3"/>
  <c r="AH61" i="3"/>
  <c r="AJ61" i="3"/>
  <c r="AL61" i="3"/>
  <c r="AD62" i="3"/>
  <c r="AF62" i="3"/>
  <c r="AH62" i="3"/>
  <c r="AJ62" i="3"/>
  <c r="AL62" i="3"/>
  <c r="AD63" i="3"/>
  <c r="AF63" i="3"/>
  <c r="AH63" i="3"/>
  <c r="AJ63" i="3"/>
  <c r="AL63" i="3"/>
  <c r="AD64" i="3"/>
  <c r="AF64" i="3"/>
  <c r="AH64" i="3"/>
  <c r="AJ64" i="3"/>
  <c r="AL64" i="3"/>
  <c r="G65" i="3"/>
  <c r="AD65" i="3"/>
  <c r="AF65" i="3"/>
  <c r="AH65" i="3"/>
  <c r="AJ65" i="3"/>
  <c r="AL65" i="3"/>
  <c r="AD67" i="3"/>
  <c r="AF67" i="3"/>
  <c r="AH67" i="3"/>
  <c r="AJ67" i="3"/>
  <c r="AL67" i="3"/>
  <c r="AD68" i="3"/>
  <c r="AF68" i="3"/>
  <c r="AH68" i="3"/>
  <c r="AJ68" i="3"/>
  <c r="AL68" i="3"/>
  <c r="AD69" i="3"/>
  <c r="AF69" i="3"/>
  <c r="AH69" i="3"/>
  <c r="AJ69" i="3"/>
  <c r="AL69" i="3"/>
  <c r="AD71" i="3"/>
  <c r="AF71" i="3"/>
  <c r="AH71" i="3"/>
  <c r="AJ71" i="3"/>
  <c r="AL71" i="3"/>
  <c r="AD72" i="3"/>
  <c r="AF72" i="3"/>
  <c r="AH72" i="3"/>
  <c r="AJ72" i="3"/>
  <c r="AL72" i="3"/>
  <c r="AD86" i="3"/>
  <c r="AF86" i="3"/>
  <c r="AH86" i="3"/>
  <c r="AJ86" i="3"/>
  <c r="AL86" i="3"/>
  <c r="AD87" i="3"/>
  <c r="AF87" i="3"/>
  <c r="AH87" i="3"/>
  <c r="AJ87" i="3"/>
  <c r="AL87" i="3"/>
  <c r="AU88" i="3"/>
  <c r="AL88" i="3"/>
  <c r="AD91" i="3"/>
  <c r="AF91" i="3"/>
  <c r="AH91" i="3"/>
  <c r="AJ91" i="3"/>
  <c r="AL91" i="3"/>
  <c r="AD93" i="3"/>
  <c r="AF93" i="3"/>
  <c r="AH93" i="3"/>
  <c r="AJ93" i="3"/>
  <c r="AL93" i="3"/>
  <c r="AD94" i="3"/>
  <c r="AF94" i="3"/>
  <c r="AH94" i="3"/>
  <c r="AJ94" i="3"/>
  <c r="AL94" i="3"/>
  <c r="AD95" i="3"/>
  <c r="AF95" i="3"/>
  <c r="AH95" i="3"/>
  <c r="AJ95" i="3"/>
  <c r="AL95" i="3"/>
  <c r="AD96" i="3"/>
  <c r="AF96" i="3"/>
  <c r="AH96" i="3"/>
  <c r="AJ96" i="3"/>
  <c r="AL96" i="3"/>
  <c r="AD99" i="3"/>
  <c r="AF99" i="3"/>
  <c r="AH99" i="3"/>
  <c r="AJ99" i="3"/>
  <c r="AL99" i="3"/>
  <c r="AD100" i="3"/>
  <c r="AF100" i="3"/>
  <c r="AH100" i="3"/>
  <c r="AJ100" i="3"/>
  <c r="AL100" i="3"/>
  <c r="AD101" i="3"/>
  <c r="AF101" i="3"/>
  <c r="AH101" i="3"/>
  <c r="AJ101" i="3"/>
  <c r="AL101" i="3"/>
  <c r="AD102" i="3"/>
  <c r="AF102" i="3"/>
  <c r="AH102" i="3"/>
  <c r="AJ102" i="3"/>
  <c r="AL102" i="3"/>
  <c r="AD105" i="3"/>
  <c r="AF105" i="3"/>
  <c r="AH105" i="3"/>
  <c r="AJ105" i="3"/>
  <c r="AL105" i="3"/>
  <c r="AD106" i="3"/>
  <c r="AF106" i="3"/>
  <c r="AH106" i="3"/>
  <c r="AJ106" i="3"/>
  <c r="AL106" i="3"/>
  <c r="AD107" i="3"/>
  <c r="AF107" i="3"/>
  <c r="AH107" i="3"/>
  <c r="AJ107" i="3"/>
  <c r="AL107" i="3"/>
  <c r="AD112" i="3"/>
  <c r="AF112" i="3"/>
  <c r="AH112" i="3"/>
  <c r="AJ112" i="3"/>
  <c r="AL112" i="3"/>
  <c r="AD113" i="3"/>
  <c r="AF113" i="3"/>
  <c r="AH113" i="3"/>
  <c r="AJ113" i="3"/>
  <c r="AL113" i="3"/>
  <c r="AD117" i="3"/>
  <c r="AF117" i="3"/>
  <c r="AH117" i="3"/>
  <c r="AJ117" i="3"/>
  <c r="AL117" i="3"/>
  <c r="AD118" i="3"/>
  <c r="AF118" i="3"/>
  <c r="AH118" i="3"/>
  <c r="AJ118" i="3"/>
  <c r="AL118" i="3"/>
  <c r="AD119" i="3"/>
  <c r="AF119" i="3"/>
  <c r="AH119" i="3"/>
  <c r="AJ119" i="3"/>
  <c r="AL119" i="3"/>
  <c r="AD121" i="3"/>
  <c r="AF121" i="3"/>
  <c r="AH121" i="3"/>
  <c r="AJ121" i="3"/>
  <c r="AL121" i="3"/>
  <c r="AD122" i="3"/>
  <c r="AF122" i="3"/>
  <c r="AH122" i="3"/>
  <c r="AJ122" i="3"/>
  <c r="AL122" i="3"/>
  <c r="AD123" i="3"/>
  <c r="AF123" i="3"/>
  <c r="AH123" i="3"/>
  <c r="AJ123" i="3"/>
  <c r="AL123" i="3"/>
  <c r="AD124" i="3"/>
  <c r="AF124" i="3"/>
  <c r="AH124" i="3"/>
  <c r="AJ124" i="3"/>
  <c r="AL124" i="3"/>
  <c r="AD126" i="3"/>
  <c r="AF126" i="3"/>
  <c r="AH126" i="3"/>
  <c r="AJ126" i="3"/>
  <c r="AL126" i="3"/>
  <c r="AD127" i="3"/>
  <c r="AF127" i="3"/>
  <c r="AH127" i="3"/>
  <c r="AJ127" i="3"/>
  <c r="AL127" i="3"/>
  <c r="AD129" i="3"/>
  <c r="AF129" i="3"/>
  <c r="AH129" i="3"/>
  <c r="AJ129" i="3"/>
  <c r="AL129" i="3"/>
  <c r="AD136" i="3"/>
  <c r="AF136" i="3"/>
  <c r="AH136" i="3"/>
  <c r="AJ136" i="3"/>
  <c r="AL136" i="3"/>
  <c r="AD137" i="3"/>
  <c r="AF137" i="3"/>
  <c r="AH137" i="3"/>
  <c r="AJ137" i="3"/>
  <c r="AL137" i="3"/>
  <c r="AD138" i="3"/>
  <c r="AF138" i="3"/>
  <c r="AH138" i="3"/>
  <c r="AJ138" i="3"/>
  <c r="AL138" i="3"/>
  <c r="AD139" i="3"/>
  <c r="AF139" i="3"/>
  <c r="AH139" i="3"/>
  <c r="AJ139" i="3"/>
  <c r="AL139" i="3"/>
  <c r="AL140" i="3"/>
  <c r="AD141" i="3"/>
  <c r="AF141" i="3"/>
  <c r="AH141" i="3"/>
  <c r="AJ141" i="3"/>
  <c r="AL141" i="3"/>
  <c r="AD142" i="3"/>
  <c r="AF142" i="3"/>
  <c r="AH142" i="3"/>
  <c r="AJ142" i="3"/>
  <c r="AL142" i="3"/>
  <c r="AD143" i="3"/>
  <c r="AF143" i="3"/>
  <c r="AH143" i="3"/>
  <c r="AJ143" i="3"/>
  <c r="AL143" i="3"/>
  <c r="AD145" i="3"/>
  <c r="AF145" i="3"/>
  <c r="AH145" i="3"/>
  <c r="AJ145" i="3"/>
  <c r="AL145" i="3"/>
  <c r="AD146" i="3"/>
  <c r="AF146" i="3"/>
  <c r="AH146" i="3"/>
  <c r="AJ146" i="3"/>
  <c r="AL146" i="3"/>
  <c r="AD147" i="3"/>
  <c r="AF147" i="3"/>
  <c r="AH147" i="3"/>
  <c r="AJ147" i="3"/>
  <c r="AL147" i="3"/>
  <c r="AD148" i="3"/>
  <c r="AF148" i="3"/>
  <c r="AH148" i="3"/>
  <c r="AJ148" i="3"/>
  <c r="AL148" i="3"/>
  <c r="AD149" i="3"/>
  <c r="AF149" i="3"/>
  <c r="AH149" i="3"/>
  <c r="AJ149" i="3"/>
  <c r="AL149" i="3"/>
  <c r="AD150" i="3"/>
  <c r="AF150" i="3"/>
  <c r="AH150" i="3"/>
  <c r="AJ150" i="3"/>
  <c r="AL150" i="3"/>
  <c r="AD154" i="3"/>
  <c r="AF154" i="3"/>
  <c r="AH154" i="3"/>
  <c r="AJ154" i="3"/>
  <c r="AL154" i="3"/>
  <c r="AD156" i="3"/>
  <c r="AF156" i="3"/>
  <c r="AH156" i="3"/>
  <c r="AJ156" i="3"/>
  <c r="AL156" i="3"/>
  <c r="AD157" i="3"/>
  <c r="AF157" i="3"/>
  <c r="AH157" i="3"/>
  <c r="AJ157" i="3"/>
  <c r="AL157" i="3"/>
  <c r="AD161" i="3"/>
  <c r="AF161" i="3"/>
  <c r="AH161" i="3"/>
  <c r="AJ161" i="3"/>
  <c r="AL161" i="3"/>
  <c r="AD162" i="3"/>
  <c r="AF162" i="3"/>
  <c r="AH162" i="3"/>
  <c r="AJ162" i="3"/>
  <c r="AL162" i="3"/>
  <c r="AD163" i="3"/>
  <c r="AF163" i="3"/>
  <c r="AH163" i="3"/>
  <c r="AJ163" i="3"/>
  <c r="AL163" i="3"/>
  <c r="AD164" i="3"/>
  <c r="AF164" i="3"/>
  <c r="AH164" i="3"/>
  <c r="AJ164" i="3"/>
  <c r="AL164" i="3"/>
  <c r="AD165" i="3"/>
  <c r="AF165" i="3"/>
  <c r="AH165" i="3"/>
  <c r="AJ165" i="3"/>
  <c r="AL165" i="3"/>
  <c r="AD166" i="3"/>
  <c r="AF166" i="3"/>
  <c r="AH166" i="3"/>
  <c r="AJ166" i="3"/>
  <c r="AL166" i="3"/>
  <c r="AD167" i="3"/>
  <c r="AF167" i="3"/>
  <c r="AH167" i="3"/>
  <c r="AJ167" i="3"/>
  <c r="AL167" i="3"/>
  <c r="AD168" i="3"/>
  <c r="AF168" i="3"/>
  <c r="AH168" i="3"/>
  <c r="AJ168" i="3"/>
  <c r="AL168" i="3"/>
  <c r="AD169" i="3"/>
  <c r="AF169" i="3"/>
  <c r="AH169" i="3"/>
  <c r="AJ169" i="3"/>
  <c r="AL169" i="3"/>
  <c r="AL173" i="3"/>
  <c r="AD175" i="3"/>
  <c r="AF175" i="3"/>
  <c r="AH175" i="3"/>
  <c r="AJ175" i="3"/>
  <c r="AL175" i="3"/>
  <c r="AU169" i="3" l="1"/>
  <c r="AU161" i="3"/>
  <c r="AU137" i="3"/>
  <c r="AU154" i="3"/>
  <c r="AU142" i="3"/>
  <c r="AU56" i="3"/>
  <c r="AU148" i="3"/>
  <c r="AU143" i="3"/>
  <c r="AU138" i="3"/>
  <c r="B23" i="3"/>
  <c r="B24" i="3" s="1"/>
  <c r="B25" i="3" s="1"/>
  <c r="B26" i="3" s="1"/>
  <c r="B27" i="3" s="1"/>
  <c r="B28" i="3" s="1"/>
  <c r="B29" i="3" s="1"/>
  <c r="B30" i="3" s="1"/>
  <c r="B31" i="3" s="1"/>
  <c r="AU165" i="3"/>
  <c r="AU105" i="3"/>
  <c r="AU118" i="3"/>
  <c r="AU102" i="3"/>
  <c r="AU101" i="3"/>
  <c r="AU50" i="3"/>
  <c r="AU47" i="3"/>
  <c r="AU22" i="3"/>
  <c r="AU99" i="3"/>
  <c r="AU167" i="3"/>
  <c r="AU163" i="3"/>
  <c r="AU149" i="3"/>
  <c r="AU145" i="3"/>
  <c r="AU139" i="3"/>
  <c r="AU36" i="3"/>
  <c r="AU64" i="3"/>
  <c r="AU41" i="3"/>
  <c r="AU168" i="3"/>
  <c r="AU71" i="3"/>
  <c r="AU27" i="3"/>
  <c r="AU147" i="3"/>
  <c r="AU124" i="3"/>
  <c r="AU150" i="3"/>
  <c r="AU146" i="3"/>
  <c r="AU141" i="3"/>
  <c r="AU175" i="3"/>
  <c r="AU44" i="3"/>
  <c r="AU49" i="3"/>
  <c r="AU35" i="3"/>
  <c r="AU129" i="3"/>
  <c r="AU157" i="3"/>
  <c r="AU23" i="3"/>
  <c r="AU55" i="3"/>
  <c r="AU38" i="3"/>
  <c r="AU29" i="3"/>
  <c r="AU67" i="3"/>
  <c r="AU68" i="3"/>
  <c r="AU166" i="3"/>
  <c r="AU117" i="3"/>
  <c r="AU156" i="3"/>
  <c r="AU91" i="3"/>
  <c r="AU106" i="3"/>
  <c r="AU37" i="3"/>
  <c r="AU39" i="3"/>
  <c r="AU24" i="3"/>
  <c r="AU112" i="3"/>
  <c r="AU107" i="3"/>
  <c r="AU72" i="3"/>
  <c r="AU65" i="3"/>
  <c r="AU42" i="3"/>
  <c r="AU32" i="3"/>
  <c r="AU26" i="3"/>
  <c r="AU136" i="3"/>
  <c r="AU126" i="3"/>
  <c r="AU69" i="3"/>
  <c r="AU53" i="3"/>
  <c r="AU100" i="3"/>
  <c r="AU162" i="3"/>
  <c r="AU127" i="3"/>
  <c r="AU34" i="3"/>
  <c r="AU164" i="3"/>
  <c r="AU123" i="3"/>
  <c r="AU113" i="3"/>
  <c r="AU121" i="3"/>
  <c r="AU122" i="3"/>
  <c r="AU119" i="3"/>
  <c r="AU96" i="3"/>
  <c r="AU87" i="3"/>
  <c r="AU54" i="3"/>
  <c r="AU95" i="3"/>
  <c r="AU86" i="3"/>
  <c r="AU63" i="3"/>
  <c r="AU94" i="3"/>
  <c r="AU62" i="3"/>
  <c r="AU93" i="3"/>
  <c r="AU61" i="3"/>
  <c r="AU60" i="3"/>
  <c r="AU33" i="3"/>
  <c r="AU19" i="3"/>
  <c r="F67" i="2"/>
  <c r="G67" i="2"/>
  <c r="H67" i="2"/>
  <c r="I67" i="2"/>
  <c r="J67" i="2"/>
  <c r="K67" i="2"/>
  <c r="L67" i="2"/>
  <c r="M67" i="2"/>
  <c r="B32" i="3" l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8" i="3" s="1"/>
  <c r="M573" i="2"/>
  <c r="L573" i="2"/>
  <c r="K573" i="2"/>
  <c r="J573" i="2"/>
  <c r="I573" i="2"/>
  <c r="H573" i="2"/>
  <c r="G573" i="2"/>
  <c r="F573" i="2"/>
  <c r="S572" i="2"/>
  <c r="F572" i="2" s="1"/>
  <c r="M572" i="2"/>
  <c r="L572" i="2"/>
  <c r="K572" i="2"/>
  <c r="J572" i="2"/>
  <c r="I572" i="2"/>
  <c r="S571" i="2"/>
  <c r="F571" i="2" s="1"/>
  <c r="L571" i="2"/>
  <c r="K571" i="2"/>
  <c r="J571" i="2"/>
  <c r="S570" i="2"/>
  <c r="F570" i="2" s="1"/>
  <c r="I570" i="2"/>
  <c r="H570" i="2"/>
  <c r="F569" i="2"/>
  <c r="M568" i="2"/>
  <c r="L568" i="2"/>
  <c r="K568" i="2"/>
  <c r="J568" i="2"/>
  <c r="I568" i="2"/>
  <c r="H568" i="2"/>
  <c r="G568" i="2"/>
  <c r="F568" i="2"/>
  <c r="S567" i="2"/>
  <c r="F567" i="2" s="1"/>
  <c r="I567" i="2"/>
  <c r="H567" i="2"/>
  <c r="G567" i="2"/>
  <c r="S566" i="2"/>
  <c r="F566" i="2" s="1"/>
  <c r="J566" i="2"/>
  <c r="I566" i="2"/>
  <c r="H566" i="2"/>
  <c r="G566" i="2"/>
  <c r="S565" i="2"/>
  <c r="F565" i="2" s="1"/>
  <c r="L565" i="2"/>
  <c r="K565" i="2"/>
  <c r="J565" i="2"/>
  <c r="I565" i="2"/>
  <c r="H565" i="2"/>
  <c r="G565" i="2"/>
  <c r="M564" i="2"/>
  <c r="L564" i="2"/>
  <c r="K564" i="2"/>
  <c r="J564" i="2"/>
  <c r="I564" i="2"/>
  <c r="H564" i="2"/>
  <c r="G564" i="2"/>
  <c r="F564" i="2"/>
  <c r="S563" i="2"/>
  <c r="F563" i="2" s="1"/>
  <c r="H563" i="2"/>
  <c r="G563" i="2"/>
  <c r="M562" i="2"/>
  <c r="L562" i="2"/>
  <c r="K562" i="2"/>
  <c r="J562" i="2"/>
  <c r="I562" i="2"/>
  <c r="H562" i="2"/>
  <c r="G562" i="2"/>
  <c r="F562" i="2"/>
  <c r="M561" i="2"/>
  <c r="L561" i="2"/>
  <c r="K561" i="2"/>
  <c r="J561" i="2"/>
  <c r="I561" i="2"/>
  <c r="H561" i="2"/>
  <c r="G561" i="2"/>
  <c r="F561" i="2"/>
  <c r="M560" i="2"/>
  <c r="L560" i="2"/>
  <c r="K560" i="2"/>
  <c r="J560" i="2"/>
  <c r="I560" i="2"/>
  <c r="H560" i="2"/>
  <c r="G560" i="2"/>
  <c r="F560" i="2"/>
  <c r="M559" i="2"/>
  <c r="L559" i="2"/>
  <c r="K559" i="2"/>
  <c r="J559" i="2"/>
  <c r="I559" i="2"/>
  <c r="H559" i="2"/>
  <c r="G559" i="2"/>
  <c r="F559" i="2"/>
  <c r="M558" i="2"/>
  <c r="L558" i="2"/>
  <c r="K558" i="2"/>
  <c r="J558" i="2"/>
  <c r="I558" i="2"/>
  <c r="H558" i="2"/>
  <c r="G558" i="2"/>
  <c r="F558" i="2"/>
  <c r="M557" i="2"/>
  <c r="L557" i="2"/>
  <c r="K557" i="2"/>
  <c r="J557" i="2"/>
  <c r="I557" i="2"/>
  <c r="H557" i="2"/>
  <c r="G557" i="2"/>
  <c r="F557" i="2"/>
  <c r="M556" i="2"/>
  <c r="L556" i="2"/>
  <c r="K556" i="2"/>
  <c r="J556" i="2"/>
  <c r="I556" i="2"/>
  <c r="H556" i="2"/>
  <c r="G556" i="2"/>
  <c r="F556" i="2"/>
  <c r="S555" i="2"/>
  <c r="F555" i="2" s="1"/>
  <c r="H555" i="2"/>
  <c r="G555" i="2"/>
  <c r="M554" i="2"/>
  <c r="L554" i="2"/>
  <c r="K554" i="2"/>
  <c r="J554" i="2"/>
  <c r="I554" i="2"/>
  <c r="H554" i="2"/>
  <c r="G554" i="2"/>
  <c r="F554" i="2"/>
  <c r="M553" i="2"/>
  <c r="L553" i="2"/>
  <c r="K553" i="2"/>
  <c r="J553" i="2"/>
  <c r="I553" i="2"/>
  <c r="H553" i="2"/>
  <c r="G553" i="2"/>
  <c r="F553" i="2"/>
  <c r="Q550" i="2"/>
  <c r="P550" i="2"/>
  <c r="O550" i="2"/>
  <c r="N550" i="2"/>
  <c r="E550" i="2"/>
  <c r="M547" i="2"/>
  <c r="L547" i="2"/>
  <c r="K547" i="2"/>
  <c r="J547" i="2"/>
  <c r="I547" i="2"/>
  <c r="H547" i="2"/>
  <c r="G547" i="2"/>
  <c r="F547" i="2"/>
  <c r="S546" i="2"/>
  <c r="F546" i="2" s="1"/>
  <c r="M546" i="2"/>
  <c r="L546" i="2"/>
  <c r="K546" i="2"/>
  <c r="M545" i="2"/>
  <c r="L545" i="2"/>
  <c r="K545" i="2"/>
  <c r="J545" i="2"/>
  <c r="I545" i="2"/>
  <c r="H545" i="2"/>
  <c r="G545" i="2"/>
  <c r="F545" i="2"/>
  <c r="M544" i="2"/>
  <c r="L544" i="2"/>
  <c r="K544" i="2"/>
  <c r="J544" i="2"/>
  <c r="I544" i="2"/>
  <c r="H544" i="2"/>
  <c r="G544" i="2"/>
  <c r="F544" i="2"/>
  <c r="M543" i="2"/>
  <c r="L543" i="2"/>
  <c r="K543" i="2"/>
  <c r="J543" i="2"/>
  <c r="I543" i="2"/>
  <c r="H543" i="2"/>
  <c r="G543" i="2"/>
  <c r="F543" i="2"/>
  <c r="M542" i="2"/>
  <c r="L542" i="2"/>
  <c r="K542" i="2"/>
  <c r="J542" i="2"/>
  <c r="I542" i="2"/>
  <c r="H542" i="2"/>
  <c r="G542" i="2"/>
  <c r="F542" i="2"/>
  <c r="M541" i="2"/>
  <c r="L541" i="2"/>
  <c r="K541" i="2"/>
  <c r="J541" i="2"/>
  <c r="I541" i="2"/>
  <c r="H541" i="2"/>
  <c r="G541" i="2"/>
  <c r="F541" i="2"/>
  <c r="M540" i="2"/>
  <c r="L540" i="2"/>
  <c r="K540" i="2"/>
  <c r="J540" i="2"/>
  <c r="I540" i="2"/>
  <c r="H540" i="2"/>
  <c r="G540" i="2"/>
  <c r="F540" i="2"/>
  <c r="Q537" i="2"/>
  <c r="P537" i="2"/>
  <c r="O537" i="2"/>
  <c r="N537" i="2"/>
  <c r="E537" i="2"/>
  <c r="S533" i="2"/>
  <c r="F533" i="2" s="1"/>
  <c r="O533" i="2"/>
  <c r="N533" i="2"/>
  <c r="S531" i="2"/>
  <c r="F531" i="2" s="1"/>
  <c r="O531" i="2"/>
  <c r="N531" i="2"/>
  <c r="F530" i="2"/>
  <c r="S529" i="2"/>
  <c r="F529" i="2" s="1"/>
  <c r="O529" i="2"/>
  <c r="N529" i="2"/>
  <c r="S528" i="2"/>
  <c r="F528" i="2" s="1"/>
  <c r="O528" i="2"/>
  <c r="N528" i="2"/>
  <c r="S527" i="2"/>
  <c r="F527" i="2" s="1"/>
  <c r="O527" i="2"/>
  <c r="N527" i="2"/>
  <c r="S526" i="2"/>
  <c r="F526" i="2" s="1"/>
  <c r="O526" i="2"/>
  <c r="N526" i="2"/>
  <c r="S525" i="2"/>
  <c r="F525" i="2" s="1"/>
  <c r="O525" i="2"/>
  <c r="N525" i="2"/>
  <c r="S524" i="2"/>
  <c r="F524" i="2" s="1"/>
  <c r="O524" i="2"/>
  <c r="N524" i="2"/>
  <c r="S523" i="2"/>
  <c r="F523" i="2" s="1"/>
  <c r="O523" i="2"/>
  <c r="N523" i="2"/>
  <c r="S522" i="2"/>
  <c r="F522" i="2" s="1"/>
  <c r="O522" i="2"/>
  <c r="N522" i="2"/>
  <c r="S521" i="2"/>
  <c r="F521" i="2" s="1"/>
  <c r="O521" i="2"/>
  <c r="N521" i="2"/>
  <c r="S520" i="2"/>
  <c r="F520" i="2" s="1"/>
  <c r="O520" i="2"/>
  <c r="N520" i="2"/>
  <c r="S519" i="2"/>
  <c r="F519" i="2" s="1"/>
  <c r="O519" i="2"/>
  <c r="N519" i="2"/>
  <c r="S518" i="2"/>
  <c r="F518" i="2" s="1"/>
  <c r="O518" i="2"/>
  <c r="N518" i="2"/>
  <c r="S517" i="2"/>
  <c r="F517" i="2" s="1"/>
  <c r="R517" i="2"/>
  <c r="Q517" i="2"/>
  <c r="P517" i="2"/>
  <c r="O517" i="2"/>
  <c r="N517" i="2"/>
  <c r="M517" i="2"/>
  <c r="S516" i="2"/>
  <c r="F516" i="2" s="1"/>
  <c r="R516" i="2"/>
  <c r="Q516" i="2"/>
  <c r="P516" i="2"/>
  <c r="O516" i="2"/>
  <c r="N516" i="2"/>
  <c r="M516" i="2"/>
  <c r="S515" i="2"/>
  <c r="F515" i="2" s="1"/>
  <c r="N515" i="2"/>
  <c r="M515" i="2"/>
  <c r="F514" i="2"/>
  <c r="S513" i="2"/>
  <c r="F513" i="2" s="1"/>
  <c r="L513" i="2"/>
  <c r="K513" i="2"/>
  <c r="S512" i="2"/>
  <c r="F512" i="2" s="1"/>
  <c r="L512" i="2"/>
  <c r="K512" i="2"/>
  <c r="J509" i="2"/>
  <c r="I509" i="2"/>
  <c r="H509" i="2"/>
  <c r="G509" i="2"/>
  <c r="E509" i="2"/>
  <c r="S506" i="2"/>
  <c r="F506" i="2" s="1"/>
  <c r="R506" i="2"/>
  <c r="Q506" i="2"/>
  <c r="P506" i="2"/>
  <c r="O506" i="2"/>
  <c r="N506" i="2"/>
  <c r="S505" i="2"/>
  <c r="F505" i="2" s="1"/>
  <c r="R505" i="2"/>
  <c r="Q505" i="2"/>
  <c r="P505" i="2"/>
  <c r="O505" i="2"/>
  <c r="N505" i="2"/>
  <c r="S504" i="2"/>
  <c r="F504" i="2" s="1"/>
  <c r="R504" i="2"/>
  <c r="Q504" i="2"/>
  <c r="P504" i="2"/>
  <c r="O504" i="2"/>
  <c r="N504" i="2"/>
  <c r="S503" i="2"/>
  <c r="F503" i="2" s="1"/>
  <c r="R503" i="2"/>
  <c r="Q503" i="2"/>
  <c r="P503" i="2"/>
  <c r="O503" i="2"/>
  <c r="N503" i="2"/>
  <c r="S502" i="2"/>
  <c r="F502" i="2" s="1"/>
  <c r="R502" i="2"/>
  <c r="Q502" i="2"/>
  <c r="P502" i="2"/>
  <c r="O502" i="2"/>
  <c r="N502" i="2"/>
  <c r="S501" i="2"/>
  <c r="F501" i="2" s="1"/>
  <c r="R501" i="2"/>
  <c r="Q501" i="2"/>
  <c r="P501" i="2"/>
  <c r="O501" i="2"/>
  <c r="N501" i="2"/>
  <c r="S500" i="2"/>
  <c r="F500" i="2" s="1"/>
  <c r="R500" i="2"/>
  <c r="Q500" i="2"/>
  <c r="P500" i="2"/>
  <c r="O500" i="2"/>
  <c r="N500" i="2"/>
  <c r="M497" i="2"/>
  <c r="L497" i="2"/>
  <c r="K497" i="2"/>
  <c r="J497" i="2"/>
  <c r="I497" i="2"/>
  <c r="H497" i="2"/>
  <c r="G497" i="2"/>
  <c r="E497" i="2"/>
  <c r="S493" i="2"/>
  <c r="F493" i="2" s="1"/>
  <c r="O493" i="2"/>
  <c r="S492" i="2"/>
  <c r="F492" i="2" s="1"/>
  <c r="R492" i="2"/>
  <c r="Q492" i="2"/>
  <c r="P492" i="2"/>
  <c r="O492" i="2"/>
  <c r="N492" i="2"/>
  <c r="M492" i="2"/>
  <c r="F491" i="2"/>
  <c r="S490" i="2"/>
  <c r="F490" i="2" s="1"/>
  <c r="R490" i="2"/>
  <c r="Q490" i="2"/>
  <c r="P490" i="2"/>
  <c r="O490" i="2"/>
  <c r="N490" i="2"/>
  <c r="M490" i="2"/>
  <c r="S489" i="2"/>
  <c r="F489" i="2" s="1"/>
  <c r="R489" i="2"/>
  <c r="Q489" i="2"/>
  <c r="P489" i="2"/>
  <c r="O489" i="2"/>
  <c r="N489" i="2"/>
  <c r="M489" i="2"/>
  <c r="S488" i="2"/>
  <c r="F488" i="2" s="1"/>
  <c r="R488" i="2"/>
  <c r="Q488" i="2"/>
  <c r="P488" i="2"/>
  <c r="O488" i="2"/>
  <c r="N488" i="2"/>
  <c r="M488" i="2"/>
  <c r="S487" i="2"/>
  <c r="F487" i="2" s="1"/>
  <c r="R487" i="2"/>
  <c r="Q487" i="2"/>
  <c r="P487" i="2"/>
  <c r="O487" i="2"/>
  <c r="N487" i="2"/>
  <c r="M487" i="2"/>
  <c r="S486" i="2"/>
  <c r="F486" i="2" s="1"/>
  <c r="R486" i="2"/>
  <c r="Q486" i="2"/>
  <c r="P486" i="2"/>
  <c r="O486" i="2"/>
  <c r="N486" i="2"/>
  <c r="M486" i="2"/>
  <c r="S485" i="2"/>
  <c r="F485" i="2" s="1"/>
  <c r="L485" i="2"/>
  <c r="K485" i="2"/>
  <c r="J485" i="2"/>
  <c r="S484" i="2"/>
  <c r="F484" i="2" s="1"/>
  <c r="L484" i="2"/>
  <c r="K484" i="2"/>
  <c r="J484" i="2"/>
  <c r="S483" i="2"/>
  <c r="F483" i="2" s="1"/>
  <c r="L483" i="2"/>
  <c r="K483" i="2"/>
  <c r="J483" i="2"/>
  <c r="S482" i="2"/>
  <c r="F482" i="2" s="1"/>
  <c r="L482" i="2"/>
  <c r="K482" i="2"/>
  <c r="J482" i="2"/>
  <c r="S481" i="2"/>
  <c r="F481" i="2" s="1"/>
  <c r="L481" i="2"/>
  <c r="K481" i="2"/>
  <c r="J481" i="2"/>
  <c r="S480" i="2"/>
  <c r="F480" i="2" s="1"/>
  <c r="L480" i="2"/>
  <c r="K480" i="2"/>
  <c r="J480" i="2"/>
  <c r="S479" i="2"/>
  <c r="F479" i="2" s="1"/>
  <c r="L479" i="2"/>
  <c r="K479" i="2"/>
  <c r="J479" i="2"/>
  <c r="I476" i="2"/>
  <c r="I474" i="2" s="1"/>
  <c r="H476" i="2"/>
  <c r="H474" i="2" s="1"/>
  <c r="G476" i="2"/>
  <c r="G474" i="2" s="1"/>
  <c r="E476" i="2"/>
  <c r="E474" i="2" s="1"/>
  <c r="S472" i="2"/>
  <c r="F472" i="2" s="1"/>
  <c r="O472" i="2"/>
  <c r="N472" i="2"/>
  <c r="M472" i="2"/>
  <c r="S471" i="2"/>
  <c r="F471" i="2" s="1"/>
  <c r="R471" i="2"/>
  <c r="Q471" i="2"/>
  <c r="P471" i="2"/>
  <c r="O471" i="2"/>
  <c r="N471" i="2"/>
  <c r="S470" i="2"/>
  <c r="F470" i="2" s="1"/>
  <c r="R470" i="2"/>
  <c r="Q470" i="2"/>
  <c r="P470" i="2"/>
  <c r="O470" i="2"/>
  <c r="N470" i="2"/>
  <c r="F469" i="2"/>
  <c r="S468" i="2"/>
  <c r="F468" i="2" s="1"/>
  <c r="R468" i="2"/>
  <c r="Q468" i="2"/>
  <c r="P468" i="2"/>
  <c r="O468" i="2"/>
  <c r="N468" i="2"/>
  <c r="F467" i="2"/>
  <c r="S466" i="2"/>
  <c r="F466" i="2" s="1"/>
  <c r="R466" i="2"/>
  <c r="Q466" i="2"/>
  <c r="P466" i="2"/>
  <c r="O466" i="2"/>
  <c r="N466" i="2"/>
  <c r="S465" i="2"/>
  <c r="F465" i="2" s="1"/>
  <c r="R465" i="2"/>
  <c r="Q465" i="2"/>
  <c r="P465" i="2"/>
  <c r="O465" i="2"/>
  <c r="N465" i="2"/>
  <c r="S464" i="2"/>
  <c r="F464" i="2" s="1"/>
  <c r="R464" i="2"/>
  <c r="Q464" i="2"/>
  <c r="P464" i="2"/>
  <c r="O464" i="2"/>
  <c r="N464" i="2"/>
  <c r="S463" i="2"/>
  <c r="F463" i="2" s="1"/>
  <c r="R463" i="2"/>
  <c r="Q463" i="2"/>
  <c r="P463" i="2"/>
  <c r="O463" i="2"/>
  <c r="N463" i="2"/>
  <c r="S462" i="2"/>
  <c r="F462" i="2" s="1"/>
  <c r="R462" i="2"/>
  <c r="Q462" i="2"/>
  <c r="P462" i="2"/>
  <c r="O462" i="2"/>
  <c r="N462" i="2"/>
  <c r="S461" i="2"/>
  <c r="F461" i="2" s="1"/>
  <c r="R461" i="2"/>
  <c r="Q461" i="2"/>
  <c r="P461" i="2"/>
  <c r="O461" i="2"/>
  <c r="N461" i="2"/>
  <c r="S460" i="2"/>
  <c r="F460" i="2" s="1"/>
  <c r="R460" i="2"/>
  <c r="Q460" i="2"/>
  <c r="P460" i="2"/>
  <c r="O460" i="2"/>
  <c r="N460" i="2"/>
  <c r="S459" i="2"/>
  <c r="F459" i="2" s="1"/>
  <c r="R459" i="2"/>
  <c r="Q459" i="2"/>
  <c r="P459" i="2"/>
  <c r="O459" i="2"/>
  <c r="N459" i="2"/>
  <c r="S458" i="2"/>
  <c r="F458" i="2" s="1"/>
  <c r="R458" i="2"/>
  <c r="Q458" i="2"/>
  <c r="P458" i="2"/>
  <c r="O458" i="2"/>
  <c r="N458" i="2"/>
  <c r="S457" i="2"/>
  <c r="F457" i="2" s="1"/>
  <c r="R457" i="2"/>
  <c r="Q457" i="2"/>
  <c r="P457" i="2"/>
  <c r="O457" i="2"/>
  <c r="N457" i="2"/>
  <c r="S456" i="2"/>
  <c r="F456" i="2" s="1"/>
  <c r="R456" i="2"/>
  <c r="Q456" i="2"/>
  <c r="P456" i="2"/>
  <c r="O456" i="2"/>
  <c r="N456" i="2"/>
  <c r="S455" i="2"/>
  <c r="F455" i="2" s="1"/>
  <c r="R455" i="2"/>
  <c r="Q455" i="2"/>
  <c r="P455" i="2"/>
  <c r="O455" i="2"/>
  <c r="N455" i="2"/>
  <c r="S454" i="2"/>
  <c r="F454" i="2" s="1"/>
  <c r="R454" i="2"/>
  <c r="Q454" i="2"/>
  <c r="P454" i="2"/>
  <c r="O454" i="2"/>
  <c r="N454" i="2"/>
  <c r="S453" i="2"/>
  <c r="F453" i="2" s="1"/>
  <c r="R453" i="2"/>
  <c r="Q453" i="2"/>
  <c r="P453" i="2"/>
  <c r="O453" i="2"/>
  <c r="N453" i="2"/>
  <c r="S452" i="2"/>
  <c r="F452" i="2" s="1"/>
  <c r="R452" i="2"/>
  <c r="Q452" i="2"/>
  <c r="P452" i="2"/>
  <c r="O452" i="2"/>
  <c r="N452" i="2"/>
  <c r="M451" i="2"/>
  <c r="L451" i="2"/>
  <c r="K451" i="2"/>
  <c r="J451" i="2"/>
  <c r="I451" i="2"/>
  <c r="H451" i="2"/>
  <c r="G451" i="2"/>
  <c r="F451" i="2"/>
  <c r="M450" i="2"/>
  <c r="L450" i="2"/>
  <c r="K450" i="2"/>
  <c r="J450" i="2"/>
  <c r="I450" i="2"/>
  <c r="H450" i="2"/>
  <c r="G450" i="2"/>
  <c r="F450" i="2"/>
  <c r="M449" i="2"/>
  <c r="L449" i="2"/>
  <c r="K449" i="2"/>
  <c r="J449" i="2"/>
  <c r="I449" i="2"/>
  <c r="H449" i="2"/>
  <c r="G449" i="2"/>
  <c r="F449" i="2"/>
  <c r="M448" i="2"/>
  <c r="L448" i="2"/>
  <c r="K448" i="2"/>
  <c r="J448" i="2"/>
  <c r="I448" i="2"/>
  <c r="H448" i="2"/>
  <c r="G448" i="2"/>
  <c r="F448" i="2"/>
  <c r="M447" i="2"/>
  <c r="L447" i="2"/>
  <c r="K447" i="2"/>
  <c r="J447" i="2"/>
  <c r="I447" i="2"/>
  <c r="H447" i="2"/>
  <c r="G447" i="2"/>
  <c r="F447" i="2"/>
  <c r="M446" i="2"/>
  <c r="L446" i="2"/>
  <c r="K446" i="2"/>
  <c r="J446" i="2"/>
  <c r="I446" i="2"/>
  <c r="H446" i="2"/>
  <c r="G446" i="2"/>
  <c r="F446" i="2"/>
  <c r="M445" i="2"/>
  <c r="L445" i="2"/>
  <c r="K445" i="2"/>
  <c r="J445" i="2"/>
  <c r="I445" i="2"/>
  <c r="H445" i="2"/>
  <c r="G445" i="2"/>
  <c r="F445" i="2"/>
  <c r="S444" i="2"/>
  <c r="F444" i="2" s="1"/>
  <c r="M444" i="2"/>
  <c r="I444" i="2"/>
  <c r="H444" i="2"/>
  <c r="G444" i="2"/>
  <c r="M443" i="2"/>
  <c r="L443" i="2"/>
  <c r="K443" i="2"/>
  <c r="J443" i="2"/>
  <c r="I443" i="2"/>
  <c r="H443" i="2"/>
  <c r="G443" i="2"/>
  <c r="F443" i="2"/>
  <c r="M442" i="2"/>
  <c r="L442" i="2"/>
  <c r="K442" i="2"/>
  <c r="J442" i="2"/>
  <c r="I442" i="2"/>
  <c r="H442" i="2"/>
  <c r="G442" i="2"/>
  <c r="F442" i="2"/>
  <c r="M441" i="2"/>
  <c r="L441" i="2"/>
  <c r="K441" i="2"/>
  <c r="J441" i="2"/>
  <c r="I441" i="2"/>
  <c r="H441" i="2"/>
  <c r="G441" i="2"/>
  <c r="F441" i="2"/>
  <c r="M440" i="2"/>
  <c r="L440" i="2"/>
  <c r="K440" i="2"/>
  <c r="J440" i="2"/>
  <c r="I440" i="2"/>
  <c r="H440" i="2"/>
  <c r="G440" i="2"/>
  <c r="F440" i="2"/>
  <c r="M439" i="2"/>
  <c r="L439" i="2"/>
  <c r="K439" i="2"/>
  <c r="J439" i="2"/>
  <c r="I439" i="2"/>
  <c r="H439" i="2"/>
  <c r="G439" i="2"/>
  <c r="F439" i="2"/>
  <c r="M438" i="2"/>
  <c r="L438" i="2"/>
  <c r="K438" i="2"/>
  <c r="J438" i="2"/>
  <c r="I438" i="2"/>
  <c r="H438" i="2"/>
  <c r="G438" i="2"/>
  <c r="F438" i="2"/>
  <c r="M437" i="2"/>
  <c r="L437" i="2"/>
  <c r="K437" i="2"/>
  <c r="J437" i="2"/>
  <c r="I437" i="2"/>
  <c r="H437" i="2"/>
  <c r="G437" i="2"/>
  <c r="F437" i="2"/>
  <c r="S436" i="2"/>
  <c r="F436" i="2" s="1"/>
  <c r="L436" i="2"/>
  <c r="K436" i="2"/>
  <c r="J436" i="2"/>
  <c r="S435" i="2"/>
  <c r="F435" i="2" s="1"/>
  <c r="I435" i="2"/>
  <c r="H435" i="2"/>
  <c r="G434" i="2"/>
  <c r="F434" i="2"/>
  <c r="M433" i="2"/>
  <c r="L433" i="2"/>
  <c r="K433" i="2"/>
  <c r="J433" i="2"/>
  <c r="I433" i="2"/>
  <c r="H433" i="2"/>
  <c r="G433" i="2"/>
  <c r="F433" i="2"/>
  <c r="M432" i="2"/>
  <c r="L432" i="2"/>
  <c r="K432" i="2"/>
  <c r="J432" i="2"/>
  <c r="I432" i="2"/>
  <c r="H432" i="2"/>
  <c r="G432" i="2"/>
  <c r="F432" i="2"/>
  <c r="M431" i="2"/>
  <c r="L431" i="2"/>
  <c r="K431" i="2"/>
  <c r="J431" i="2"/>
  <c r="I431" i="2"/>
  <c r="H431" i="2"/>
  <c r="G431" i="2"/>
  <c r="F431" i="2"/>
  <c r="E428" i="2"/>
  <c r="S425" i="2"/>
  <c r="F425" i="2" s="1"/>
  <c r="O425" i="2"/>
  <c r="N425" i="2"/>
  <c r="M425" i="2"/>
  <c r="S424" i="2"/>
  <c r="F424" i="2" s="1"/>
  <c r="O424" i="2"/>
  <c r="N424" i="2"/>
  <c r="M424" i="2"/>
  <c r="S423" i="2"/>
  <c r="F423" i="2" s="1"/>
  <c r="O423" i="2"/>
  <c r="N423" i="2"/>
  <c r="M423" i="2"/>
  <c r="S422" i="2"/>
  <c r="F422" i="2" s="1"/>
  <c r="O422" i="2"/>
  <c r="N422" i="2"/>
  <c r="M422" i="2"/>
  <c r="S421" i="2"/>
  <c r="F421" i="2" s="1"/>
  <c r="O421" i="2"/>
  <c r="N421" i="2"/>
  <c r="M421" i="2"/>
  <c r="S420" i="2"/>
  <c r="F420" i="2" s="1"/>
  <c r="R420" i="2"/>
  <c r="Q420" i="2"/>
  <c r="P420" i="2"/>
  <c r="O420" i="2"/>
  <c r="N420" i="2"/>
  <c r="S419" i="2"/>
  <c r="F419" i="2" s="1"/>
  <c r="R419" i="2"/>
  <c r="Q419" i="2"/>
  <c r="P419" i="2"/>
  <c r="O419" i="2"/>
  <c r="N419" i="2"/>
  <c r="F418" i="2"/>
  <c r="S417" i="2"/>
  <c r="F417" i="2" s="1"/>
  <c r="R417" i="2"/>
  <c r="Q417" i="2"/>
  <c r="P417" i="2"/>
  <c r="O417" i="2"/>
  <c r="N417" i="2"/>
  <c r="S416" i="2"/>
  <c r="F416" i="2" s="1"/>
  <c r="R416" i="2"/>
  <c r="Q416" i="2"/>
  <c r="P416" i="2"/>
  <c r="O416" i="2"/>
  <c r="N416" i="2"/>
  <c r="S415" i="2"/>
  <c r="F415" i="2" s="1"/>
  <c r="R415" i="2"/>
  <c r="Q415" i="2"/>
  <c r="P415" i="2"/>
  <c r="O415" i="2"/>
  <c r="N415" i="2"/>
  <c r="F414" i="2"/>
  <c r="S413" i="2"/>
  <c r="F413" i="2" s="1"/>
  <c r="R413" i="2"/>
  <c r="Q413" i="2"/>
  <c r="P413" i="2"/>
  <c r="O413" i="2"/>
  <c r="N413" i="2"/>
  <c r="F412" i="2"/>
  <c r="S411" i="2"/>
  <c r="F411" i="2" s="1"/>
  <c r="R411" i="2"/>
  <c r="Q411" i="2"/>
  <c r="P411" i="2"/>
  <c r="O411" i="2"/>
  <c r="N411" i="2"/>
  <c r="S410" i="2"/>
  <c r="F410" i="2" s="1"/>
  <c r="R410" i="2"/>
  <c r="Q410" i="2"/>
  <c r="P410" i="2"/>
  <c r="O410" i="2"/>
  <c r="N410" i="2"/>
  <c r="S409" i="2"/>
  <c r="F409" i="2" s="1"/>
  <c r="R409" i="2"/>
  <c r="Q409" i="2"/>
  <c r="P409" i="2"/>
  <c r="O409" i="2"/>
  <c r="N409" i="2"/>
  <c r="S408" i="2"/>
  <c r="F408" i="2" s="1"/>
  <c r="R408" i="2"/>
  <c r="Q408" i="2"/>
  <c r="P408" i="2"/>
  <c r="O408" i="2"/>
  <c r="N408" i="2"/>
  <c r="S407" i="2"/>
  <c r="F407" i="2" s="1"/>
  <c r="O407" i="2"/>
  <c r="N407" i="2"/>
  <c r="S406" i="2"/>
  <c r="F406" i="2" s="1"/>
  <c r="R406" i="2"/>
  <c r="Q406" i="2"/>
  <c r="P406" i="2"/>
  <c r="O406" i="2"/>
  <c r="N406" i="2"/>
  <c r="S405" i="2"/>
  <c r="F405" i="2" s="1"/>
  <c r="R405" i="2"/>
  <c r="Q405" i="2"/>
  <c r="P405" i="2"/>
  <c r="O405" i="2"/>
  <c r="N405" i="2"/>
  <c r="S404" i="2"/>
  <c r="F404" i="2" s="1"/>
  <c r="R404" i="2"/>
  <c r="Q404" i="2"/>
  <c r="P404" i="2"/>
  <c r="O404" i="2"/>
  <c r="N404" i="2"/>
  <c r="F403" i="2"/>
  <c r="S402" i="2"/>
  <c r="F402" i="2" s="1"/>
  <c r="R402" i="2"/>
  <c r="Q402" i="2"/>
  <c r="P402" i="2"/>
  <c r="O402" i="2"/>
  <c r="N402" i="2"/>
  <c r="F401" i="2"/>
  <c r="S400" i="2"/>
  <c r="F400" i="2" s="1"/>
  <c r="R400" i="2"/>
  <c r="Q400" i="2"/>
  <c r="P400" i="2"/>
  <c r="O400" i="2"/>
  <c r="N400" i="2"/>
  <c r="S399" i="2"/>
  <c r="F399" i="2" s="1"/>
  <c r="R399" i="2"/>
  <c r="Q399" i="2"/>
  <c r="P399" i="2"/>
  <c r="O399" i="2"/>
  <c r="N399" i="2"/>
  <c r="S398" i="2"/>
  <c r="F398" i="2" s="1"/>
  <c r="R398" i="2"/>
  <c r="Q398" i="2"/>
  <c r="P398" i="2"/>
  <c r="O398" i="2"/>
  <c r="N398" i="2"/>
  <c r="F397" i="2"/>
  <c r="S396" i="2"/>
  <c r="F396" i="2" s="1"/>
  <c r="R396" i="2"/>
  <c r="Q396" i="2"/>
  <c r="P396" i="2"/>
  <c r="O396" i="2"/>
  <c r="N396" i="2"/>
  <c r="S395" i="2"/>
  <c r="F395" i="2" s="1"/>
  <c r="L395" i="2"/>
  <c r="K395" i="2"/>
  <c r="J395" i="2"/>
  <c r="S394" i="2"/>
  <c r="F394" i="2" s="1"/>
  <c r="L394" i="2"/>
  <c r="K394" i="2"/>
  <c r="S393" i="2"/>
  <c r="F393" i="2" s="1"/>
  <c r="L393" i="2"/>
  <c r="K393" i="2"/>
  <c r="S392" i="2"/>
  <c r="F392" i="2" s="1"/>
  <c r="L392" i="2"/>
  <c r="K392" i="2"/>
  <c r="J392" i="2"/>
  <c r="S391" i="2"/>
  <c r="F391" i="2" s="1"/>
  <c r="L391" i="2"/>
  <c r="K391" i="2"/>
  <c r="J391" i="2"/>
  <c r="S390" i="2"/>
  <c r="F390" i="2" s="1"/>
  <c r="L390" i="2"/>
  <c r="K390" i="2"/>
  <c r="J390" i="2"/>
  <c r="S389" i="2"/>
  <c r="F389" i="2" s="1"/>
  <c r="I389" i="2"/>
  <c r="H389" i="2"/>
  <c r="S388" i="2"/>
  <c r="F388" i="2" s="1"/>
  <c r="I388" i="2"/>
  <c r="H388" i="2"/>
  <c r="S387" i="2"/>
  <c r="F387" i="2" s="1"/>
  <c r="I387" i="2"/>
  <c r="H387" i="2"/>
  <c r="S386" i="2"/>
  <c r="F386" i="2" s="1"/>
  <c r="I386" i="2"/>
  <c r="H386" i="2"/>
  <c r="M385" i="2"/>
  <c r="L385" i="2"/>
  <c r="K385" i="2"/>
  <c r="J385" i="2"/>
  <c r="I385" i="2"/>
  <c r="H385" i="2"/>
  <c r="G385" i="2"/>
  <c r="F385" i="2"/>
  <c r="M384" i="2"/>
  <c r="L384" i="2"/>
  <c r="K384" i="2"/>
  <c r="J384" i="2"/>
  <c r="I384" i="2"/>
  <c r="H384" i="2"/>
  <c r="G384" i="2"/>
  <c r="F384" i="2"/>
  <c r="M383" i="2"/>
  <c r="L383" i="2"/>
  <c r="K383" i="2"/>
  <c r="J383" i="2"/>
  <c r="I383" i="2"/>
  <c r="H383" i="2"/>
  <c r="G383" i="2"/>
  <c r="F383" i="2"/>
  <c r="M382" i="2"/>
  <c r="L382" i="2"/>
  <c r="K382" i="2"/>
  <c r="J382" i="2"/>
  <c r="I382" i="2"/>
  <c r="H382" i="2"/>
  <c r="G382" i="2"/>
  <c r="F382" i="2"/>
  <c r="M381" i="2"/>
  <c r="L381" i="2"/>
  <c r="K381" i="2"/>
  <c r="J381" i="2"/>
  <c r="I381" i="2"/>
  <c r="H381" i="2"/>
  <c r="G381" i="2"/>
  <c r="F381" i="2"/>
  <c r="M380" i="2"/>
  <c r="L380" i="2"/>
  <c r="K380" i="2"/>
  <c r="J380" i="2"/>
  <c r="I380" i="2"/>
  <c r="H380" i="2"/>
  <c r="G380" i="2"/>
  <c r="F380" i="2"/>
  <c r="M379" i="2"/>
  <c r="L379" i="2"/>
  <c r="K379" i="2"/>
  <c r="J379" i="2"/>
  <c r="I379" i="2"/>
  <c r="H379" i="2"/>
  <c r="G379" i="2"/>
  <c r="F379" i="2"/>
  <c r="M378" i="2"/>
  <c r="L378" i="2"/>
  <c r="K378" i="2"/>
  <c r="J378" i="2"/>
  <c r="I378" i="2"/>
  <c r="H378" i="2"/>
  <c r="G378" i="2"/>
  <c r="F378" i="2"/>
  <c r="S377" i="2"/>
  <c r="F377" i="2" s="1"/>
  <c r="M377" i="2"/>
  <c r="L377" i="2"/>
  <c r="K377" i="2"/>
  <c r="J377" i="2"/>
  <c r="I377" i="2"/>
  <c r="G377" i="2"/>
  <c r="M376" i="2"/>
  <c r="L376" i="2"/>
  <c r="K376" i="2"/>
  <c r="J376" i="2"/>
  <c r="I376" i="2"/>
  <c r="H376" i="2"/>
  <c r="G376" i="2"/>
  <c r="F376" i="2"/>
  <c r="M375" i="2"/>
  <c r="L375" i="2"/>
  <c r="K375" i="2"/>
  <c r="J375" i="2"/>
  <c r="I375" i="2"/>
  <c r="H375" i="2"/>
  <c r="G375" i="2"/>
  <c r="F375" i="2"/>
  <c r="S374" i="2"/>
  <c r="F374" i="2" s="1"/>
  <c r="L374" i="2"/>
  <c r="K374" i="2"/>
  <c r="J374" i="2"/>
  <c r="I374" i="2"/>
  <c r="H374" i="2"/>
  <c r="G374" i="2"/>
  <c r="M373" i="2"/>
  <c r="L373" i="2"/>
  <c r="K373" i="2"/>
  <c r="J373" i="2"/>
  <c r="I373" i="2"/>
  <c r="H373" i="2"/>
  <c r="G373" i="2"/>
  <c r="F373" i="2"/>
  <c r="S372" i="2"/>
  <c r="F372" i="2" s="1"/>
  <c r="I372" i="2"/>
  <c r="G372" i="2"/>
  <c r="S371" i="2"/>
  <c r="F371" i="2" s="1"/>
  <c r="L371" i="2"/>
  <c r="K371" i="2"/>
  <c r="J371" i="2"/>
  <c r="I371" i="2"/>
  <c r="H371" i="2"/>
  <c r="G371" i="2"/>
  <c r="M370" i="2"/>
  <c r="L370" i="2"/>
  <c r="K370" i="2"/>
  <c r="J370" i="2"/>
  <c r="I370" i="2"/>
  <c r="H370" i="2"/>
  <c r="G370" i="2"/>
  <c r="F370" i="2"/>
  <c r="M369" i="2"/>
  <c r="L369" i="2"/>
  <c r="K369" i="2"/>
  <c r="J369" i="2"/>
  <c r="I369" i="2"/>
  <c r="H369" i="2"/>
  <c r="G369" i="2"/>
  <c r="F369" i="2"/>
  <c r="M368" i="2"/>
  <c r="L368" i="2"/>
  <c r="K368" i="2"/>
  <c r="J368" i="2"/>
  <c r="I368" i="2"/>
  <c r="H368" i="2"/>
  <c r="G368" i="2"/>
  <c r="F368" i="2"/>
  <c r="M367" i="2"/>
  <c r="L367" i="2"/>
  <c r="K367" i="2"/>
  <c r="J367" i="2"/>
  <c r="I367" i="2"/>
  <c r="H367" i="2"/>
  <c r="G367" i="2"/>
  <c r="F367" i="2"/>
  <c r="F366" i="2"/>
  <c r="M365" i="2"/>
  <c r="L365" i="2"/>
  <c r="K365" i="2"/>
  <c r="J365" i="2"/>
  <c r="I365" i="2"/>
  <c r="H365" i="2"/>
  <c r="G365" i="2"/>
  <c r="F365" i="2"/>
  <c r="M364" i="2"/>
  <c r="L364" i="2"/>
  <c r="K364" i="2"/>
  <c r="J364" i="2"/>
  <c r="I364" i="2"/>
  <c r="H364" i="2"/>
  <c r="G364" i="2"/>
  <c r="F364" i="2"/>
  <c r="F363" i="2"/>
  <c r="G362" i="2"/>
  <c r="F362" i="2"/>
  <c r="S361" i="2"/>
  <c r="F361" i="2" s="1"/>
  <c r="G361" i="2"/>
  <c r="M360" i="2"/>
  <c r="L360" i="2"/>
  <c r="K360" i="2"/>
  <c r="J360" i="2"/>
  <c r="I360" i="2"/>
  <c r="H360" i="2"/>
  <c r="G360" i="2"/>
  <c r="F360" i="2"/>
  <c r="E357" i="2"/>
  <c r="M354" i="2"/>
  <c r="M352" i="2" s="1"/>
  <c r="L354" i="2"/>
  <c r="L352" i="2" s="1"/>
  <c r="K354" i="2"/>
  <c r="K352" i="2" s="1"/>
  <c r="J354" i="2"/>
  <c r="J352" i="2" s="1"/>
  <c r="I354" i="2"/>
  <c r="H354" i="2"/>
  <c r="H352" i="2" s="1"/>
  <c r="G354" i="2"/>
  <c r="G352" i="2" s="1"/>
  <c r="F354" i="2"/>
  <c r="F355" i="2" s="1"/>
  <c r="R355" i="2" s="1"/>
  <c r="R352" i="2" s="1"/>
  <c r="Q352" i="2"/>
  <c r="P352" i="2"/>
  <c r="O352" i="2"/>
  <c r="N352" i="2"/>
  <c r="I352" i="2"/>
  <c r="E352" i="2"/>
  <c r="S349" i="2"/>
  <c r="F349" i="2" s="1"/>
  <c r="R349" i="2"/>
  <c r="Q349" i="2"/>
  <c r="P349" i="2"/>
  <c r="O349" i="2"/>
  <c r="N349" i="2"/>
  <c r="S348" i="2"/>
  <c r="F348" i="2" s="1"/>
  <c r="R348" i="2"/>
  <c r="Q348" i="2"/>
  <c r="P348" i="2"/>
  <c r="O348" i="2"/>
  <c r="N348" i="2"/>
  <c r="S347" i="2"/>
  <c r="F347" i="2" s="1"/>
  <c r="R347" i="2"/>
  <c r="Q347" i="2"/>
  <c r="P347" i="2"/>
  <c r="O347" i="2"/>
  <c r="N347" i="2"/>
  <c r="S346" i="2"/>
  <c r="F346" i="2" s="1"/>
  <c r="R346" i="2"/>
  <c r="Q346" i="2"/>
  <c r="P346" i="2"/>
  <c r="O346" i="2"/>
  <c r="N346" i="2"/>
  <c r="S345" i="2"/>
  <c r="F345" i="2" s="1"/>
  <c r="R345" i="2"/>
  <c r="Q345" i="2"/>
  <c r="P345" i="2"/>
  <c r="O345" i="2"/>
  <c r="N345" i="2"/>
  <c r="S344" i="2"/>
  <c r="F344" i="2" s="1"/>
  <c r="R344" i="2"/>
  <c r="Q344" i="2"/>
  <c r="P344" i="2"/>
  <c r="O344" i="2"/>
  <c r="N344" i="2"/>
  <c r="S343" i="2"/>
  <c r="F343" i="2" s="1"/>
  <c r="R343" i="2"/>
  <c r="Q343" i="2"/>
  <c r="P343" i="2"/>
  <c r="O343" i="2"/>
  <c r="N343" i="2"/>
  <c r="S342" i="2"/>
  <c r="F342" i="2" s="1"/>
  <c r="R342" i="2"/>
  <c r="Q342" i="2"/>
  <c r="P342" i="2"/>
  <c r="O342" i="2"/>
  <c r="N342" i="2"/>
  <c r="S341" i="2"/>
  <c r="F341" i="2" s="1"/>
  <c r="R341" i="2"/>
  <c r="Q341" i="2"/>
  <c r="P341" i="2"/>
  <c r="O341" i="2"/>
  <c r="N341" i="2"/>
  <c r="S340" i="2"/>
  <c r="F340" i="2" s="1"/>
  <c r="O340" i="2"/>
  <c r="M339" i="2"/>
  <c r="L339" i="2"/>
  <c r="K339" i="2"/>
  <c r="J339" i="2"/>
  <c r="I339" i="2"/>
  <c r="H339" i="2"/>
  <c r="G339" i="2"/>
  <c r="F339" i="2"/>
  <c r="S338" i="2"/>
  <c r="F338" i="2" s="1"/>
  <c r="O338" i="2"/>
  <c r="N338" i="2"/>
  <c r="M338" i="2"/>
  <c r="S337" i="2"/>
  <c r="F337" i="2" s="1"/>
  <c r="O337" i="2"/>
  <c r="N337" i="2"/>
  <c r="M337" i="2"/>
  <c r="S336" i="2"/>
  <c r="F336" i="2" s="1"/>
  <c r="L336" i="2"/>
  <c r="K336" i="2"/>
  <c r="J336" i="2"/>
  <c r="S335" i="2"/>
  <c r="F335" i="2" s="1"/>
  <c r="I335" i="2"/>
  <c r="H335" i="2"/>
  <c r="M334" i="2"/>
  <c r="L334" i="2"/>
  <c r="K334" i="2"/>
  <c r="J334" i="2"/>
  <c r="I334" i="2"/>
  <c r="H334" i="2"/>
  <c r="G334" i="2"/>
  <c r="F334" i="2"/>
  <c r="M333" i="2"/>
  <c r="L333" i="2"/>
  <c r="K333" i="2"/>
  <c r="J333" i="2"/>
  <c r="I333" i="2"/>
  <c r="H333" i="2"/>
  <c r="G333" i="2"/>
  <c r="F333" i="2"/>
  <c r="M332" i="2"/>
  <c r="L332" i="2"/>
  <c r="K332" i="2"/>
  <c r="J332" i="2"/>
  <c r="I332" i="2"/>
  <c r="H332" i="2"/>
  <c r="G332" i="2"/>
  <c r="F332" i="2"/>
  <c r="M331" i="2"/>
  <c r="L331" i="2"/>
  <c r="K331" i="2"/>
  <c r="J331" i="2"/>
  <c r="I331" i="2"/>
  <c r="H331" i="2"/>
  <c r="G331" i="2"/>
  <c r="F331" i="2"/>
  <c r="M330" i="2"/>
  <c r="L330" i="2"/>
  <c r="K330" i="2"/>
  <c r="J330" i="2"/>
  <c r="I330" i="2"/>
  <c r="H330" i="2"/>
  <c r="G330" i="2"/>
  <c r="F330" i="2"/>
  <c r="M329" i="2"/>
  <c r="L329" i="2"/>
  <c r="K329" i="2"/>
  <c r="J329" i="2"/>
  <c r="I329" i="2"/>
  <c r="H329" i="2"/>
  <c r="G329" i="2"/>
  <c r="F329" i="2"/>
  <c r="M328" i="2"/>
  <c r="L328" i="2"/>
  <c r="K328" i="2"/>
  <c r="J328" i="2"/>
  <c r="I328" i="2"/>
  <c r="H328" i="2"/>
  <c r="G328" i="2"/>
  <c r="F328" i="2"/>
  <c r="F327" i="2"/>
  <c r="M326" i="2"/>
  <c r="L326" i="2"/>
  <c r="K326" i="2"/>
  <c r="J326" i="2"/>
  <c r="I326" i="2"/>
  <c r="H326" i="2"/>
  <c r="G326" i="2"/>
  <c r="F326" i="2"/>
  <c r="E323" i="2"/>
  <c r="S320" i="2"/>
  <c r="F320" i="2" s="1"/>
  <c r="R320" i="2"/>
  <c r="Q320" i="2"/>
  <c r="P320" i="2"/>
  <c r="O320" i="2"/>
  <c r="N320" i="2"/>
  <c r="S319" i="2"/>
  <c r="F319" i="2" s="1"/>
  <c r="R319" i="2"/>
  <c r="Q319" i="2"/>
  <c r="P319" i="2"/>
  <c r="O319" i="2"/>
  <c r="N319" i="2"/>
  <c r="M318" i="2"/>
  <c r="L318" i="2"/>
  <c r="K318" i="2"/>
  <c r="J318" i="2"/>
  <c r="I318" i="2"/>
  <c r="H318" i="2"/>
  <c r="G318" i="2"/>
  <c r="F318" i="2"/>
  <c r="M317" i="2"/>
  <c r="L317" i="2"/>
  <c r="K317" i="2"/>
  <c r="J317" i="2"/>
  <c r="I317" i="2"/>
  <c r="H317" i="2"/>
  <c r="G317" i="2"/>
  <c r="F317" i="2"/>
  <c r="S316" i="2"/>
  <c r="F316" i="2" s="1"/>
  <c r="N316" i="2"/>
  <c r="M316" i="2"/>
  <c r="S315" i="2"/>
  <c r="F315" i="2" s="1"/>
  <c r="R315" i="2"/>
  <c r="Q315" i="2"/>
  <c r="P315" i="2"/>
  <c r="O315" i="2"/>
  <c r="N315" i="2"/>
  <c r="S314" i="2"/>
  <c r="F314" i="2" s="1"/>
  <c r="R314" i="2"/>
  <c r="Q314" i="2"/>
  <c r="P314" i="2"/>
  <c r="O314" i="2"/>
  <c r="N314" i="2"/>
  <c r="S313" i="2"/>
  <c r="F313" i="2" s="1"/>
  <c r="R313" i="2"/>
  <c r="Q313" i="2"/>
  <c r="P313" i="2"/>
  <c r="O313" i="2"/>
  <c r="N313" i="2"/>
  <c r="S312" i="2"/>
  <c r="F312" i="2" s="1"/>
  <c r="R312" i="2"/>
  <c r="Q312" i="2"/>
  <c r="P312" i="2"/>
  <c r="O312" i="2"/>
  <c r="N312" i="2"/>
  <c r="S311" i="2"/>
  <c r="F311" i="2" s="1"/>
  <c r="O311" i="2"/>
  <c r="N311" i="2"/>
  <c r="M311" i="2"/>
  <c r="M310" i="2"/>
  <c r="L310" i="2"/>
  <c r="K310" i="2"/>
  <c r="J310" i="2"/>
  <c r="I310" i="2"/>
  <c r="H310" i="2"/>
  <c r="G310" i="2"/>
  <c r="F310" i="2"/>
  <c r="S309" i="2"/>
  <c r="F309" i="2" s="1"/>
  <c r="L309" i="2"/>
  <c r="K309" i="2"/>
  <c r="J309" i="2"/>
  <c r="S308" i="2"/>
  <c r="F308" i="2" s="1"/>
  <c r="I308" i="2"/>
  <c r="H308" i="2"/>
  <c r="M307" i="2"/>
  <c r="L307" i="2"/>
  <c r="K307" i="2"/>
  <c r="J307" i="2"/>
  <c r="I307" i="2"/>
  <c r="H307" i="2"/>
  <c r="G307" i="2"/>
  <c r="F307" i="2"/>
  <c r="M306" i="2"/>
  <c r="L306" i="2"/>
  <c r="K306" i="2"/>
  <c r="J306" i="2"/>
  <c r="I306" i="2"/>
  <c r="H306" i="2"/>
  <c r="G306" i="2"/>
  <c r="F306" i="2"/>
  <c r="M305" i="2"/>
  <c r="L305" i="2"/>
  <c r="K305" i="2"/>
  <c r="J305" i="2"/>
  <c r="I305" i="2"/>
  <c r="H305" i="2"/>
  <c r="G305" i="2"/>
  <c r="F305" i="2"/>
  <c r="S304" i="2"/>
  <c r="F304" i="2" s="1"/>
  <c r="R304" i="2"/>
  <c r="Q304" i="2"/>
  <c r="P304" i="2"/>
  <c r="O304" i="2"/>
  <c r="N304" i="2"/>
  <c r="M303" i="2"/>
  <c r="L303" i="2"/>
  <c r="K303" i="2"/>
  <c r="J303" i="2"/>
  <c r="I303" i="2"/>
  <c r="H303" i="2"/>
  <c r="G303" i="2"/>
  <c r="F303" i="2"/>
  <c r="S302" i="2"/>
  <c r="F302" i="2" s="1"/>
  <c r="R302" i="2"/>
  <c r="Q302" i="2"/>
  <c r="P302" i="2"/>
  <c r="O302" i="2"/>
  <c r="N302" i="2"/>
  <c r="M301" i="2"/>
  <c r="L301" i="2"/>
  <c r="K301" i="2"/>
  <c r="J301" i="2"/>
  <c r="I301" i="2"/>
  <c r="H301" i="2"/>
  <c r="G301" i="2"/>
  <c r="F301" i="2"/>
  <c r="S300" i="2"/>
  <c r="F300" i="2" s="1"/>
  <c r="R300" i="2"/>
  <c r="Q300" i="2"/>
  <c r="P300" i="2"/>
  <c r="O300" i="2"/>
  <c r="N300" i="2"/>
  <c r="M299" i="2"/>
  <c r="L299" i="2"/>
  <c r="K299" i="2"/>
  <c r="J299" i="2"/>
  <c r="I299" i="2"/>
  <c r="H299" i="2"/>
  <c r="G299" i="2"/>
  <c r="F299" i="2"/>
  <c r="S298" i="2"/>
  <c r="F298" i="2" s="1"/>
  <c r="O298" i="2"/>
  <c r="N298" i="2"/>
  <c r="M298" i="2"/>
  <c r="S297" i="2"/>
  <c r="F297" i="2" s="1"/>
  <c r="O297" i="2"/>
  <c r="N297" i="2"/>
  <c r="M297" i="2"/>
  <c r="S296" i="2"/>
  <c r="F296" i="2" s="1"/>
  <c r="I296" i="2"/>
  <c r="H296" i="2"/>
  <c r="G296" i="2"/>
  <c r="S295" i="2"/>
  <c r="F295" i="2" s="1"/>
  <c r="I295" i="2"/>
  <c r="H295" i="2"/>
  <c r="G295" i="2"/>
  <c r="S294" i="2"/>
  <c r="F294" i="2" s="1"/>
  <c r="I294" i="2"/>
  <c r="H294" i="2"/>
  <c r="S293" i="2"/>
  <c r="F293" i="2" s="1"/>
  <c r="I293" i="2"/>
  <c r="H293" i="2"/>
  <c r="S292" i="2"/>
  <c r="F292" i="2" s="1"/>
  <c r="L292" i="2"/>
  <c r="K292" i="2"/>
  <c r="J292" i="2"/>
  <c r="S291" i="2"/>
  <c r="F291" i="2" s="1"/>
  <c r="I291" i="2"/>
  <c r="H291" i="2"/>
  <c r="G291" i="2"/>
  <c r="S290" i="2"/>
  <c r="F290" i="2" s="1"/>
  <c r="I290" i="2"/>
  <c r="H290" i="2"/>
  <c r="G290" i="2"/>
  <c r="S289" i="2"/>
  <c r="F289" i="2" s="1"/>
  <c r="H289" i="2"/>
  <c r="G289" i="2"/>
  <c r="S288" i="2"/>
  <c r="F288" i="2" s="1"/>
  <c r="L288" i="2"/>
  <c r="K288" i="2"/>
  <c r="J288" i="2"/>
  <c r="S287" i="2"/>
  <c r="F287" i="2" s="1"/>
  <c r="I287" i="2"/>
  <c r="H287" i="2"/>
  <c r="G287" i="2"/>
  <c r="S286" i="2"/>
  <c r="F286" i="2" s="1"/>
  <c r="I286" i="2"/>
  <c r="H286" i="2"/>
  <c r="G286" i="2"/>
  <c r="S285" i="2"/>
  <c r="F285" i="2" s="1"/>
  <c r="R285" i="2"/>
  <c r="Q285" i="2"/>
  <c r="P285" i="2"/>
  <c r="S284" i="2"/>
  <c r="F284" i="2" s="1"/>
  <c r="R284" i="2"/>
  <c r="Q284" i="2"/>
  <c r="P284" i="2"/>
  <c r="S283" i="2"/>
  <c r="F283" i="2" s="1"/>
  <c r="R283" i="2"/>
  <c r="Q283" i="2"/>
  <c r="P283" i="2"/>
  <c r="S282" i="2"/>
  <c r="F282" i="2" s="1"/>
  <c r="R282" i="2"/>
  <c r="Q282" i="2"/>
  <c r="P282" i="2"/>
  <c r="O282" i="2"/>
  <c r="N282" i="2"/>
  <c r="S281" i="2"/>
  <c r="F281" i="2" s="1"/>
  <c r="R281" i="2"/>
  <c r="Q281" i="2"/>
  <c r="P281" i="2"/>
  <c r="O281" i="2"/>
  <c r="N281" i="2"/>
  <c r="S280" i="2"/>
  <c r="F280" i="2" s="1"/>
  <c r="R280" i="2"/>
  <c r="Q280" i="2"/>
  <c r="P280" i="2"/>
  <c r="O280" i="2"/>
  <c r="N280" i="2"/>
  <c r="F279" i="2"/>
  <c r="S278" i="2"/>
  <c r="F278" i="2" s="1"/>
  <c r="R278" i="2"/>
  <c r="Q278" i="2"/>
  <c r="P278" i="2"/>
  <c r="O278" i="2"/>
  <c r="N278" i="2"/>
  <c r="S277" i="2"/>
  <c r="F277" i="2" s="1"/>
  <c r="R277" i="2"/>
  <c r="Q277" i="2"/>
  <c r="P277" i="2"/>
  <c r="O277" i="2"/>
  <c r="N277" i="2"/>
  <c r="S276" i="2"/>
  <c r="F276" i="2" s="1"/>
  <c r="R276" i="2"/>
  <c r="Q276" i="2"/>
  <c r="P276" i="2"/>
  <c r="O276" i="2"/>
  <c r="N276" i="2"/>
  <c r="F275" i="2"/>
  <c r="S274" i="2"/>
  <c r="F274" i="2" s="1"/>
  <c r="R274" i="2"/>
  <c r="Q274" i="2"/>
  <c r="P274" i="2"/>
  <c r="O274" i="2"/>
  <c r="N274" i="2"/>
  <c r="S273" i="2"/>
  <c r="F273" i="2" s="1"/>
  <c r="R273" i="2"/>
  <c r="Q273" i="2"/>
  <c r="P273" i="2"/>
  <c r="O273" i="2"/>
  <c r="N273" i="2"/>
  <c r="S272" i="2"/>
  <c r="F272" i="2" s="1"/>
  <c r="R272" i="2"/>
  <c r="Q272" i="2"/>
  <c r="P272" i="2"/>
  <c r="O272" i="2"/>
  <c r="N272" i="2"/>
  <c r="S271" i="2"/>
  <c r="F271" i="2" s="1"/>
  <c r="R271" i="2"/>
  <c r="Q271" i="2"/>
  <c r="P271" i="2"/>
  <c r="O271" i="2"/>
  <c r="N271" i="2"/>
  <c r="S270" i="2"/>
  <c r="F270" i="2" s="1"/>
  <c r="R270" i="2"/>
  <c r="Q270" i="2"/>
  <c r="P270" i="2"/>
  <c r="O270" i="2"/>
  <c r="N270" i="2"/>
  <c r="S269" i="2"/>
  <c r="F269" i="2" s="1"/>
  <c r="R269" i="2"/>
  <c r="Q269" i="2"/>
  <c r="P269" i="2"/>
  <c r="O269" i="2"/>
  <c r="N269" i="2"/>
  <c r="S268" i="2"/>
  <c r="F268" i="2" s="1"/>
  <c r="R268" i="2"/>
  <c r="Q268" i="2"/>
  <c r="P268" i="2"/>
  <c r="O268" i="2"/>
  <c r="N268" i="2"/>
  <c r="S267" i="2"/>
  <c r="F267" i="2" s="1"/>
  <c r="R267" i="2"/>
  <c r="Q267" i="2"/>
  <c r="P267" i="2"/>
  <c r="O267" i="2"/>
  <c r="N267" i="2"/>
  <c r="S266" i="2"/>
  <c r="F266" i="2" s="1"/>
  <c r="R266" i="2"/>
  <c r="Q266" i="2"/>
  <c r="P266" i="2"/>
  <c r="O266" i="2"/>
  <c r="N266" i="2"/>
  <c r="S265" i="2"/>
  <c r="F265" i="2" s="1"/>
  <c r="R265" i="2"/>
  <c r="Q265" i="2"/>
  <c r="P265" i="2"/>
  <c r="O265" i="2"/>
  <c r="N265" i="2"/>
  <c r="S264" i="2"/>
  <c r="F264" i="2" s="1"/>
  <c r="R264" i="2"/>
  <c r="Q264" i="2"/>
  <c r="P264" i="2"/>
  <c r="O264" i="2"/>
  <c r="N264" i="2"/>
  <c r="S263" i="2"/>
  <c r="F263" i="2" s="1"/>
  <c r="R263" i="2"/>
  <c r="Q263" i="2"/>
  <c r="P263" i="2"/>
  <c r="O263" i="2"/>
  <c r="N263" i="2"/>
  <c r="S262" i="2"/>
  <c r="F262" i="2" s="1"/>
  <c r="R262" i="2"/>
  <c r="Q262" i="2"/>
  <c r="P262" i="2"/>
  <c r="O262" i="2"/>
  <c r="N262" i="2"/>
  <c r="S261" i="2"/>
  <c r="F261" i="2" s="1"/>
  <c r="R261" i="2"/>
  <c r="Q261" i="2"/>
  <c r="P261" i="2"/>
  <c r="O261" i="2"/>
  <c r="N261" i="2"/>
  <c r="F260" i="2"/>
  <c r="S259" i="2"/>
  <c r="F259" i="2" s="1"/>
  <c r="R259" i="2"/>
  <c r="Q259" i="2"/>
  <c r="P259" i="2"/>
  <c r="O259" i="2"/>
  <c r="N259" i="2"/>
  <c r="S258" i="2"/>
  <c r="F258" i="2" s="1"/>
  <c r="R258" i="2"/>
  <c r="Q258" i="2"/>
  <c r="P258" i="2"/>
  <c r="O258" i="2"/>
  <c r="N258" i="2"/>
  <c r="F257" i="2"/>
  <c r="S256" i="2"/>
  <c r="F256" i="2" s="1"/>
  <c r="R256" i="2"/>
  <c r="Q256" i="2"/>
  <c r="P256" i="2"/>
  <c r="O256" i="2"/>
  <c r="N256" i="2"/>
  <c r="S255" i="2"/>
  <c r="F255" i="2" s="1"/>
  <c r="R255" i="2"/>
  <c r="Q255" i="2"/>
  <c r="P255" i="2"/>
  <c r="O255" i="2"/>
  <c r="N255" i="2"/>
  <c r="M254" i="2"/>
  <c r="L254" i="2"/>
  <c r="K254" i="2"/>
  <c r="J254" i="2"/>
  <c r="I254" i="2"/>
  <c r="H254" i="2"/>
  <c r="G254" i="2"/>
  <c r="F254" i="2"/>
  <c r="S253" i="2"/>
  <c r="F253" i="2" s="1"/>
  <c r="O253" i="2"/>
  <c r="N253" i="2"/>
  <c r="M253" i="2"/>
  <c r="S252" i="2"/>
  <c r="F252" i="2" s="1"/>
  <c r="L252" i="2"/>
  <c r="K252" i="2"/>
  <c r="J252" i="2"/>
  <c r="S251" i="2"/>
  <c r="F251" i="2" s="1"/>
  <c r="I251" i="2"/>
  <c r="H251" i="2"/>
  <c r="M250" i="2"/>
  <c r="L250" i="2"/>
  <c r="K250" i="2"/>
  <c r="J250" i="2"/>
  <c r="I250" i="2"/>
  <c r="H250" i="2"/>
  <c r="G250" i="2"/>
  <c r="F250" i="2"/>
  <c r="M249" i="2"/>
  <c r="L249" i="2"/>
  <c r="K249" i="2"/>
  <c r="J249" i="2"/>
  <c r="I249" i="2"/>
  <c r="H249" i="2"/>
  <c r="G249" i="2"/>
  <c r="F249" i="2"/>
  <c r="M248" i="2"/>
  <c r="L248" i="2"/>
  <c r="K248" i="2"/>
  <c r="J248" i="2"/>
  <c r="I248" i="2"/>
  <c r="H248" i="2"/>
  <c r="G248" i="2"/>
  <c r="F248" i="2"/>
  <c r="M247" i="2"/>
  <c r="L247" i="2"/>
  <c r="K247" i="2"/>
  <c r="J247" i="2"/>
  <c r="I247" i="2"/>
  <c r="H247" i="2"/>
  <c r="G247" i="2"/>
  <c r="F247" i="2"/>
  <c r="M246" i="2"/>
  <c r="L246" i="2"/>
  <c r="K246" i="2"/>
  <c r="J246" i="2"/>
  <c r="I246" i="2"/>
  <c r="H246" i="2"/>
  <c r="G246" i="2"/>
  <c r="F246" i="2"/>
  <c r="M245" i="2"/>
  <c r="L245" i="2"/>
  <c r="K245" i="2"/>
  <c r="J245" i="2"/>
  <c r="I245" i="2"/>
  <c r="H245" i="2"/>
  <c r="G245" i="2"/>
  <c r="F245" i="2"/>
  <c r="S244" i="2"/>
  <c r="F244" i="2" s="1"/>
  <c r="M244" i="2"/>
  <c r="L244" i="2"/>
  <c r="K244" i="2"/>
  <c r="J244" i="2"/>
  <c r="I244" i="2"/>
  <c r="S243" i="2"/>
  <c r="F243" i="2" s="1"/>
  <c r="H243" i="2"/>
  <c r="G243" i="2"/>
  <c r="S242" i="2"/>
  <c r="F242" i="2" s="1"/>
  <c r="M242" i="2"/>
  <c r="I242" i="2"/>
  <c r="H242" i="2"/>
  <c r="G242" i="2"/>
  <c r="M241" i="2"/>
  <c r="L241" i="2"/>
  <c r="K241" i="2"/>
  <c r="J241" i="2"/>
  <c r="I241" i="2"/>
  <c r="H241" i="2"/>
  <c r="G241" i="2"/>
  <c r="F241" i="2"/>
  <c r="M240" i="2"/>
  <c r="L240" i="2"/>
  <c r="K240" i="2"/>
  <c r="J240" i="2"/>
  <c r="I240" i="2"/>
  <c r="H240" i="2"/>
  <c r="G240" i="2"/>
  <c r="F240" i="2"/>
  <c r="M239" i="2"/>
  <c r="L239" i="2"/>
  <c r="K239" i="2"/>
  <c r="J239" i="2"/>
  <c r="I239" i="2"/>
  <c r="H239" i="2"/>
  <c r="G239" i="2"/>
  <c r="F239" i="2"/>
  <c r="M238" i="2"/>
  <c r="L238" i="2"/>
  <c r="K238" i="2"/>
  <c r="J238" i="2"/>
  <c r="I238" i="2"/>
  <c r="H238" i="2"/>
  <c r="G238" i="2"/>
  <c r="F238" i="2"/>
  <c r="M237" i="2"/>
  <c r="L237" i="2"/>
  <c r="K237" i="2"/>
  <c r="J237" i="2"/>
  <c r="I237" i="2"/>
  <c r="H237" i="2"/>
  <c r="G237" i="2"/>
  <c r="F237" i="2"/>
  <c r="S236" i="2"/>
  <c r="F236" i="2" s="1"/>
  <c r="M236" i="2"/>
  <c r="L236" i="2"/>
  <c r="K236" i="2"/>
  <c r="J236" i="2"/>
  <c r="I236" i="2"/>
  <c r="S235" i="2"/>
  <c r="F235" i="2" s="1"/>
  <c r="H235" i="2"/>
  <c r="G235" i="2"/>
  <c r="S234" i="2"/>
  <c r="F234" i="2" s="1"/>
  <c r="H234" i="2"/>
  <c r="G234" i="2"/>
  <c r="F233" i="2"/>
  <c r="H232" i="2"/>
  <c r="F232" i="2"/>
  <c r="M231" i="2"/>
  <c r="L231" i="2"/>
  <c r="K231" i="2"/>
  <c r="J231" i="2"/>
  <c r="I231" i="2"/>
  <c r="H231" i="2"/>
  <c r="G231" i="2"/>
  <c r="F231" i="2"/>
  <c r="M230" i="2"/>
  <c r="L230" i="2"/>
  <c r="K230" i="2"/>
  <c r="J230" i="2"/>
  <c r="I230" i="2"/>
  <c r="H230" i="2"/>
  <c r="G230" i="2"/>
  <c r="F230" i="2"/>
  <c r="M229" i="2"/>
  <c r="L229" i="2"/>
  <c r="K229" i="2"/>
  <c r="J229" i="2"/>
  <c r="I229" i="2"/>
  <c r="H229" i="2"/>
  <c r="G229" i="2"/>
  <c r="F229" i="2"/>
  <c r="M228" i="2"/>
  <c r="L228" i="2"/>
  <c r="K228" i="2"/>
  <c r="J228" i="2"/>
  <c r="I228" i="2"/>
  <c r="H228" i="2"/>
  <c r="G228" i="2"/>
  <c r="F228" i="2"/>
  <c r="E225" i="2"/>
  <c r="S220" i="2"/>
  <c r="F220" i="2" s="1"/>
  <c r="R220" i="2"/>
  <c r="Q220" i="2"/>
  <c r="P220" i="2"/>
  <c r="O220" i="2"/>
  <c r="N220" i="2"/>
  <c r="F219" i="2"/>
  <c r="S218" i="2"/>
  <c r="F218" i="2" s="1"/>
  <c r="R218" i="2"/>
  <c r="Q218" i="2"/>
  <c r="P218" i="2"/>
  <c r="O218" i="2"/>
  <c r="N218" i="2"/>
  <c r="M217" i="2"/>
  <c r="L217" i="2"/>
  <c r="K217" i="2"/>
  <c r="J217" i="2"/>
  <c r="I217" i="2"/>
  <c r="H217" i="2"/>
  <c r="G217" i="2"/>
  <c r="F217" i="2"/>
  <c r="M216" i="2"/>
  <c r="L216" i="2"/>
  <c r="K216" i="2"/>
  <c r="J216" i="2"/>
  <c r="I216" i="2"/>
  <c r="H216" i="2"/>
  <c r="G216" i="2"/>
  <c r="F216" i="2"/>
  <c r="S215" i="2"/>
  <c r="F215" i="2" s="1"/>
  <c r="R215" i="2"/>
  <c r="Q215" i="2"/>
  <c r="P215" i="2"/>
  <c r="O215" i="2"/>
  <c r="N215" i="2"/>
  <c r="S214" i="2"/>
  <c r="F214" i="2" s="1"/>
  <c r="R214" i="2"/>
  <c r="Q214" i="2"/>
  <c r="P214" i="2"/>
  <c r="O214" i="2"/>
  <c r="N214" i="2"/>
  <c r="S213" i="2"/>
  <c r="F213" i="2" s="1"/>
  <c r="O213" i="2"/>
  <c r="N213" i="2"/>
  <c r="M212" i="2"/>
  <c r="L212" i="2"/>
  <c r="K212" i="2"/>
  <c r="J212" i="2"/>
  <c r="I212" i="2"/>
  <c r="H212" i="2"/>
  <c r="G212" i="2"/>
  <c r="F212" i="2"/>
  <c r="M211" i="2"/>
  <c r="L211" i="2"/>
  <c r="K211" i="2"/>
  <c r="J211" i="2"/>
  <c r="I211" i="2"/>
  <c r="H211" i="2"/>
  <c r="G211" i="2"/>
  <c r="F211" i="2"/>
  <c r="M210" i="2"/>
  <c r="L210" i="2"/>
  <c r="K210" i="2"/>
  <c r="J210" i="2"/>
  <c r="I210" i="2"/>
  <c r="H210" i="2"/>
  <c r="G210" i="2"/>
  <c r="F210" i="2"/>
  <c r="S209" i="2"/>
  <c r="F209" i="2" s="1"/>
  <c r="R209" i="2"/>
  <c r="Q209" i="2"/>
  <c r="P209" i="2"/>
  <c r="O209" i="2"/>
  <c r="N209" i="2"/>
  <c r="S208" i="2"/>
  <c r="F208" i="2" s="1"/>
  <c r="R208" i="2"/>
  <c r="Q208" i="2"/>
  <c r="P208" i="2"/>
  <c r="O208" i="2"/>
  <c r="N208" i="2"/>
  <c r="S207" i="2"/>
  <c r="F207" i="2" s="1"/>
  <c r="O207" i="2"/>
  <c r="N207" i="2"/>
  <c r="S206" i="2"/>
  <c r="F206" i="2" s="1"/>
  <c r="O206" i="2"/>
  <c r="N206" i="2"/>
  <c r="M206" i="2"/>
  <c r="M205" i="2"/>
  <c r="L205" i="2"/>
  <c r="K205" i="2"/>
  <c r="J205" i="2"/>
  <c r="I205" i="2"/>
  <c r="H205" i="2"/>
  <c r="G205" i="2"/>
  <c r="F205" i="2"/>
  <c r="S204" i="2"/>
  <c r="F204" i="2" s="1"/>
  <c r="L204" i="2"/>
  <c r="K204" i="2"/>
  <c r="J204" i="2"/>
  <c r="S203" i="2"/>
  <c r="F203" i="2" s="1"/>
  <c r="I203" i="2"/>
  <c r="H203" i="2"/>
  <c r="M202" i="2"/>
  <c r="L202" i="2"/>
  <c r="K202" i="2"/>
  <c r="J202" i="2"/>
  <c r="I202" i="2"/>
  <c r="H202" i="2"/>
  <c r="G202" i="2"/>
  <c r="F202" i="2"/>
  <c r="S201" i="2"/>
  <c r="F201" i="2" s="1"/>
  <c r="R201" i="2"/>
  <c r="Q201" i="2"/>
  <c r="P201" i="2"/>
  <c r="O201" i="2"/>
  <c r="N201" i="2"/>
  <c r="S200" i="2"/>
  <c r="F200" i="2" s="1"/>
  <c r="R200" i="2"/>
  <c r="Q200" i="2"/>
  <c r="P200" i="2"/>
  <c r="O200" i="2"/>
  <c r="N200" i="2"/>
  <c r="F199" i="2"/>
  <c r="S198" i="2"/>
  <c r="F198" i="2" s="1"/>
  <c r="R198" i="2"/>
  <c r="Q198" i="2"/>
  <c r="P198" i="2"/>
  <c r="O198" i="2"/>
  <c r="N198" i="2"/>
  <c r="M197" i="2"/>
  <c r="L197" i="2"/>
  <c r="K197" i="2"/>
  <c r="J197" i="2"/>
  <c r="I197" i="2"/>
  <c r="H197" i="2"/>
  <c r="G197" i="2"/>
  <c r="F197" i="2"/>
  <c r="M196" i="2"/>
  <c r="L196" i="2"/>
  <c r="K196" i="2"/>
  <c r="J196" i="2"/>
  <c r="I196" i="2"/>
  <c r="H196" i="2"/>
  <c r="G196" i="2"/>
  <c r="F196" i="2"/>
  <c r="M195" i="2"/>
  <c r="L195" i="2"/>
  <c r="K195" i="2"/>
  <c r="J195" i="2"/>
  <c r="I195" i="2"/>
  <c r="H195" i="2"/>
  <c r="G195" i="2"/>
  <c r="F195" i="2"/>
  <c r="M194" i="2"/>
  <c r="L194" i="2"/>
  <c r="K194" i="2"/>
  <c r="J194" i="2"/>
  <c r="I194" i="2"/>
  <c r="H194" i="2"/>
  <c r="G194" i="2"/>
  <c r="F194" i="2"/>
  <c r="S193" i="2"/>
  <c r="F193" i="2" s="1"/>
  <c r="R193" i="2"/>
  <c r="Q193" i="2"/>
  <c r="P193" i="2"/>
  <c r="O193" i="2"/>
  <c r="N193" i="2"/>
  <c r="S192" i="2"/>
  <c r="F192" i="2" s="1"/>
  <c r="R192" i="2"/>
  <c r="Q192" i="2"/>
  <c r="P192" i="2"/>
  <c r="O192" i="2"/>
  <c r="N192" i="2"/>
  <c r="S191" i="2"/>
  <c r="F191" i="2" s="1"/>
  <c r="R191" i="2"/>
  <c r="Q191" i="2"/>
  <c r="P191" i="2"/>
  <c r="O191" i="2"/>
  <c r="N191" i="2"/>
  <c r="M190" i="2"/>
  <c r="L190" i="2"/>
  <c r="K190" i="2"/>
  <c r="J190" i="2"/>
  <c r="I190" i="2"/>
  <c r="H190" i="2"/>
  <c r="G190" i="2"/>
  <c r="F190" i="2"/>
  <c r="S189" i="2"/>
  <c r="F189" i="2" s="1"/>
  <c r="O189" i="2"/>
  <c r="N189" i="2"/>
  <c r="M189" i="2"/>
  <c r="S188" i="2"/>
  <c r="F188" i="2" s="1"/>
  <c r="L188" i="2"/>
  <c r="K188" i="2"/>
  <c r="J188" i="2"/>
  <c r="S187" i="2"/>
  <c r="F187" i="2" s="1"/>
  <c r="I187" i="2"/>
  <c r="H187" i="2"/>
  <c r="S186" i="2"/>
  <c r="F186" i="2" s="1"/>
  <c r="O186" i="2"/>
  <c r="N186" i="2"/>
  <c r="M186" i="2"/>
  <c r="S185" i="2"/>
  <c r="F185" i="2" s="1"/>
  <c r="L185" i="2"/>
  <c r="K185" i="2"/>
  <c r="J185" i="2"/>
  <c r="S184" i="2"/>
  <c r="F184" i="2" s="1"/>
  <c r="I184" i="2"/>
  <c r="H184" i="2"/>
  <c r="M183" i="2"/>
  <c r="L183" i="2"/>
  <c r="K183" i="2"/>
  <c r="J183" i="2"/>
  <c r="I183" i="2"/>
  <c r="H183" i="2"/>
  <c r="G183" i="2"/>
  <c r="F183" i="2"/>
  <c r="M182" i="2"/>
  <c r="L182" i="2"/>
  <c r="K182" i="2"/>
  <c r="J182" i="2"/>
  <c r="I182" i="2"/>
  <c r="H182" i="2"/>
  <c r="G182" i="2"/>
  <c r="F182" i="2"/>
  <c r="S181" i="2"/>
  <c r="F181" i="2" s="1"/>
  <c r="R181" i="2"/>
  <c r="Q181" i="2"/>
  <c r="P181" i="2"/>
  <c r="O181" i="2"/>
  <c r="N181" i="2"/>
  <c r="F180" i="2"/>
  <c r="S179" i="2"/>
  <c r="F179" i="2" s="1"/>
  <c r="R179" i="2"/>
  <c r="Q179" i="2"/>
  <c r="P179" i="2"/>
  <c r="O179" i="2"/>
  <c r="N179" i="2"/>
  <c r="S178" i="2"/>
  <c r="F178" i="2" s="1"/>
  <c r="R178" i="2"/>
  <c r="Q178" i="2"/>
  <c r="P178" i="2"/>
  <c r="O178" i="2"/>
  <c r="N178" i="2"/>
  <c r="S177" i="2"/>
  <c r="F177" i="2" s="1"/>
  <c r="R177" i="2"/>
  <c r="Q177" i="2"/>
  <c r="P177" i="2"/>
  <c r="O177" i="2"/>
  <c r="N177" i="2"/>
  <c r="S176" i="2"/>
  <c r="F176" i="2" s="1"/>
  <c r="R176" i="2"/>
  <c r="Q176" i="2"/>
  <c r="P176" i="2"/>
  <c r="O176" i="2"/>
  <c r="N176" i="2"/>
  <c r="S175" i="2"/>
  <c r="F175" i="2" s="1"/>
  <c r="K175" i="2"/>
  <c r="J175" i="2"/>
  <c r="I175" i="2"/>
  <c r="H175" i="2"/>
  <c r="G175" i="2"/>
  <c r="S174" i="2"/>
  <c r="F174" i="2" s="1"/>
  <c r="M174" i="2"/>
  <c r="L174" i="2"/>
  <c r="K174" i="2"/>
  <c r="J174" i="2"/>
  <c r="I174" i="2"/>
  <c r="H174" i="2"/>
  <c r="M173" i="2"/>
  <c r="L173" i="2"/>
  <c r="K173" i="2"/>
  <c r="J173" i="2"/>
  <c r="I173" i="2"/>
  <c r="H173" i="2"/>
  <c r="G173" i="2"/>
  <c r="F173" i="2"/>
  <c r="M172" i="2"/>
  <c r="L172" i="2"/>
  <c r="K172" i="2"/>
  <c r="J172" i="2"/>
  <c r="I172" i="2"/>
  <c r="H172" i="2"/>
  <c r="G172" i="2"/>
  <c r="F172" i="2"/>
  <c r="M171" i="2"/>
  <c r="L171" i="2"/>
  <c r="K171" i="2"/>
  <c r="J171" i="2"/>
  <c r="I171" i="2"/>
  <c r="H171" i="2"/>
  <c r="G171" i="2"/>
  <c r="F171" i="2"/>
  <c r="M170" i="2"/>
  <c r="L170" i="2"/>
  <c r="K170" i="2"/>
  <c r="J170" i="2"/>
  <c r="I170" i="2"/>
  <c r="H170" i="2"/>
  <c r="G170" i="2"/>
  <c r="F170" i="2"/>
  <c r="M169" i="2"/>
  <c r="L169" i="2"/>
  <c r="K169" i="2"/>
  <c r="J169" i="2"/>
  <c r="I169" i="2"/>
  <c r="H169" i="2"/>
  <c r="G169" i="2"/>
  <c r="F169" i="2"/>
  <c r="S168" i="2"/>
  <c r="F168" i="2" s="1"/>
  <c r="R168" i="2"/>
  <c r="Q168" i="2"/>
  <c r="P168" i="2"/>
  <c r="O168" i="2"/>
  <c r="N168" i="2"/>
  <c r="S167" i="2"/>
  <c r="F167" i="2" s="1"/>
  <c r="R167" i="2"/>
  <c r="Q167" i="2"/>
  <c r="P167" i="2"/>
  <c r="O167" i="2"/>
  <c r="N167" i="2"/>
  <c r="S166" i="2"/>
  <c r="F166" i="2" s="1"/>
  <c r="R166" i="2"/>
  <c r="Q166" i="2"/>
  <c r="P166" i="2"/>
  <c r="O166" i="2"/>
  <c r="N166" i="2"/>
  <c r="F165" i="2"/>
  <c r="S164" i="2"/>
  <c r="F164" i="2" s="1"/>
  <c r="R164" i="2"/>
  <c r="Q164" i="2"/>
  <c r="P164" i="2"/>
  <c r="O164" i="2"/>
  <c r="N164" i="2"/>
  <c r="S163" i="2"/>
  <c r="E163" i="2"/>
  <c r="O163" i="2" s="1"/>
  <c r="E162" i="2"/>
  <c r="I162" i="2" s="1"/>
  <c r="M161" i="2"/>
  <c r="L161" i="2"/>
  <c r="K161" i="2"/>
  <c r="J161" i="2"/>
  <c r="I161" i="2"/>
  <c r="H161" i="2"/>
  <c r="G161" i="2"/>
  <c r="F161" i="2"/>
  <c r="M160" i="2"/>
  <c r="L160" i="2"/>
  <c r="K160" i="2"/>
  <c r="J160" i="2"/>
  <c r="I160" i="2"/>
  <c r="H160" i="2"/>
  <c r="G160" i="2"/>
  <c r="F160" i="2"/>
  <c r="M159" i="2"/>
  <c r="L159" i="2"/>
  <c r="K159" i="2"/>
  <c r="J159" i="2"/>
  <c r="I159" i="2"/>
  <c r="H159" i="2"/>
  <c r="G159" i="2"/>
  <c r="F159" i="2"/>
  <c r="G158" i="2"/>
  <c r="F158" i="2"/>
  <c r="M157" i="2"/>
  <c r="L157" i="2"/>
  <c r="K157" i="2"/>
  <c r="J157" i="2"/>
  <c r="I157" i="2"/>
  <c r="H157" i="2"/>
  <c r="G157" i="2"/>
  <c r="F157" i="2"/>
  <c r="S156" i="2"/>
  <c r="F156" i="2" s="1"/>
  <c r="R156" i="2"/>
  <c r="Q156" i="2"/>
  <c r="P156" i="2"/>
  <c r="O156" i="2"/>
  <c r="N156" i="2"/>
  <c r="F155" i="2"/>
  <c r="S154" i="2"/>
  <c r="F154" i="2" s="1"/>
  <c r="R154" i="2"/>
  <c r="Q154" i="2"/>
  <c r="P154" i="2"/>
  <c r="O154" i="2"/>
  <c r="S153" i="2"/>
  <c r="F153" i="2" s="1"/>
  <c r="R153" i="2"/>
  <c r="Q153" i="2"/>
  <c r="P153" i="2"/>
  <c r="O153" i="2"/>
  <c r="N153" i="2"/>
  <c r="S152" i="2"/>
  <c r="F152" i="2" s="1"/>
  <c r="R152" i="2"/>
  <c r="Q152" i="2"/>
  <c r="P152" i="2"/>
  <c r="O152" i="2"/>
  <c r="N152" i="2"/>
  <c r="F151" i="2"/>
  <c r="S150" i="2"/>
  <c r="F150" i="2" s="1"/>
  <c r="R150" i="2"/>
  <c r="Q150" i="2"/>
  <c r="P150" i="2"/>
  <c r="O150" i="2"/>
  <c r="N150" i="2"/>
  <c r="S149" i="2"/>
  <c r="F149" i="2" s="1"/>
  <c r="R149" i="2"/>
  <c r="Q149" i="2"/>
  <c r="P149" i="2"/>
  <c r="O149" i="2"/>
  <c r="N149" i="2"/>
  <c r="S148" i="2"/>
  <c r="F148" i="2" s="1"/>
  <c r="R148" i="2"/>
  <c r="Q148" i="2"/>
  <c r="P148" i="2"/>
  <c r="O148" i="2"/>
  <c r="N148" i="2"/>
  <c r="S147" i="2"/>
  <c r="F147" i="2" s="1"/>
  <c r="R147" i="2"/>
  <c r="Q147" i="2"/>
  <c r="P147" i="2"/>
  <c r="O147" i="2"/>
  <c r="N147" i="2"/>
  <c r="S146" i="2"/>
  <c r="F146" i="2" s="1"/>
  <c r="O146" i="2"/>
  <c r="N146" i="2"/>
  <c r="S145" i="2"/>
  <c r="F145" i="2" s="1"/>
  <c r="R145" i="2"/>
  <c r="Q145" i="2"/>
  <c r="P145" i="2"/>
  <c r="O145" i="2"/>
  <c r="N145" i="2"/>
  <c r="S144" i="2"/>
  <c r="F144" i="2" s="1"/>
  <c r="R144" i="2"/>
  <c r="Q144" i="2"/>
  <c r="P144" i="2"/>
  <c r="O144" i="2"/>
  <c r="N144" i="2"/>
  <c r="S143" i="2"/>
  <c r="F143" i="2" s="1"/>
  <c r="R143" i="2"/>
  <c r="Q143" i="2"/>
  <c r="P143" i="2"/>
  <c r="O143" i="2"/>
  <c r="N143" i="2"/>
  <c r="S142" i="2"/>
  <c r="F142" i="2" s="1"/>
  <c r="R142" i="2"/>
  <c r="Q142" i="2"/>
  <c r="P142" i="2"/>
  <c r="O142" i="2"/>
  <c r="N142" i="2"/>
  <c r="F141" i="2"/>
  <c r="S140" i="2"/>
  <c r="F140" i="2" s="1"/>
  <c r="R140" i="2"/>
  <c r="Q140" i="2"/>
  <c r="P140" i="2"/>
  <c r="O140" i="2"/>
  <c r="N140" i="2"/>
  <c r="S139" i="2"/>
  <c r="F139" i="2" s="1"/>
  <c r="R139" i="2"/>
  <c r="Q139" i="2"/>
  <c r="P139" i="2"/>
  <c r="O139" i="2"/>
  <c r="N139" i="2"/>
  <c r="F138" i="2"/>
  <c r="S137" i="2"/>
  <c r="F137" i="2" s="1"/>
  <c r="R137" i="2"/>
  <c r="Q137" i="2"/>
  <c r="P137" i="2"/>
  <c r="O137" i="2"/>
  <c r="N137" i="2"/>
  <c r="S136" i="2"/>
  <c r="F136" i="2" s="1"/>
  <c r="R136" i="2"/>
  <c r="Q136" i="2"/>
  <c r="P136" i="2"/>
  <c r="O136" i="2"/>
  <c r="N136" i="2"/>
  <c r="F135" i="2"/>
  <c r="S134" i="2"/>
  <c r="F134" i="2" s="1"/>
  <c r="R134" i="2"/>
  <c r="Q134" i="2"/>
  <c r="P134" i="2"/>
  <c r="O134" i="2"/>
  <c r="N134" i="2"/>
  <c r="S133" i="2"/>
  <c r="F133" i="2" s="1"/>
  <c r="O133" i="2"/>
  <c r="N133" i="2"/>
  <c r="M133" i="2"/>
  <c r="S132" i="2"/>
  <c r="F132" i="2" s="1"/>
  <c r="O132" i="2"/>
  <c r="N132" i="2"/>
  <c r="M132" i="2"/>
  <c r="S131" i="2"/>
  <c r="F131" i="2" s="1"/>
  <c r="L131" i="2"/>
  <c r="K131" i="2"/>
  <c r="J131" i="2"/>
  <c r="I131" i="2"/>
  <c r="H131" i="2"/>
  <c r="G131" i="2"/>
  <c r="S130" i="2"/>
  <c r="F130" i="2" s="1"/>
  <c r="K130" i="2"/>
  <c r="J130" i="2"/>
  <c r="I130" i="2"/>
  <c r="H130" i="2"/>
  <c r="G130" i="2"/>
  <c r="S129" i="2"/>
  <c r="F129" i="2" s="1"/>
  <c r="L129" i="2"/>
  <c r="K129" i="2"/>
  <c r="J129" i="2"/>
  <c r="I129" i="2"/>
  <c r="H129" i="2"/>
  <c r="G129" i="2"/>
  <c r="M128" i="2"/>
  <c r="L128" i="2"/>
  <c r="K128" i="2"/>
  <c r="J128" i="2"/>
  <c r="I128" i="2"/>
  <c r="H128" i="2"/>
  <c r="G128" i="2"/>
  <c r="F128" i="2"/>
  <c r="S127" i="2"/>
  <c r="F127" i="2" s="1"/>
  <c r="J127" i="2"/>
  <c r="I127" i="2"/>
  <c r="H127" i="2"/>
  <c r="G127" i="2"/>
  <c r="S126" i="2"/>
  <c r="F126" i="2" s="1"/>
  <c r="L126" i="2"/>
  <c r="K126" i="2"/>
  <c r="S125" i="2"/>
  <c r="F125" i="2" s="1"/>
  <c r="L125" i="2"/>
  <c r="K125" i="2"/>
  <c r="J125" i="2"/>
  <c r="S124" i="2"/>
  <c r="F124" i="2" s="1"/>
  <c r="I124" i="2"/>
  <c r="H124" i="2"/>
  <c r="S123" i="2"/>
  <c r="F123" i="2" s="1"/>
  <c r="M123" i="2"/>
  <c r="L123" i="2"/>
  <c r="K123" i="2"/>
  <c r="J123" i="2"/>
  <c r="I123" i="2"/>
  <c r="H123" i="2"/>
  <c r="G123" i="2"/>
  <c r="M122" i="2"/>
  <c r="L122" i="2"/>
  <c r="K122" i="2"/>
  <c r="J122" i="2"/>
  <c r="I122" i="2"/>
  <c r="H122" i="2"/>
  <c r="G122" i="2"/>
  <c r="F122" i="2"/>
  <c r="M121" i="2"/>
  <c r="L121" i="2"/>
  <c r="K121" i="2"/>
  <c r="J121" i="2"/>
  <c r="I121" i="2"/>
  <c r="H121" i="2"/>
  <c r="G121" i="2"/>
  <c r="F121" i="2"/>
  <c r="S120" i="2"/>
  <c r="F120" i="2" s="1"/>
  <c r="L120" i="2"/>
  <c r="K120" i="2"/>
  <c r="J120" i="2"/>
  <c r="I120" i="2"/>
  <c r="H120" i="2"/>
  <c r="G120" i="2"/>
  <c r="M119" i="2"/>
  <c r="L119" i="2"/>
  <c r="K119" i="2"/>
  <c r="J119" i="2"/>
  <c r="I119" i="2"/>
  <c r="H119" i="2"/>
  <c r="G119" i="2"/>
  <c r="F119" i="2"/>
  <c r="M118" i="2"/>
  <c r="L118" i="2"/>
  <c r="K118" i="2"/>
  <c r="J118" i="2"/>
  <c r="I118" i="2"/>
  <c r="H118" i="2"/>
  <c r="G118" i="2"/>
  <c r="F118" i="2"/>
  <c r="M117" i="2"/>
  <c r="L117" i="2"/>
  <c r="K117" i="2"/>
  <c r="J117" i="2"/>
  <c r="I117" i="2"/>
  <c r="H117" i="2"/>
  <c r="G117" i="2"/>
  <c r="F117" i="2"/>
  <c r="M116" i="2"/>
  <c r="L116" i="2"/>
  <c r="K116" i="2"/>
  <c r="J116" i="2"/>
  <c r="I116" i="2"/>
  <c r="H116" i="2"/>
  <c r="G116" i="2"/>
  <c r="F116" i="2"/>
  <c r="S115" i="2"/>
  <c r="F115" i="2" s="1"/>
  <c r="O115" i="2"/>
  <c r="N115" i="2"/>
  <c r="M115" i="2"/>
  <c r="S114" i="2"/>
  <c r="F114" i="2" s="1"/>
  <c r="O114" i="2"/>
  <c r="N114" i="2"/>
  <c r="M114" i="2"/>
  <c r="S113" i="2"/>
  <c r="F113" i="2" s="1"/>
  <c r="O113" i="2"/>
  <c r="N113" i="2"/>
  <c r="M113" i="2"/>
  <c r="S112" i="2"/>
  <c r="F112" i="2" s="1"/>
  <c r="R112" i="2"/>
  <c r="Q112" i="2"/>
  <c r="P112" i="2"/>
  <c r="O112" i="2"/>
  <c r="N112" i="2"/>
  <c r="S111" i="2"/>
  <c r="F111" i="2" s="1"/>
  <c r="R111" i="2"/>
  <c r="Q111" i="2"/>
  <c r="P111" i="2"/>
  <c r="O111" i="2"/>
  <c r="N111" i="2"/>
  <c r="S110" i="2"/>
  <c r="F110" i="2" s="1"/>
  <c r="R110" i="2"/>
  <c r="Q110" i="2"/>
  <c r="P110" i="2"/>
  <c r="O110" i="2"/>
  <c r="N110" i="2"/>
  <c r="F109" i="2"/>
  <c r="S108" i="2"/>
  <c r="F108" i="2" s="1"/>
  <c r="R108" i="2"/>
  <c r="Q108" i="2"/>
  <c r="P108" i="2"/>
  <c r="O108" i="2"/>
  <c r="N108" i="2"/>
  <c r="S107" i="2"/>
  <c r="F107" i="2" s="1"/>
  <c r="R107" i="2"/>
  <c r="Q107" i="2"/>
  <c r="P107" i="2"/>
  <c r="O107" i="2"/>
  <c r="N107" i="2"/>
  <c r="S106" i="2"/>
  <c r="F106" i="2" s="1"/>
  <c r="R106" i="2"/>
  <c r="Q106" i="2"/>
  <c r="P106" i="2"/>
  <c r="O106" i="2"/>
  <c r="N106" i="2"/>
  <c r="S105" i="2"/>
  <c r="F105" i="2" s="1"/>
  <c r="R105" i="2"/>
  <c r="Q105" i="2"/>
  <c r="P105" i="2"/>
  <c r="O105" i="2"/>
  <c r="N105" i="2"/>
  <c r="S104" i="2"/>
  <c r="F104" i="2" s="1"/>
  <c r="R104" i="2"/>
  <c r="Q104" i="2"/>
  <c r="P104" i="2"/>
  <c r="O104" i="2"/>
  <c r="N104" i="2"/>
  <c r="S103" i="2"/>
  <c r="F103" i="2" s="1"/>
  <c r="R103" i="2"/>
  <c r="Q103" i="2"/>
  <c r="P103" i="2"/>
  <c r="O103" i="2"/>
  <c r="N103" i="2"/>
  <c r="S102" i="2"/>
  <c r="F102" i="2" s="1"/>
  <c r="R102" i="2"/>
  <c r="Q102" i="2"/>
  <c r="P102" i="2"/>
  <c r="O102" i="2"/>
  <c r="S101" i="2"/>
  <c r="F101" i="2" s="1"/>
  <c r="R101" i="2"/>
  <c r="Q101" i="2"/>
  <c r="P101" i="2"/>
  <c r="O101" i="2"/>
  <c r="N101" i="2"/>
  <c r="S100" i="2"/>
  <c r="F100" i="2" s="1"/>
  <c r="R100" i="2"/>
  <c r="Q100" i="2"/>
  <c r="P100" i="2"/>
  <c r="O100" i="2"/>
  <c r="N100" i="2"/>
  <c r="F99" i="2"/>
  <c r="S98" i="2"/>
  <c r="F98" i="2" s="1"/>
  <c r="R98" i="2"/>
  <c r="Q98" i="2"/>
  <c r="P98" i="2"/>
  <c r="O98" i="2"/>
  <c r="N98" i="2"/>
  <c r="M97" i="2"/>
  <c r="L97" i="2"/>
  <c r="K97" i="2"/>
  <c r="J97" i="2"/>
  <c r="I97" i="2"/>
  <c r="H97" i="2"/>
  <c r="G97" i="2"/>
  <c r="F97" i="2"/>
  <c r="S96" i="2"/>
  <c r="F96" i="2" s="1"/>
  <c r="L96" i="2"/>
  <c r="K96" i="2"/>
  <c r="S95" i="2"/>
  <c r="F95" i="2" s="1"/>
  <c r="L95" i="2"/>
  <c r="K95" i="2"/>
  <c r="M94" i="2"/>
  <c r="L94" i="2"/>
  <c r="K94" i="2"/>
  <c r="J94" i="2"/>
  <c r="I94" i="2"/>
  <c r="H94" i="2"/>
  <c r="G94" i="2"/>
  <c r="F94" i="2"/>
  <c r="M93" i="2"/>
  <c r="L93" i="2"/>
  <c r="K93" i="2"/>
  <c r="J93" i="2"/>
  <c r="I93" i="2"/>
  <c r="H93" i="2"/>
  <c r="G93" i="2"/>
  <c r="F93" i="2"/>
  <c r="S92" i="2"/>
  <c r="F92" i="2" s="1"/>
  <c r="I92" i="2"/>
  <c r="H92" i="2"/>
  <c r="G92" i="2"/>
  <c r="S91" i="2"/>
  <c r="F91" i="2" s="1"/>
  <c r="K91" i="2"/>
  <c r="J91" i="2"/>
  <c r="I91" i="2"/>
  <c r="H91" i="2"/>
  <c r="G91" i="2"/>
  <c r="S90" i="2"/>
  <c r="F90" i="2" s="1"/>
  <c r="M90" i="2"/>
  <c r="L90" i="2"/>
  <c r="K90" i="2"/>
  <c r="J90" i="2"/>
  <c r="G90" i="2"/>
  <c r="S89" i="2"/>
  <c r="F89" i="2" s="1"/>
  <c r="L89" i="2"/>
  <c r="K89" i="2"/>
  <c r="M88" i="2"/>
  <c r="L88" i="2"/>
  <c r="K88" i="2"/>
  <c r="J88" i="2"/>
  <c r="I88" i="2"/>
  <c r="H88" i="2"/>
  <c r="G88" i="2"/>
  <c r="F88" i="2"/>
  <c r="F87" i="2"/>
  <c r="M86" i="2"/>
  <c r="L86" i="2"/>
  <c r="K86" i="2"/>
  <c r="J86" i="2"/>
  <c r="I86" i="2"/>
  <c r="H86" i="2"/>
  <c r="G86" i="2"/>
  <c r="F86" i="2"/>
  <c r="S85" i="2"/>
  <c r="F85" i="2" s="1"/>
  <c r="M85" i="2"/>
  <c r="I85" i="2"/>
  <c r="H85" i="2"/>
  <c r="G85" i="2"/>
  <c r="M84" i="2"/>
  <c r="L84" i="2"/>
  <c r="K84" i="2"/>
  <c r="J84" i="2"/>
  <c r="I84" i="2"/>
  <c r="H84" i="2"/>
  <c r="G84" i="2"/>
  <c r="F84" i="2"/>
  <c r="M83" i="2"/>
  <c r="L83" i="2"/>
  <c r="K83" i="2"/>
  <c r="J83" i="2"/>
  <c r="I83" i="2"/>
  <c r="H83" i="2"/>
  <c r="G83" i="2"/>
  <c r="F83" i="2"/>
  <c r="M82" i="2"/>
  <c r="L82" i="2"/>
  <c r="K82" i="2"/>
  <c r="J82" i="2"/>
  <c r="I82" i="2"/>
  <c r="H82" i="2"/>
  <c r="G82" i="2"/>
  <c r="F82" i="2"/>
  <c r="M81" i="2"/>
  <c r="L81" i="2"/>
  <c r="K81" i="2"/>
  <c r="J81" i="2"/>
  <c r="I81" i="2"/>
  <c r="H81" i="2"/>
  <c r="G81" i="2"/>
  <c r="F81" i="2"/>
  <c r="M80" i="2"/>
  <c r="L80" i="2"/>
  <c r="K80" i="2"/>
  <c r="J80" i="2"/>
  <c r="I80" i="2"/>
  <c r="H80" i="2"/>
  <c r="G80" i="2"/>
  <c r="F80" i="2"/>
  <c r="M79" i="2"/>
  <c r="L79" i="2"/>
  <c r="K79" i="2"/>
  <c r="J79" i="2"/>
  <c r="I79" i="2"/>
  <c r="H79" i="2"/>
  <c r="G79" i="2"/>
  <c r="F79" i="2"/>
  <c r="M78" i="2"/>
  <c r="L78" i="2"/>
  <c r="K78" i="2"/>
  <c r="J78" i="2"/>
  <c r="I78" i="2"/>
  <c r="H78" i="2"/>
  <c r="G78" i="2"/>
  <c r="F78" i="2"/>
  <c r="E75" i="2"/>
  <c r="E73" i="2" s="1"/>
  <c r="S70" i="2"/>
  <c r="F70" i="2" s="1"/>
  <c r="R70" i="2"/>
  <c r="Q70" i="2"/>
  <c r="P70" i="2"/>
  <c r="O70" i="2"/>
  <c r="N70" i="2"/>
  <c r="S69" i="2"/>
  <c r="F69" i="2" s="1"/>
  <c r="R69" i="2"/>
  <c r="Q69" i="2"/>
  <c r="P69" i="2"/>
  <c r="O69" i="2"/>
  <c r="N69" i="2"/>
  <c r="M68" i="2"/>
  <c r="L68" i="2"/>
  <c r="K68" i="2"/>
  <c r="J68" i="2"/>
  <c r="I68" i="2"/>
  <c r="H68" i="2"/>
  <c r="G68" i="2"/>
  <c r="F68" i="2"/>
  <c r="S66" i="2"/>
  <c r="F66" i="2" s="1"/>
  <c r="O66" i="2"/>
  <c r="N66" i="2"/>
  <c r="M66" i="2"/>
  <c r="S65" i="2"/>
  <c r="F65" i="2" s="1"/>
  <c r="R65" i="2"/>
  <c r="Q65" i="2"/>
  <c r="P65" i="2"/>
  <c r="O65" i="2"/>
  <c r="N65" i="2"/>
  <c r="S64" i="2"/>
  <c r="F64" i="2" s="1"/>
  <c r="R64" i="2"/>
  <c r="Q64" i="2"/>
  <c r="P64" i="2"/>
  <c r="O64" i="2"/>
  <c r="N64" i="2"/>
  <c r="S63" i="2"/>
  <c r="F63" i="2" s="1"/>
  <c r="L63" i="2"/>
  <c r="K63" i="2"/>
  <c r="J63" i="2"/>
  <c r="S62" i="2"/>
  <c r="F62" i="2" s="1"/>
  <c r="I62" i="2"/>
  <c r="H62" i="2"/>
  <c r="M61" i="2"/>
  <c r="L61" i="2"/>
  <c r="K61" i="2"/>
  <c r="J61" i="2"/>
  <c r="I61" i="2"/>
  <c r="H61" i="2"/>
  <c r="G61" i="2"/>
  <c r="F61" i="2"/>
  <c r="M60" i="2"/>
  <c r="L60" i="2"/>
  <c r="K60" i="2"/>
  <c r="J60" i="2"/>
  <c r="I60" i="2"/>
  <c r="H60" i="2"/>
  <c r="G60" i="2"/>
  <c r="F60" i="2"/>
  <c r="E57" i="2"/>
  <c r="E55" i="2" s="1"/>
  <c r="S52" i="2"/>
  <c r="F52" i="2" s="1"/>
  <c r="N52" i="2"/>
  <c r="M52" i="2"/>
  <c r="S51" i="2"/>
  <c r="F51" i="2" s="1"/>
  <c r="O51" i="2"/>
  <c r="N51" i="2"/>
  <c r="S50" i="2"/>
  <c r="F50" i="2" s="1"/>
  <c r="O50" i="2"/>
  <c r="N50" i="2"/>
  <c r="M50" i="2"/>
  <c r="S49" i="2"/>
  <c r="F49" i="2" s="1"/>
  <c r="R49" i="2"/>
  <c r="Q49" i="2"/>
  <c r="P49" i="2"/>
  <c r="O49" i="2"/>
  <c r="N49" i="2"/>
  <c r="S48" i="2"/>
  <c r="F48" i="2" s="1"/>
  <c r="R48" i="2"/>
  <c r="Q48" i="2"/>
  <c r="P48" i="2"/>
  <c r="O48" i="2"/>
  <c r="N48" i="2"/>
  <c r="S47" i="2"/>
  <c r="F47" i="2" s="1"/>
  <c r="R47" i="2"/>
  <c r="Q47" i="2"/>
  <c r="P47" i="2"/>
  <c r="O47" i="2"/>
  <c r="N47" i="2"/>
  <c r="F46" i="2"/>
  <c r="S45" i="2"/>
  <c r="F45" i="2" s="1"/>
  <c r="R45" i="2"/>
  <c r="Q45" i="2"/>
  <c r="P45" i="2"/>
  <c r="O45" i="2"/>
  <c r="N45" i="2"/>
  <c r="S44" i="2"/>
  <c r="F44" i="2" s="1"/>
  <c r="R44" i="2"/>
  <c r="Q44" i="2"/>
  <c r="P44" i="2"/>
  <c r="O44" i="2"/>
  <c r="N44" i="2"/>
  <c r="S43" i="2"/>
  <c r="F43" i="2" s="1"/>
  <c r="R43" i="2"/>
  <c r="Q43" i="2"/>
  <c r="P43" i="2"/>
  <c r="O43" i="2"/>
  <c r="N43" i="2"/>
  <c r="F42" i="2"/>
  <c r="S41" i="2"/>
  <c r="F41" i="2" s="1"/>
  <c r="R41" i="2"/>
  <c r="Q41" i="2"/>
  <c r="P41" i="2"/>
  <c r="O41" i="2"/>
  <c r="N41" i="2"/>
  <c r="S40" i="2"/>
  <c r="F40" i="2" s="1"/>
  <c r="R40" i="2"/>
  <c r="Q40" i="2"/>
  <c r="P40" i="2"/>
  <c r="O40" i="2"/>
  <c r="N40" i="2"/>
  <c r="S39" i="2"/>
  <c r="F39" i="2" s="1"/>
  <c r="R39" i="2"/>
  <c r="Q39" i="2"/>
  <c r="P39" i="2"/>
  <c r="O39" i="2"/>
  <c r="N39" i="2"/>
  <c r="S38" i="2"/>
  <c r="F38" i="2" s="1"/>
  <c r="M38" i="2"/>
  <c r="L38" i="2"/>
  <c r="K38" i="2"/>
  <c r="J38" i="2"/>
  <c r="S37" i="2"/>
  <c r="F37" i="2" s="1"/>
  <c r="L37" i="2"/>
  <c r="K37" i="2"/>
  <c r="M36" i="2"/>
  <c r="L36" i="2"/>
  <c r="K36" i="2"/>
  <c r="J36" i="2"/>
  <c r="I36" i="2"/>
  <c r="H36" i="2"/>
  <c r="G36" i="2"/>
  <c r="F36" i="2"/>
  <c r="M35" i="2"/>
  <c r="L35" i="2"/>
  <c r="K35" i="2"/>
  <c r="J35" i="2"/>
  <c r="I35" i="2"/>
  <c r="H35" i="2"/>
  <c r="G35" i="2"/>
  <c r="F35" i="2"/>
  <c r="M34" i="2"/>
  <c r="L34" i="2"/>
  <c r="K34" i="2"/>
  <c r="J34" i="2"/>
  <c r="I34" i="2"/>
  <c r="H34" i="2"/>
  <c r="G34" i="2"/>
  <c r="F34" i="2"/>
  <c r="M33" i="2"/>
  <c r="L33" i="2"/>
  <c r="K33" i="2"/>
  <c r="J33" i="2"/>
  <c r="I33" i="2"/>
  <c r="H33" i="2"/>
  <c r="G33" i="2"/>
  <c r="F33" i="2"/>
  <c r="M32" i="2"/>
  <c r="L32" i="2"/>
  <c r="K32" i="2"/>
  <c r="J32" i="2"/>
  <c r="I32" i="2"/>
  <c r="H32" i="2"/>
  <c r="G32" i="2"/>
  <c r="F32" i="2"/>
  <c r="M31" i="2"/>
  <c r="L31" i="2"/>
  <c r="K31" i="2"/>
  <c r="J31" i="2"/>
  <c r="I31" i="2"/>
  <c r="H31" i="2"/>
  <c r="G31" i="2"/>
  <c r="F31" i="2"/>
  <c r="M30" i="2"/>
  <c r="L30" i="2"/>
  <c r="K30" i="2"/>
  <c r="J30" i="2"/>
  <c r="I30" i="2"/>
  <c r="H30" i="2"/>
  <c r="G30" i="2"/>
  <c r="F30" i="2"/>
  <c r="M29" i="2"/>
  <c r="L29" i="2"/>
  <c r="K29" i="2"/>
  <c r="J29" i="2"/>
  <c r="I29" i="2"/>
  <c r="H29" i="2"/>
  <c r="G29" i="2"/>
  <c r="F29" i="2"/>
  <c r="S28" i="2"/>
  <c r="F28" i="2" s="1"/>
  <c r="M28" i="2"/>
  <c r="L28" i="2"/>
  <c r="K28" i="2"/>
  <c r="J28" i="2"/>
  <c r="I28" i="2"/>
  <c r="F27" i="2"/>
  <c r="S26" i="2"/>
  <c r="F26" i="2" s="1"/>
  <c r="L26" i="2"/>
  <c r="K26" i="2"/>
  <c r="J26" i="2"/>
  <c r="I26" i="2"/>
  <c r="H26" i="2"/>
  <c r="G26" i="2"/>
  <c r="M25" i="2"/>
  <c r="L25" i="2"/>
  <c r="K25" i="2"/>
  <c r="J25" i="2"/>
  <c r="I25" i="2"/>
  <c r="H25" i="2"/>
  <c r="G25" i="2"/>
  <c r="F25" i="2"/>
  <c r="E22" i="2"/>
  <c r="B59" i="3" l="1"/>
  <c r="B60" i="3" s="1"/>
  <c r="B61" i="3" s="1"/>
  <c r="B62" i="3" s="1"/>
  <c r="B63" i="3" s="1"/>
  <c r="B64" i="3" s="1"/>
  <c r="E535" i="2"/>
  <c r="H537" i="2"/>
  <c r="I323" i="2"/>
  <c r="G22" i="2"/>
  <c r="L57" i="2"/>
  <c r="L55" i="2" s="1"/>
  <c r="P57" i="2"/>
  <c r="P55" i="2" s="1"/>
  <c r="J537" i="2"/>
  <c r="I537" i="2"/>
  <c r="K57" i="2"/>
  <c r="K55" i="2" s="1"/>
  <c r="G323" i="2"/>
  <c r="K428" i="2"/>
  <c r="Q476" i="2"/>
  <c r="Q474" i="2" s="1"/>
  <c r="O535" i="2"/>
  <c r="J323" i="2"/>
  <c r="G57" i="2"/>
  <c r="G55" i="2" s="1"/>
  <c r="H57" i="2"/>
  <c r="H55" i="2" s="1"/>
  <c r="Q57" i="2"/>
  <c r="Q55" i="2" s="1"/>
  <c r="M476" i="2"/>
  <c r="M474" i="2" s="1"/>
  <c r="J57" i="2"/>
  <c r="J55" i="2" s="1"/>
  <c r="N476" i="2"/>
  <c r="N474" i="2" s="1"/>
  <c r="P476" i="2"/>
  <c r="P474" i="2" s="1"/>
  <c r="M550" i="2"/>
  <c r="M57" i="2"/>
  <c r="M55" i="2" s="1"/>
  <c r="G550" i="2"/>
  <c r="F162" i="2"/>
  <c r="E495" i="2"/>
  <c r="G162" i="2"/>
  <c r="Q509" i="2"/>
  <c r="M509" i="2"/>
  <c r="M495" i="2" s="1"/>
  <c r="K225" i="2"/>
  <c r="E223" i="2"/>
  <c r="E20" i="2" s="1"/>
  <c r="L357" i="2"/>
  <c r="F477" i="2"/>
  <c r="J22" i="2"/>
  <c r="Q75" i="2"/>
  <c r="Q73" i="2" s="1"/>
  <c r="F221" i="2"/>
  <c r="R221" i="2" s="1"/>
  <c r="M323" i="2"/>
  <c r="G495" i="2"/>
  <c r="N323" i="2"/>
  <c r="J428" i="2"/>
  <c r="F494" i="2"/>
  <c r="R494" i="2" s="1"/>
  <c r="R476" i="2" s="1"/>
  <c r="R474" i="2" s="1"/>
  <c r="P509" i="2"/>
  <c r="I428" i="2"/>
  <c r="M428" i="2"/>
  <c r="K537" i="2"/>
  <c r="K75" i="2"/>
  <c r="K73" i="2" s="1"/>
  <c r="P163" i="2"/>
  <c r="H225" i="2"/>
  <c r="G225" i="2"/>
  <c r="H357" i="2"/>
  <c r="N357" i="2"/>
  <c r="N428" i="2"/>
  <c r="H495" i="2"/>
  <c r="K550" i="2"/>
  <c r="G75" i="2"/>
  <c r="G73" i="2" s="1"/>
  <c r="F321" i="2"/>
  <c r="R321" i="2" s="1"/>
  <c r="L509" i="2"/>
  <c r="L495" i="2" s="1"/>
  <c r="P535" i="2"/>
  <c r="Q535" i="2"/>
  <c r="J225" i="2"/>
  <c r="N225" i="2"/>
  <c r="F352" i="2"/>
  <c r="S352" i="2" s="1"/>
  <c r="F353" i="2"/>
  <c r="I495" i="2"/>
  <c r="N535" i="2"/>
  <c r="F548" i="2"/>
  <c r="R548" i="2" s="1"/>
  <c r="R537" i="2" s="1"/>
  <c r="O22" i="2"/>
  <c r="Q22" i="2"/>
  <c r="N57" i="2"/>
  <c r="N55" i="2" s="1"/>
  <c r="J162" i="2"/>
  <c r="M225" i="2"/>
  <c r="G428" i="2"/>
  <c r="J495" i="2"/>
  <c r="N509" i="2"/>
  <c r="L537" i="2"/>
  <c r="K162" i="2"/>
  <c r="H323" i="2"/>
  <c r="M357" i="2"/>
  <c r="G357" i="2"/>
  <c r="F358" i="2"/>
  <c r="M537" i="2"/>
  <c r="L22" i="2"/>
  <c r="I75" i="2"/>
  <c r="I73" i="2" s="1"/>
  <c r="N75" i="2"/>
  <c r="N73" i="2" s="1"/>
  <c r="O476" i="2"/>
  <c r="O474" i="2" s="1"/>
  <c r="F498" i="2"/>
  <c r="O57" i="2"/>
  <c r="O55" i="2" s="1"/>
  <c r="I22" i="2"/>
  <c r="N22" i="2"/>
  <c r="K509" i="2"/>
  <c r="K495" i="2" s="1"/>
  <c r="G537" i="2"/>
  <c r="L225" i="2"/>
  <c r="H22" i="2"/>
  <c r="R75" i="2"/>
  <c r="R73" i="2" s="1"/>
  <c r="I225" i="2"/>
  <c r="P225" i="2"/>
  <c r="Q225" i="2"/>
  <c r="P357" i="2"/>
  <c r="Q357" i="2"/>
  <c r="O509" i="2"/>
  <c r="M22" i="2"/>
  <c r="J75" i="2"/>
  <c r="J73" i="2" s="1"/>
  <c r="M75" i="2"/>
  <c r="M73" i="2" s="1"/>
  <c r="O75" i="2"/>
  <c r="O73" i="2" s="1"/>
  <c r="P75" i="2"/>
  <c r="P73" i="2" s="1"/>
  <c r="O225" i="2"/>
  <c r="L323" i="2"/>
  <c r="I357" i="2"/>
  <c r="L428" i="2"/>
  <c r="L476" i="2"/>
  <c r="L474" i="2" s="1"/>
  <c r="J550" i="2"/>
  <c r="P22" i="2"/>
  <c r="K323" i="2"/>
  <c r="O323" i="2"/>
  <c r="H428" i="2"/>
  <c r="O497" i="2"/>
  <c r="P497" i="2"/>
  <c r="F510" i="2"/>
  <c r="K22" i="2"/>
  <c r="L75" i="2"/>
  <c r="L73" i="2" s="1"/>
  <c r="R225" i="2"/>
  <c r="P323" i="2"/>
  <c r="Q323" i="2"/>
  <c r="Q428" i="2"/>
  <c r="J476" i="2"/>
  <c r="J474" i="2" s="1"/>
  <c r="F507" i="2"/>
  <c r="R507" i="2" s="1"/>
  <c r="R497" i="2" s="1"/>
  <c r="N497" i="2"/>
  <c r="R57" i="2"/>
  <c r="R55" i="2" s="1"/>
  <c r="F226" i="2"/>
  <c r="F324" i="2"/>
  <c r="K357" i="2"/>
  <c r="K476" i="2"/>
  <c r="K474" i="2" s="1"/>
  <c r="F53" i="2"/>
  <c r="F22" i="2" s="1"/>
  <c r="F23" i="2"/>
  <c r="J357" i="2"/>
  <c r="O357" i="2"/>
  <c r="Q497" i="2"/>
  <c r="F538" i="2"/>
  <c r="L550" i="2"/>
  <c r="H550" i="2"/>
  <c r="F551" i="2"/>
  <c r="F58" i="2"/>
  <c r="F75" i="2"/>
  <c r="H75" i="2"/>
  <c r="H73" i="2" s="1"/>
  <c r="O428" i="2"/>
  <c r="P428" i="2"/>
  <c r="I550" i="2"/>
  <c r="I57" i="2"/>
  <c r="I55" i="2" s="1"/>
  <c r="F429" i="2"/>
  <c r="F574" i="2"/>
  <c r="R574" i="2" s="1"/>
  <c r="R550" i="2" s="1"/>
  <c r="Q163" i="2"/>
  <c r="F426" i="2"/>
  <c r="R426" i="2" s="1"/>
  <c r="R357" i="2" s="1"/>
  <c r="F473" i="2"/>
  <c r="R473" i="2" s="1"/>
  <c r="R428" i="2" s="1"/>
  <c r="F71" i="2"/>
  <c r="R71" i="2" s="1"/>
  <c r="L162" i="2"/>
  <c r="R163" i="2"/>
  <c r="F534" i="2"/>
  <c r="R534" i="2" s="1"/>
  <c r="R509" i="2" s="1"/>
  <c r="F76" i="2"/>
  <c r="F74" i="2" s="1"/>
  <c r="M162" i="2"/>
  <c r="F163" i="2"/>
  <c r="F350" i="2"/>
  <c r="H162" i="2"/>
  <c r="N163" i="2"/>
  <c r="B65" i="3" l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M535" i="2"/>
  <c r="H535" i="2"/>
  <c r="H223" i="2"/>
  <c r="H20" i="2" s="1"/>
  <c r="E15" i="2"/>
  <c r="R535" i="2"/>
  <c r="I535" i="2"/>
  <c r="L535" i="2"/>
  <c r="G535" i="2"/>
  <c r="K223" i="2"/>
  <c r="K20" i="2" s="1"/>
  <c r="J535" i="2"/>
  <c r="Q495" i="2"/>
  <c r="Q223" i="2"/>
  <c r="Q20" i="2" s="1"/>
  <c r="F476" i="2"/>
  <c r="S476" i="2" s="1"/>
  <c r="N223" i="2"/>
  <c r="N20" i="2" s="1"/>
  <c r="P223" i="2"/>
  <c r="P20" i="2" s="1"/>
  <c r="M223" i="2"/>
  <c r="M20" i="2" s="1"/>
  <c r="L223" i="2"/>
  <c r="L20" i="2" s="1"/>
  <c r="P495" i="2"/>
  <c r="K535" i="2"/>
  <c r="G223" i="2"/>
  <c r="G20" i="2" s="1"/>
  <c r="N495" i="2"/>
  <c r="J223" i="2"/>
  <c r="J20" i="2" s="1"/>
  <c r="I223" i="2"/>
  <c r="I20" i="2" s="1"/>
  <c r="O223" i="2"/>
  <c r="O20" i="2" s="1"/>
  <c r="F428" i="2"/>
  <c r="S428" i="2" s="1"/>
  <c r="F537" i="2"/>
  <c r="S537" i="2" s="1"/>
  <c r="R223" i="2"/>
  <c r="O495" i="2"/>
  <c r="F56" i="2"/>
  <c r="F57" i="2"/>
  <c r="S57" i="2" s="1"/>
  <c r="R495" i="2"/>
  <c r="F73" i="2"/>
  <c r="S73" i="2" s="1"/>
  <c r="S75" i="2"/>
  <c r="R53" i="2"/>
  <c r="R22" i="2" s="1"/>
  <c r="F17" i="2"/>
  <c r="F497" i="2"/>
  <c r="F224" i="2"/>
  <c r="F509" i="2"/>
  <c r="S509" i="2" s="1"/>
  <c r="R350" i="2"/>
  <c r="R323" i="2" s="1"/>
  <c r="F323" i="2"/>
  <c r="F357" i="2"/>
  <c r="S357" i="2" s="1"/>
  <c r="F550" i="2"/>
  <c r="S550" i="2" s="1"/>
  <c r="F225" i="2"/>
  <c r="B82" i="3" l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5" i="3" s="1"/>
  <c r="M15" i="2"/>
  <c r="H15" i="2"/>
  <c r="G15" i="2"/>
  <c r="S15" i="2" s="1"/>
  <c r="S16" i="2" s="1"/>
  <c r="F474" i="2"/>
  <c r="L15" i="2"/>
  <c r="I15" i="2"/>
  <c r="Q15" i="2"/>
  <c r="N15" i="2"/>
  <c r="J15" i="2"/>
  <c r="K15" i="2"/>
  <c r="S323" i="2"/>
  <c r="F16" i="2"/>
  <c r="P15" i="2"/>
  <c r="R20" i="2"/>
  <c r="R15" i="2" s="1"/>
  <c r="O15" i="2"/>
  <c r="F223" i="2"/>
  <c r="S223" i="2" s="1"/>
  <c r="S225" i="2"/>
  <c r="F535" i="2"/>
  <c r="S535" i="2" s="1"/>
  <c r="F55" i="2"/>
  <c r="S497" i="2"/>
  <c r="F495" i="2"/>
  <c r="S495" i="2" s="1"/>
  <c r="S22" i="2"/>
  <c r="B106" i="3" l="1"/>
  <c r="T14" i="2"/>
  <c r="T16" i="2" s="1"/>
  <c r="S55" i="2"/>
  <c r="F20" i="2"/>
  <c r="F15" i="2"/>
  <c r="B107" i="3" l="1"/>
  <c r="B108" i="3" s="1"/>
  <c r="B110" i="3" l="1"/>
  <c r="B109" i="3"/>
  <c r="B111" i="3"/>
  <c r="B112" i="3" s="1"/>
  <c r="B113" i="3" s="1"/>
  <c r="B115" i="3" l="1"/>
  <c r="B116" i="3" s="1"/>
  <c r="B117" i="3" s="1"/>
  <c r="B118" i="3" s="1"/>
  <c r="B119" i="3" s="1"/>
  <c r="B120" i="3" s="1"/>
  <c r="B121" i="3" s="1"/>
  <c r="B122" i="3" s="1"/>
  <c r="B123" i="3" s="1"/>
  <c r="B124" i="3" s="1"/>
  <c r="B126" i="3" s="1"/>
  <c r="B127" i="3" s="1"/>
  <c r="B128" i="3" s="1"/>
  <c r="B129" i="3" s="1"/>
  <c r="B130" i="3" s="1"/>
  <c r="B131" i="3" s="1"/>
  <c r="B132" i="3" s="1"/>
  <c r="B133" i="3" s="1"/>
  <c r="B134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14" i="3"/>
  <c r="B156" i="3" l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subdelegado</author>
  </authors>
  <commentList>
    <comment ref="E6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  <comment ref="E6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subdelegado</author>
  </authors>
  <commentList>
    <comment ref="D3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  <comment ref="D3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</commentList>
</comments>
</file>

<file path=xl/sharedStrings.xml><?xml version="1.0" encoding="utf-8"?>
<sst xmlns="http://schemas.openxmlformats.org/spreadsheetml/2006/main" count="888" uniqueCount="156">
  <si>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</si>
  <si>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</si>
  <si>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</si>
  <si>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</si>
  <si>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</si>
  <si>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</si>
  <si>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</si>
  <si>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</si>
  <si>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</si>
  <si>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</si>
  <si>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</si>
  <si>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</si>
  <si>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</si>
  <si>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</si>
  <si>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</si>
  <si>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</si>
  <si>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</si>
  <si>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</si>
  <si>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</si>
  <si>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</si>
  <si>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</si>
  <si>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</si>
  <si>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</si>
  <si>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</si>
  <si>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</si>
  <si>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</si>
  <si>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</si>
  <si>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 xml:space="preserve">ARTÍCULO 17 TER </t>
  </si>
  <si>
    <t>B) PROGRAMACIÓN Y REPROGRAMACIONES DE JORNALES</t>
  </si>
  <si>
    <t>DIRECCIÓN GENERAL DEL PATRIMONIO CULTURAL Y NATURAL</t>
  </si>
  <si>
    <t>MENSAJERO I</t>
  </si>
  <si>
    <t>PEÓN</t>
  </si>
  <si>
    <t>Dependencia: RECURSOS HUMANOS</t>
  </si>
  <si>
    <t>DIRECCIÓN Y COORDINACIÓN</t>
  </si>
  <si>
    <t>AUXILIAR MISCELÁNEO</t>
  </si>
  <si>
    <t>JARDINERO II</t>
  </si>
  <si>
    <t>TALLERISTA</t>
  </si>
  <si>
    <t>CONSERJE</t>
  </si>
  <si>
    <t>MAESTRO DE OBRAS</t>
  </si>
  <si>
    <t>MENSAJERO II</t>
  </si>
  <si>
    <t>PEÓN VIGILANTE V</t>
  </si>
  <si>
    <t>PILOTO I DE VEHÍCULOS LIVIANOS</t>
  </si>
  <si>
    <t>SERVICIOS DE INVESTIGACIÓN, CATALOGACIÓN Y REGISTRO DE BIENES CULTURALES</t>
  </si>
  <si>
    <t>ALBAÑIL I</t>
  </si>
  <si>
    <t>SERVICIOS DE ADMINISTRACIÓN Y PROTECCIÓN DE PARQUES, SITIOS ARQUEOLÓGICOS Y ZONAS DE RESCATE CULTURAL Y NATURAL</t>
  </si>
  <si>
    <t>ALBAÑIL II</t>
  </si>
  <si>
    <t>ALBAÑIL III</t>
  </si>
  <si>
    <t>AUXILIAR DE BODEGA</t>
  </si>
  <si>
    <t>AUXILIAR DE TOPOGRAFÍA III</t>
  </si>
  <si>
    <t>BODEGUERO II</t>
  </si>
  <si>
    <t>CAPORAL</t>
  </si>
  <si>
    <t>CARPINTERO I</t>
  </si>
  <si>
    <t>CONDUCTOR DE VEHÍCULOS LIVIANOS</t>
  </si>
  <si>
    <t>PEÓN VIGILANTE I</t>
  </si>
  <si>
    <t>PEÓN VIGILANTE II</t>
  </si>
  <si>
    <t>PEÓN VIVANDERA</t>
  </si>
  <si>
    <t>PERFORADOR DE SUELOS</t>
  </si>
  <si>
    <t>SERVICIOS DE ADMINISTRACION DE MUSEOS</t>
  </si>
  <si>
    <t>ALBAÑIL V</t>
  </si>
  <si>
    <t>CARPINTERO II</t>
  </si>
  <si>
    <t>CARPINTERO V</t>
  </si>
  <si>
    <t>ELECTRICISTA III</t>
  </si>
  <si>
    <t>EMBALADOR</t>
  </si>
  <si>
    <t>JARDINERO I</t>
  </si>
  <si>
    <t>LAVANDERA II</t>
  </si>
  <si>
    <t>SERVICIOS DE ADMINISTRACIÓN DEL PATRIMONIO BIBLIOGRÁFICO Y DOCUMENTAL</t>
  </si>
  <si>
    <t>BODEGUERO I</t>
  </si>
  <si>
    <t>ENCUADERNADOR</t>
  </si>
  <si>
    <t>PEON VIGILANTE I</t>
  </si>
  <si>
    <t>SERVICIOS DE CONSERVACIÓN Y RESTAURACIÓN DE BIENES CULTURALES</t>
  </si>
  <si>
    <t xml:space="preserve">ALBAÑIL II </t>
  </si>
  <si>
    <t>AUXILIAR DE ALBAÑILERÍA</t>
  </si>
  <si>
    <t>AUXILIAR DE CARPINTERÍA</t>
  </si>
  <si>
    <t>AUXILIAR DE ELECTRICIDAD</t>
  </si>
  <si>
    <t>ELECTRICISTA I</t>
  </si>
  <si>
    <t>SERVICIOS DE RESCATE Y CONSERVACIÓN DE SITIOS ARQUEOLÓGICOS Y PREHISPÁNICOS</t>
  </si>
  <si>
    <t>COCINERO</t>
  </si>
  <si>
    <t>OPERADOR DE EQUIPO</t>
  </si>
  <si>
    <t>FUENTE 29</t>
  </si>
  <si>
    <t>FUENTE 32</t>
  </si>
  <si>
    <t>ADMINISTRACION DEL PARQUE NACIONAL TIKAL</t>
  </si>
  <si>
    <t xml:space="preserve">AUXILIAR DE BODEGA </t>
  </si>
  <si>
    <t>AUXILIAR DE MECÁNICA</t>
  </si>
  <si>
    <t>AUXILIAR DE TOPOGRAFÍA  IV</t>
  </si>
  <si>
    <t>BODEGUERO IV</t>
  </si>
  <si>
    <t>PILOTO II DE VEHÍCULOS PESADOS</t>
  </si>
  <si>
    <t>FUENTE 11</t>
  </si>
  <si>
    <t>ALBAÑIL IV</t>
  </si>
  <si>
    <t>FUENTE 31</t>
  </si>
  <si>
    <t>AUXILIAR DE MECANICA</t>
  </si>
  <si>
    <t>AUXILIAR DE TOPOGRAFÍA IV</t>
  </si>
  <si>
    <t>ADMINISTRACIÓN DEL PARQUE NACIONAL TIKAL</t>
  </si>
  <si>
    <t>REPROGRAMACIÓN  DEL RENGLÓN 031 "JORNALES"</t>
  </si>
  <si>
    <t>EJERCICIO FISCAL 2022</t>
  </si>
  <si>
    <t xml:space="preserve">REPROGRAMACION DE PUESTOS RENGLON 031 "JORNALES" </t>
  </si>
  <si>
    <t>(1) ENTIDAD: MINISTERIO DE CULTURA Y DEPORTES</t>
  </si>
  <si>
    <t xml:space="preserve">(2) FUENTE DE FINANCIAMIENTO: </t>
  </si>
  <si>
    <t>UNIDAD EJECUTORA 103 DIRECCION GENERAL DEL PATRIMONIO CULTURAL Y NATURAL</t>
  </si>
  <si>
    <t>(3) Categoria Programática y Partida Presupuestaria y Naturaleza de los servicios</t>
  </si>
  <si>
    <t>(4) JORNAL DIARIO</t>
  </si>
  <si>
    <t>(5) NÚMERO DE CONTRATOS</t>
  </si>
  <si>
    <t>(6) TOTAL</t>
  </si>
  <si>
    <t>(7) PROGRAMACION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</si>
  <si>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</si>
  <si>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</si>
  <si>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</si>
  <si>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</si>
  <si>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</si>
  <si>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</si>
  <si>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</si>
  <si>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</si>
  <si>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</si>
  <si>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</si>
  <si>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</si>
  <si>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</si>
  <si>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Jornales al Año</t>
  </si>
  <si>
    <t>Ministerio de Cultura y Deportes</t>
  </si>
  <si>
    <t>TOTAL UE</t>
  </si>
  <si>
    <t>PROGRAMADO</t>
  </si>
  <si>
    <t>PENDIENTE DE PROGRAMAR</t>
  </si>
  <si>
    <t>TRANSFERENCIA</t>
  </si>
  <si>
    <t>2022-1113-0015-103-12-00-000-001-000-031-0101-11-0000-0000</t>
  </si>
  <si>
    <t>Modificado</t>
  </si>
  <si>
    <t>Pendiente de Programar</t>
  </si>
  <si>
    <t>2022-11130015-103-12-00-000-002-000-031-11-0000-0000</t>
  </si>
  <si>
    <t>2022-1113-0015-103-12-00-000-002-000-031-0101-11-0000-0000</t>
  </si>
  <si>
    <t>2022-11130015-103-12-00-000-003-000-031-11-0000-0000</t>
  </si>
  <si>
    <t>2022-1113-0015-103-12-00-000-003-000-031-1109-11-0000-0000</t>
  </si>
  <si>
    <t>AUXILIAR DE ALBAÑILERIA</t>
  </si>
  <si>
    <t xml:space="preserve">AUXILIAR MISCELÁNEO </t>
  </si>
  <si>
    <t xml:space="preserve">PILOTO I VEHÍCULOS LIVIANOS </t>
  </si>
  <si>
    <t>2022-11130015-103-12-00-000-004-000-031-11-0000-0000</t>
  </si>
  <si>
    <t>2022-1113-0015-103-12-00-000-004-000-031-0101-11-0000-0000</t>
  </si>
  <si>
    <t>AUXIIAR MISCELANEO</t>
  </si>
  <si>
    <t>FONTANERO III</t>
  </si>
  <si>
    <t>HERRERO IV</t>
  </si>
  <si>
    <t xml:space="preserve">ALBAÑIL I </t>
  </si>
  <si>
    <t>2022-11130015-103-12-00-000-006-000-031-0101-11-0000-0000</t>
  </si>
  <si>
    <t>2022-1113-0015-103-12-00-000-007-000-031-1701-11-0000-0000</t>
  </si>
  <si>
    <t>2022-11130015-103-12-00-000-008-000-031-0101-11-0000-0000</t>
  </si>
  <si>
    <t>2022-1113-0015-103-12-00-000-009-000-031-1701-11-0000-0000</t>
  </si>
  <si>
    <t>2022-1113-0015-103-12-00-000-004-000-031-0301-29-0000-0000</t>
  </si>
  <si>
    <t>2022-1113-0015-103-12-00-000-003-000-031-1805-31-0000-0000</t>
  </si>
  <si>
    <t>2022-1113-0015-103-12-00-000-007-000-031-1701-31-0000-0000</t>
  </si>
  <si>
    <t>2022-1113-0015-103-12-00-000-003-000-031-1805-32-0000-0000</t>
  </si>
  <si>
    <t>2022-1113-0015-103-12-00-000-007-000-031-1701-32-0000-0000</t>
  </si>
  <si>
    <t>Bono Navideño</t>
  </si>
  <si>
    <t>PILOTO I VEHÍCULOS LIVIANOS</t>
  </si>
  <si>
    <t xml:space="preserve">CARPINTERO I </t>
  </si>
  <si>
    <t xml:space="preserve">PEÓN  </t>
  </si>
  <si>
    <t>Responsable: Clester Isaias Queche Raquiz</t>
  </si>
  <si>
    <t>CARPINTERO IV</t>
  </si>
  <si>
    <t xml:space="preserve">PEÓN </t>
  </si>
  <si>
    <t xml:space="preserve">PEÓN VIGILANTE I </t>
  </si>
  <si>
    <t>PILOTO II VEHÍCULOS PESADOS</t>
  </si>
  <si>
    <t>Mes/ año: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</si>
</sst>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#,##0.0"/>
    <numFmt numFmtId="165" formatCode="&quot;Q&quot;#,##0.00"/>
    <numFmt numFmtId="166" formatCode="_(* #,##0.00_);_(* \(#,##0.00\);_(* &quot;-&quot;??_);_(@_)"/>
    <numFmt numFmtId="167" formatCode="#,##0.00_ ;[Red]\-#,##0.00\ "/>
    <numFmt numFmtId="168" formatCode="_(\Q* #,##0.00_);_(\Q* \(#,##0.00\);_(\Q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168" fontId="7" fillId="0" borderId="0" applyFill="0" applyBorder="0" applyAlignment="0" applyProtection="0"/>
    <xf numFmtId="0" fontId="27" fillId="0" borderId="0"/>
  </cellStyleXfs>
  <cellXfs count="609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44" fontId="0" fillId="0" borderId="21" xfId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44" fontId="0" fillId="0" borderId="21" xfId="1" applyFont="1" applyBorder="1"/>
    <xf numFmtId="4" fontId="0" fillId="0" borderId="0" xfId="0" applyNumberFormat="1"/>
    <xf numFmtId="0" fontId="0" fillId="2" borderId="0" xfId="0" applyFill="1" applyAlignment="1">
      <alignment wrapText="1"/>
    </xf>
    <xf numFmtId="0" fontId="8" fillId="2" borderId="5" xfId="2" applyFont="1" applyFill="1" applyBorder="1" applyAlignment="1">
      <alignment horizontal="left" wrapText="1"/>
    </xf>
    <xf numFmtId="165" fontId="8" fillId="2" borderId="5" xfId="2" applyNumberFormat="1" applyFont="1" applyFill="1" applyBorder="1"/>
    <xf numFmtId="0" fontId="8" fillId="0" borderId="5" xfId="2" applyFont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7" fillId="2" borderId="5" xfId="2" applyFill="1" applyBorder="1" applyAlignment="1">
      <alignment horizontal="center" vertical="center"/>
    </xf>
    <xf numFmtId="165" fontId="8" fillId="4" borderId="5" xfId="2" applyNumberFormat="1" applyFont="1" applyFill="1" applyBorder="1"/>
    <xf numFmtId="4" fontId="8" fillId="4" borderId="5" xfId="2" applyNumberFormat="1" applyFont="1" applyFill="1" applyBorder="1"/>
    <xf numFmtId="0" fontId="8" fillId="4" borderId="5" xfId="2" applyFont="1" applyFill="1" applyBorder="1" applyAlignment="1">
      <alignment horizontal="left" wrapText="1"/>
    </xf>
    <xf numFmtId="0" fontId="8" fillId="4" borderId="13" xfId="2" applyFont="1" applyFill="1" applyBorder="1" applyAlignment="1">
      <alignment horizontal="left" wrapText="1"/>
    </xf>
    <xf numFmtId="0" fontId="8" fillId="4" borderId="5" xfId="2" applyFont="1" applyFill="1" applyBorder="1" applyAlignment="1">
      <alignment horizontal="center" vertical="center"/>
    </xf>
    <xf numFmtId="0" fontId="8" fillId="4" borderId="13" xfId="2" applyFont="1" applyFill="1" applyBorder="1" applyAlignment="1">
      <alignment horizontal="center" vertical="center"/>
    </xf>
    <xf numFmtId="165" fontId="8" fillId="4" borderId="13" xfId="2" applyNumberFormat="1" applyFont="1" applyFill="1" applyBorder="1"/>
    <xf numFmtId="4" fontId="8" fillId="4" borderId="13" xfId="2" applyNumberFormat="1" applyFont="1" applyFill="1" applyBorder="1"/>
    <xf numFmtId="0" fontId="8" fillId="2" borderId="13" xfId="2" applyFont="1" applyFill="1" applyBorder="1" applyAlignment="1">
      <alignment horizontal="center" vertical="center"/>
    </xf>
    <xf numFmtId="165" fontId="8" fillId="2" borderId="13" xfId="2" applyNumberFormat="1" applyFont="1" applyFill="1" applyBorder="1"/>
    <xf numFmtId="4" fontId="8" fillId="2" borderId="5" xfId="2" applyNumberFormat="1" applyFont="1" applyFill="1" applyBorder="1"/>
    <xf numFmtId="40" fontId="0" fillId="0" borderId="0" xfId="0" applyNumberFormat="1" applyAlignment="1">
      <alignment horizontal="right"/>
    </xf>
    <xf numFmtId="40" fontId="0" fillId="0" borderId="0" xfId="0" applyNumberFormat="1"/>
    <xf numFmtId="0" fontId="10" fillId="0" borderId="0" xfId="2" applyFont="1" applyAlignment="1">
      <alignment horizontal="left"/>
    </xf>
    <xf numFmtId="0" fontId="11" fillId="0" borderId="0" xfId="2" applyFont="1"/>
    <xf numFmtId="40" fontId="11" fillId="0" borderId="0" xfId="2" applyNumberFormat="1" applyFont="1" applyAlignment="1">
      <alignment horizontal="right"/>
    </xf>
    <xf numFmtId="0" fontId="10" fillId="0" borderId="0" xfId="2" applyFont="1"/>
    <xf numFmtId="40" fontId="10" fillId="0" borderId="0" xfId="2" applyNumberFormat="1" applyFont="1" applyAlignment="1">
      <alignment horizontal="right"/>
    </xf>
    <xf numFmtId="43" fontId="0" fillId="0" borderId="0" xfId="0" applyNumberFormat="1"/>
    <xf numFmtId="0" fontId="0" fillId="0" borderId="27" xfId="0" applyBorder="1"/>
    <xf numFmtId="0" fontId="0" fillId="0" borderId="0" xfId="0" quotePrefix="1" applyAlignment="1">
      <alignment horizontal="left"/>
    </xf>
    <xf numFmtId="0" fontId="0" fillId="0" borderId="31" xfId="0" applyBorder="1"/>
    <xf numFmtId="0" fontId="8" fillId="3" borderId="1" xfId="2" applyFont="1" applyFill="1" applyBorder="1" applyAlignment="1">
      <alignment horizontal="center" wrapText="1"/>
    </xf>
    <xf numFmtId="0" fontId="8" fillId="3" borderId="4" xfId="2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40" fontId="13" fillId="3" borderId="6" xfId="0" applyNumberFormat="1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left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/>
    </xf>
    <xf numFmtId="40" fontId="0" fillId="3" borderId="0" xfId="0" applyNumberFormat="1" applyFill="1"/>
    <xf numFmtId="40" fontId="15" fillId="3" borderId="5" xfId="0" applyNumberFormat="1" applyFont="1" applyFill="1" applyBorder="1" applyAlignment="1">
      <alignment horizontal="center" vertical="center"/>
    </xf>
    <xf numFmtId="40" fontId="16" fillId="3" borderId="5" xfId="0" applyNumberFormat="1" applyFont="1" applyFill="1" applyBorder="1" applyAlignment="1">
      <alignment horizontal="center" vertical="center"/>
    </xf>
    <xf numFmtId="40" fontId="8" fillId="3" borderId="5" xfId="0" applyNumberFormat="1" applyFont="1" applyFill="1" applyBorder="1" applyAlignment="1">
      <alignment horizontal="center" vertical="center"/>
    </xf>
    <xf numFmtId="40" fontId="0" fillId="3" borderId="5" xfId="0" applyNumberFormat="1" applyFill="1" applyBorder="1"/>
    <xf numFmtId="40" fontId="15" fillId="3" borderId="6" xfId="0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17" fillId="3" borderId="8" xfId="4" applyFont="1" applyFill="1" applyBorder="1" applyAlignment="1">
      <alignment horizontal="right" vertical="center" wrapText="1"/>
    </xf>
    <xf numFmtId="0" fontId="18" fillId="3" borderId="8" xfId="2" applyFont="1" applyFill="1" applyBorder="1" applyAlignment="1">
      <alignment horizontal="center" vertical="center" wrapText="1"/>
    </xf>
    <xf numFmtId="1" fontId="9" fillId="3" borderId="8" xfId="2" applyNumberFormat="1" applyFont="1" applyFill="1" applyBorder="1" applyAlignment="1">
      <alignment horizontal="center" vertical="center"/>
    </xf>
    <xf numFmtId="40" fontId="9" fillId="3" borderId="8" xfId="2" applyNumberFormat="1" applyFont="1" applyFill="1" applyBorder="1" applyAlignment="1">
      <alignment horizontal="right" vertical="center"/>
    </xf>
    <xf numFmtId="40" fontId="9" fillId="3" borderId="8" xfId="2" applyNumberFormat="1" applyFont="1" applyFill="1" applyBorder="1" applyAlignment="1">
      <alignment vertical="center"/>
    </xf>
    <xf numFmtId="40" fontId="9" fillId="3" borderId="9" xfId="2" applyNumberFormat="1" applyFont="1" applyFill="1" applyBorder="1" applyAlignment="1">
      <alignment vertical="center"/>
    </xf>
    <xf numFmtId="0" fontId="8" fillId="6" borderId="32" xfId="2" applyFont="1" applyFill="1" applyBorder="1" applyAlignment="1">
      <alignment horizontal="center" vertical="center"/>
    </xf>
    <xf numFmtId="0" fontId="17" fillId="6" borderId="11" xfId="4" applyFont="1" applyFill="1" applyBorder="1" applyAlignment="1">
      <alignment horizontal="right" vertical="center" wrapText="1"/>
    </xf>
    <xf numFmtId="0" fontId="14" fillId="6" borderId="33" xfId="2" applyFont="1" applyFill="1" applyBorder="1" applyAlignment="1">
      <alignment horizontal="center" vertical="center" wrapText="1"/>
    </xf>
    <xf numFmtId="1" fontId="8" fillId="6" borderId="12" xfId="2" applyNumberFormat="1" applyFont="1" applyFill="1" applyBorder="1" applyAlignment="1">
      <alignment horizontal="center" vertical="center"/>
    </xf>
    <xf numFmtId="40" fontId="8" fillId="6" borderId="5" xfId="2" applyNumberFormat="1" applyFont="1" applyFill="1" applyBorder="1" applyAlignment="1">
      <alignment horizontal="right" vertical="center"/>
    </xf>
    <xf numFmtId="4" fontId="8" fillId="6" borderId="12" xfId="2" applyNumberFormat="1" applyFont="1" applyFill="1" applyBorder="1" applyAlignment="1">
      <alignment vertical="center"/>
    </xf>
    <xf numFmtId="40" fontId="8" fillId="6" borderId="34" xfId="2" applyNumberFormat="1" applyFont="1" applyFill="1" applyBorder="1" applyAlignment="1">
      <alignment vertical="center"/>
    </xf>
    <xf numFmtId="0" fontId="8" fillId="6" borderId="35" xfId="2" applyFont="1" applyFill="1" applyBorder="1" applyAlignment="1">
      <alignment horizontal="center" vertical="center"/>
    </xf>
    <xf numFmtId="40" fontId="8" fillId="6" borderId="36" xfId="2" applyNumberFormat="1" applyFont="1" applyFill="1" applyBorder="1" applyAlignment="1">
      <alignment vertical="center"/>
    </xf>
    <xf numFmtId="44" fontId="0" fillId="0" borderId="0" xfId="0" applyNumberFormat="1"/>
    <xf numFmtId="0" fontId="17" fillId="7" borderId="5" xfId="4" applyFont="1" applyFill="1" applyBorder="1" applyAlignment="1">
      <alignment horizontal="right" vertical="center" wrapText="1"/>
    </xf>
    <xf numFmtId="0" fontId="19" fillId="7" borderId="37" xfId="2" applyFont="1" applyFill="1" applyBorder="1" applyAlignment="1">
      <alignment horizontal="center" vertical="center" wrapText="1"/>
    </xf>
    <xf numFmtId="1" fontId="11" fillId="7" borderId="13" xfId="2" applyNumberFormat="1" applyFont="1" applyFill="1" applyBorder="1" applyAlignment="1">
      <alignment horizontal="center" vertical="center"/>
    </xf>
    <xf numFmtId="40" fontId="11" fillId="7" borderId="13" xfId="2" applyNumberFormat="1" applyFont="1" applyFill="1" applyBorder="1" applyAlignment="1">
      <alignment horizontal="right" vertical="center"/>
    </xf>
    <xf numFmtId="4" fontId="8" fillId="6" borderId="13" xfId="2" applyNumberFormat="1" applyFont="1" applyFill="1" applyBorder="1" applyAlignment="1">
      <alignment vertical="center"/>
    </xf>
    <xf numFmtId="40" fontId="8" fillId="6" borderId="38" xfId="2" applyNumberFormat="1" applyFont="1" applyFill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0" fontId="8" fillId="0" borderId="13" xfId="2" applyFont="1" applyBorder="1" applyAlignment="1">
      <alignment horizontal="left" vertical="center" wrapText="1"/>
    </xf>
    <xf numFmtId="0" fontId="14" fillId="0" borderId="13" xfId="2" applyFont="1" applyBorder="1" applyAlignment="1">
      <alignment horizontal="center" vertical="center" wrapText="1"/>
    </xf>
    <xf numFmtId="1" fontId="8" fillId="0" borderId="13" xfId="2" applyNumberFormat="1" applyFont="1" applyBorder="1" applyAlignment="1">
      <alignment horizontal="center" vertical="center"/>
    </xf>
    <xf numFmtId="40" fontId="8" fillId="0" borderId="13" xfId="2" applyNumberFormat="1" applyFont="1" applyBorder="1" applyAlignment="1">
      <alignment horizontal="right" vertical="center"/>
    </xf>
    <xf numFmtId="4" fontId="8" fillId="0" borderId="13" xfId="2" applyNumberFormat="1" applyFont="1" applyBorder="1" applyAlignment="1">
      <alignment vertical="center"/>
    </xf>
    <xf numFmtId="40" fontId="8" fillId="0" borderId="9" xfId="2" applyNumberFormat="1" applyFont="1" applyBorder="1" applyAlignment="1">
      <alignment vertical="center"/>
    </xf>
    <xf numFmtId="0" fontId="9" fillId="2" borderId="1" xfId="2" applyFont="1" applyFill="1" applyBorder="1" applyAlignment="1">
      <alignment horizontal="center" vertical="center"/>
    </xf>
    <xf numFmtId="0" fontId="9" fillId="8" borderId="2" xfId="2" applyFont="1" applyFill="1" applyBorder="1" applyAlignment="1">
      <alignment horizontal="left" wrapText="1"/>
    </xf>
    <xf numFmtId="0" fontId="8" fillId="8" borderId="2" xfId="2" applyFont="1" applyFill="1" applyBorder="1"/>
    <xf numFmtId="1" fontId="9" fillId="8" borderId="2" xfId="2" applyNumberFormat="1" applyFont="1" applyFill="1" applyBorder="1" applyAlignment="1">
      <alignment horizontal="center"/>
    </xf>
    <xf numFmtId="40" fontId="9" fillId="8" borderId="2" xfId="2" applyNumberFormat="1" applyFont="1" applyFill="1" applyBorder="1" applyAlignment="1">
      <alignment horizontal="right"/>
    </xf>
    <xf numFmtId="4" fontId="9" fillId="8" borderId="2" xfId="2" applyNumberFormat="1" applyFont="1" applyFill="1" applyBorder="1"/>
    <xf numFmtId="40" fontId="9" fillId="8" borderId="3" xfId="2" applyNumberFormat="1" applyFont="1" applyFill="1" applyBorder="1"/>
    <xf numFmtId="0" fontId="9" fillId="3" borderId="5" xfId="2" applyFont="1" applyFill="1" applyBorder="1" applyAlignment="1">
      <alignment horizontal="left" vertical="center" wrapText="1"/>
    </xf>
    <xf numFmtId="0" fontId="8" fillId="3" borderId="5" xfId="2" applyFont="1" applyFill="1" applyBorder="1"/>
    <xf numFmtId="40" fontId="8" fillId="3" borderId="5" xfId="2" applyNumberFormat="1" applyFont="1" applyFill="1" applyBorder="1" applyAlignment="1">
      <alignment horizontal="right"/>
    </xf>
    <xf numFmtId="4" fontId="8" fillId="3" borderId="5" xfId="2" applyNumberFormat="1" applyFont="1" applyFill="1" applyBorder="1"/>
    <xf numFmtId="40" fontId="8" fillId="3" borderId="6" xfId="2" applyNumberFormat="1" applyFont="1" applyFill="1" applyBorder="1"/>
    <xf numFmtId="0" fontId="8" fillId="3" borderId="39" xfId="2" applyFont="1" applyFill="1" applyBorder="1" applyAlignment="1">
      <alignment vertical="center"/>
    </xf>
    <xf numFmtId="1" fontId="9" fillId="9" borderId="13" xfId="2" applyNumberFormat="1" applyFont="1" applyFill="1" applyBorder="1" applyAlignment="1">
      <alignment horizontal="center" vertical="center"/>
    </xf>
    <xf numFmtId="40" fontId="9" fillId="9" borderId="13" xfId="3" applyNumberFormat="1" applyFont="1" applyFill="1" applyBorder="1" applyAlignment="1">
      <alignment horizontal="right" vertical="center"/>
    </xf>
    <xf numFmtId="43" fontId="9" fillId="9" borderId="13" xfId="3" applyFont="1" applyFill="1" applyBorder="1" applyAlignment="1">
      <alignment vertical="center"/>
    </xf>
    <xf numFmtId="40" fontId="9" fillId="9" borderId="38" xfId="3" applyNumberFormat="1" applyFont="1" applyFill="1" applyBorder="1" applyAlignment="1">
      <alignment vertical="center"/>
    </xf>
    <xf numFmtId="0" fontId="9" fillId="9" borderId="1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vertical="center"/>
    </xf>
    <xf numFmtId="0" fontId="9" fillId="8" borderId="5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wrapText="1"/>
    </xf>
    <xf numFmtId="40" fontId="9" fillId="0" borderId="5" xfId="2" applyNumberFormat="1" applyFont="1" applyBorder="1" applyAlignment="1">
      <alignment horizontal="right" vertical="center"/>
    </xf>
    <xf numFmtId="43" fontId="9" fillId="8" borderId="5" xfId="3" applyFont="1" applyFill="1" applyBorder="1" applyAlignment="1">
      <alignment vertical="center"/>
    </xf>
    <xf numFmtId="43" fontId="9" fillId="0" borderId="5" xfId="3" applyFont="1" applyFill="1" applyBorder="1" applyAlignment="1">
      <alignment vertical="center"/>
    </xf>
    <xf numFmtId="40" fontId="9" fillId="8" borderId="6" xfId="3" applyNumberFormat="1" applyFont="1" applyFill="1" applyBorder="1" applyAlignment="1">
      <alignment vertical="center"/>
    </xf>
    <xf numFmtId="0" fontId="0" fillId="2" borderId="31" xfId="0" applyFill="1" applyBorder="1"/>
    <xf numFmtId="0" fontId="8" fillId="2" borderId="4" xfId="2" applyFont="1" applyFill="1" applyBorder="1" applyAlignment="1">
      <alignment horizontal="center"/>
    </xf>
    <xf numFmtId="40" fontId="8" fillId="2" borderId="5" xfId="2" applyNumberFormat="1" applyFont="1" applyFill="1" applyBorder="1" applyAlignment="1">
      <alignment horizontal="right"/>
    </xf>
    <xf numFmtId="4" fontId="8" fillId="2" borderId="5" xfId="2" applyNumberFormat="1" applyFont="1" applyFill="1" applyBorder="1" applyAlignment="1">
      <alignment horizontal="right"/>
    </xf>
    <xf numFmtId="40" fontId="8" fillId="2" borderId="6" xfId="2" applyNumberFormat="1" applyFont="1" applyFill="1" applyBorder="1"/>
    <xf numFmtId="3" fontId="0" fillId="2" borderId="0" xfId="0" applyNumberFormat="1" applyFill="1"/>
    <xf numFmtId="0" fontId="8" fillId="0" borderId="4" xfId="2" applyFont="1" applyBorder="1" applyAlignment="1">
      <alignment horizontal="center"/>
    </xf>
    <xf numFmtId="0" fontId="8" fillId="0" borderId="5" xfId="2" applyFont="1" applyBorder="1" applyAlignment="1">
      <alignment horizontal="left" wrapText="1"/>
    </xf>
    <xf numFmtId="165" fontId="8" fillId="0" borderId="5" xfId="2" applyNumberFormat="1" applyFont="1" applyBorder="1"/>
    <xf numFmtId="40" fontId="8" fillId="0" borderId="5" xfId="2" applyNumberFormat="1" applyFont="1" applyBorder="1" applyAlignment="1">
      <alignment horizontal="right"/>
    </xf>
    <xf numFmtId="4" fontId="8" fillId="0" borderId="5" xfId="2" applyNumberFormat="1" applyFont="1" applyBorder="1"/>
    <xf numFmtId="4" fontId="8" fillId="0" borderId="5" xfId="2" applyNumberFormat="1" applyFont="1" applyBorder="1" applyAlignment="1">
      <alignment horizontal="right"/>
    </xf>
    <xf numFmtId="40" fontId="8" fillId="0" borderId="6" xfId="2" applyNumberFormat="1" applyFont="1" applyBorder="1"/>
    <xf numFmtId="3" fontId="0" fillId="0" borderId="0" xfId="0" applyNumberFormat="1"/>
    <xf numFmtId="0" fontId="0" fillId="4" borderId="31" xfId="0" applyFill="1" applyBorder="1"/>
    <xf numFmtId="0" fontId="8" fillId="4" borderId="4" xfId="2" applyFont="1" applyFill="1" applyBorder="1" applyAlignment="1">
      <alignment horizontal="center"/>
    </xf>
    <xf numFmtId="0" fontId="7" fillId="4" borderId="5" xfId="2" applyFill="1" applyBorder="1" applyAlignment="1">
      <alignment horizontal="left" wrapText="1"/>
    </xf>
    <xf numFmtId="40" fontId="8" fillId="4" borderId="5" xfId="2" applyNumberFormat="1" applyFont="1" applyFill="1" applyBorder="1" applyAlignment="1">
      <alignment horizontal="right"/>
    </xf>
    <xf numFmtId="40" fontId="8" fillId="4" borderId="6" xfId="2" applyNumberFormat="1" applyFont="1" applyFill="1" applyBorder="1"/>
    <xf numFmtId="3" fontId="0" fillId="4" borderId="0" xfId="0" applyNumberFormat="1" applyFill="1"/>
    <xf numFmtId="0" fontId="0" fillId="4" borderId="0" xfId="0" applyFill="1"/>
    <xf numFmtId="0" fontId="8" fillId="4" borderId="39" xfId="2" applyFont="1" applyFill="1" applyBorder="1" applyAlignment="1">
      <alignment horizontal="center"/>
    </xf>
    <xf numFmtId="40" fontId="8" fillId="4" borderId="13" xfId="2" applyNumberFormat="1" applyFont="1" applyFill="1" applyBorder="1" applyAlignment="1">
      <alignment horizontal="right"/>
    </xf>
    <xf numFmtId="4" fontId="8" fillId="4" borderId="13" xfId="2" applyNumberFormat="1" applyFont="1" applyFill="1" applyBorder="1" applyAlignment="1">
      <alignment horizontal="right"/>
    </xf>
    <xf numFmtId="40" fontId="8" fillId="4" borderId="38" xfId="2" applyNumberFormat="1" applyFont="1" applyFill="1" applyBorder="1"/>
    <xf numFmtId="4" fontId="8" fillId="4" borderId="5" xfId="2" applyNumberFormat="1" applyFont="1" applyFill="1" applyBorder="1" applyAlignment="1">
      <alignment horizontal="right"/>
    </xf>
    <xf numFmtId="0" fontId="8" fillId="0" borderId="5" xfId="2" applyFont="1" applyBorder="1"/>
    <xf numFmtId="4" fontId="9" fillId="0" borderId="5" xfId="2" applyNumberFormat="1" applyFont="1" applyBorder="1" applyAlignment="1">
      <alignment horizontal="center"/>
    </xf>
    <xf numFmtId="166" fontId="8" fillId="0" borderId="5" xfId="2" applyNumberFormat="1" applyFont="1" applyBorder="1" applyAlignment="1">
      <alignment horizontal="right"/>
    </xf>
    <xf numFmtId="0" fontId="8" fillId="3" borderId="10" xfId="2" applyFont="1" applyFill="1" applyBorder="1" applyAlignment="1">
      <alignment horizontal="center"/>
    </xf>
    <xf numFmtId="0" fontId="8" fillId="3" borderId="11" xfId="2" applyFont="1" applyFill="1" applyBorder="1"/>
    <xf numFmtId="40" fontId="8" fillId="3" borderId="11" xfId="2" applyNumberFormat="1" applyFont="1" applyFill="1" applyBorder="1" applyAlignment="1">
      <alignment horizontal="right"/>
    </xf>
    <xf numFmtId="4" fontId="8" fillId="3" borderId="11" xfId="2" applyNumberFormat="1" applyFont="1" applyFill="1" applyBorder="1"/>
    <xf numFmtId="4" fontId="9" fillId="3" borderId="11" xfId="2" applyNumberFormat="1" applyFont="1" applyFill="1" applyBorder="1" applyAlignment="1">
      <alignment horizontal="center"/>
    </xf>
    <xf numFmtId="40" fontId="8" fillId="3" borderId="36" xfId="2" applyNumberFormat="1" applyFont="1" applyFill="1" applyBorder="1"/>
    <xf numFmtId="0" fontId="8" fillId="3" borderId="39" xfId="2" applyFont="1" applyFill="1" applyBorder="1" applyAlignment="1">
      <alignment horizontal="center" vertical="center"/>
    </xf>
    <xf numFmtId="1" fontId="9" fillId="9" borderId="5" xfId="2" applyNumberFormat="1" applyFont="1" applyFill="1" applyBorder="1" applyAlignment="1">
      <alignment horizontal="center" vertical="center"/>
    </xf>
    <xf numFmtId="40" fontId="9" fillId="9" borderId="5" xfId="2" applyNumberFormat="1" applyFont="1" applyFill="1" applyBorder="1" applyAlignment="1">
      <alignment horizontal="right" vertical="center"/>
    </xf>
    <xf numFmtId="4" fontId="9" fillId="9" borderId="5" xfId="2" applyNumberFormat="1" applyFont="1" applyFill="1" applyBorder="1" applyAlignment="1">
      <alignment vertical="center"/>
    </xf>
    <xf numFmtId="40" fontId="9" fillId="9" borderId="6" xfId="2" applyNumberFormat="1" applyFont="1" applyFill="1" applyBorder="1" applyAlignment="1">
      <alignment vertical="center"/>
    </xf>
    <xf numFmtId="0" fontId="9" fillId="9" borderId="11" xfId="2" applyFont="1" applyFill="1" applyBorder="1" applyAlignment="1">
      <alignment horizontal="center" vertical="center" wrapText="1"/>
    </xf>
    <xf numFmtId="1" fontId="9" fillId="9" borderId="11" xfId="2" applyNumberFormat="1" applyFont="1" applyFill="1" applyBorder="1" applyAlignment="1">
      <alignment horizontal="center" vertical="center"/>
    </xf>
    <xf numFmtId="40" fontId="9" fillId="9" borderId="11" xfId="2" applyNumberFormat="1" applyFont="1" applyFill="1" applyBorder="1" applyAlignment="1">
      <alignment horizontal="right" vertical="center"/>
    </xf>
    <xf numFmtId="4" fontId="9" fillId="9" borderId="11" xfId="2" applyNumberFormat="1" applyFont="1" applyFill="1" applyBorder="1" applyAlignment="1">
      <alignment vertical="center"/>
    </xf>
    <xf numFmtId="40" fontId="9" fillId="9" borderId="36" xfId="2" applyNumberFormat="1" applyFont="1" applyFill="1" applyBorder="1" applyAlignment="1">
      <alignment vertical="center"/>
    </xf>
    <xf numFmtId="1" fontId="9" fillId="0" borderId="11" xfId="2" applyNumberFormat="1" applyFont="1" applyBorder="1" applyAlignment="1">
      <alignment horizontal="center"/>
    </xf>
    <xf numFmtId="40" fontId="9" fillId="0" borderId="11" xfId="3" applyNumberFormat="1" applyFont="1" applyFill="1" applyBorder="1" applyAlignment="1">
      <alignment horizontal="right"/>
    </xf>
    <xf numFmtId="43" fontId="9" fillId="0" borderId="11" xfId="3" applyFont="1" applyFill="1" applyBorder="1"/>
    <xf numFmtId="40" fontId="9" fillId="0" borderId="36" xfId="3" applyNumberFormat="1" applyFont="1" applyFill="1" applyBorder="1"/>
    <xf numFmtId="0" fontId="8" fillId="0" borderId="35" xfId="2" applyFont="1" applyBorder="1" applyAlignment="1">
      <alignment horizontal="center"/>
    </xf>
    <xf numFmtId="0" fontId="9" fillId="0" borderId="12" xfId="2" applyFont="1" applyBorder="1" applyAlignment="1">
      <alignment horizontal="center" wrapText="1"/>
    </xf>
    <xf numFmtId="43" fontId="9" fillId="0" borderId="12" xfId="3" applyFont="1" applyFill="1" applyBorder="1"/>
    <xf numFmtId="40" fontId="9" fillId="0" borderId="34" xfId="3" applyNumberFormat="1" applyFont="1" applyFill="1" applyBorder="1"/>
    <xf numFmtId="0" fontId="9" fillId="0" borderId="13" xfId="2" applyFont="1" applyBorder="1" applyAlignment="1">
      <alignment horizontal="center" wrapText="1"/>
    </xf>
    <xf numFmtId="0" fontId="8" fillId="0" borderId="39" xfId="2" applyFont="1" applyBorder="1" applyAlignment="1">
      <alignment horizontal="center"/>
    </xf>
    <xf numFmtId="0" fontId="8" fillId="0" borderId="13" xfId="2" applyFont="1" applyBorder="1" applyAlignment="1">
      <alignment horizontal="left" wrapText="1"/>
    </xf>
    <xf numFmtId="165" fontId="8" fillId="0" borderId="13" xfId="2" applyNumberFormat="1" applyFont="1" applyBorder="1"/>
    <xf numFmtId="0" fontId="8" fillId="0" borderId="13" xfId="2" applyFont="1" applyBorder="1" applyAlignment="1">
      <alignment horizontal="center" vertical="center"/>
    </xf>
    <xf numFmtId="40" fontId="8" fillId="0" borderId="13" xfId="2" applyNumberFormat="1" applyFont="1" applyBorder="1" applyAlignment="1">
      <alignment horizontal="right"/>
    </xf>
    <xf numFmtId="4" fontId="8" fillId="0" borderId="13" xfId="2" applyNumberFormat="1" applyFont="1" applyBorder="1"/>
    <xf numFmtId="4" fontId="8" fillId="0" borderId="13" xfId="2" applyNumberFormat="1" applyFont="1" applyBorder="1" applyAlignment="1">
      <alignment horizontal="right"/>
    </xf>
    <xf numFmtId="0" fontId="8" fillId="0" borderId="7" xfId="2" applyFont="1" applyBorder="1" applyAlignment="1">
      <alignment horizontal="center"/>
    </xf>
    <xf numFmtId="165" fontId="8" fillId="0" borderId="8" xfId="2" applyNumberFormat="1" applyFont="1" applyBorder="1"/>
    <xf numFmtId="0" fontId="8" fillId="0" borderId="8" xfId="2" applyFont="1" applyBorder="1" applyAlignment="1">
      <alignment horizontal="center" vertical="center"/>
    </xf>
    <xf numFmtId="40" fontId="8" fillId="0" borderId="8" xfId="2" applyNumberFormat="1" applyFont="1" applyBorder="1" applyAlignment="1">
      <alignment horizontal="right"/>
    </xf>
    <xf numFmtId="0" fontId="8" fillId="0" borderId="8" xfId="2" applyFont="1" applyBorder="1"/>
    <xf numFmtId="4" fontId="8" fillId="0" borderId="8" xfId="2" applyNumberFormat="1" applyFont="1" applyBorder="1" applyAlignment="1">
      <alignment horizontal="right"/>
    </xf>
    <xf numFmtId="4" fontId="8" fillId="0" borderId="8" xfId="2" applyNumberFormat="1" applyFont="1" applyBorder="1"/>
    <xf numFmtId="40" fontId="8" fillId="0" borderId="9" xfId="2" applyNumberFormat="1" applyFont="1" applyBorder="1" applyAlignment="1">
      <alignment horizontal="right"/>
    </xf>
    <xf numFmtId="0" fontId="8" fillId="0" borderId="10" xfId="2" applyFont="1" applyBorder="1" applyAlignment="1">
      <alignment horizontal="center"/>
    </xf>
    <xf numFmtId="4" fontId="9" fillId="0" borderId="8" xfId="2" applyNumberFormat="1" applyFont="1" applyBorder="1" applyAlignment="1">
      <alignment horizontal="center"/>
    </xf>
    <xf numFmtId="40" fontId="8" fillId="0" borderId="9" xfId="2" applyNumberFormat="1" applyFont="1" applyBorder="1"/>
    <xf numFmtId="0" fontId="8" fillId="3" borderId="2" xfId="2" applyFont="1" applyFill="1" applyBorder="1"/>
    <xf numFmtId="4" fontId="8" fillId="3" borderId="17" xfId="2" applyNumberFormat="1" applyFont="1" applyFill="1" applyBorder="1"/>
    <xf numFmtId="40" fontId="0" fillId="3" borderId="36" xfId="0" applyNumberFormat="1" applyFill="1" applyBorder="1"/>
    <xf numFmtId="0" fontId="8" fillId="3" borderId="4" xfId="2" applyFont="1" applyFill="1" applyBorder="1" applyAlignment="1">
      <alignment horizontal="center" vertical="center"/>
    </xf>
    <xf numFmtId="43" fontId="9" fillId="9" borderId="5" xfId="2" applyNumberFormat="1" applyFont="1" applyFill="1" applyBorder="1" applyAlignment="1">
      <alignment vertical="center"/>
    </xf>
    <xf numFmtId="0" fontId="8" fillId="3" borderId="35" xfId="2" applyFont="1" applyFill="1" applyBorder="1" applyAlignment="1">
      <alignment horizontal="center"/>
    </xf>
    <xf numFmtId="0" fontId="9" fillId="3" borderId="13" xfId="2" applyFont="1" applyFill="1" applyBorder="1" applyAlignment="1">
      <alignment horizontal="left" wrapText="1"/>
    </xf>
    <xf numFmtId="0" fontId="9" fillId="3" borderId="12" xfId="2" applyFont="1" applyFill="1" applyBorder="1" applyAlignment="1">
      <alignment horizontal="left" wrapText="1"/>
    </xf>
    <xf numFmtId="0" fontId="8" fillId="3" borderId="12" xfId="2" applyFont="1" applyFill="1" applyBorder="1"/>
    <xf numFmtId="40" fontId="9" fillId="3" borderId="5" xfId="2" applyNumberFormat="1" applyFont="1" applyFill="1" applyBorder="1" applyAlignment="1">
      <alignment horizontal="right"/>
    </xf>
    <xf numFmtId="4" fontId="8" fillId="3" borderId="12" xfId="2" applyNumberFormat="1" applyFont="1" applyFill="1" applyBorder="1"/>
    <xf numFmtId="4" fontId="8" fillId="3" borderId="40" xfId="2" applyNumberFormat="1" applyFont="1" applyFill="1" applyBorder="1"/>
    <xf numFmtId="40" fontId="0" fillId="3" borderId="34" xfId="0" applyNumberFormat="1" applyFill="1" applyBorder="1"/>
    <xf numFmtId="1" fontId="9" fillId="0" borderId="5" xfId="2" applyNumberFormat="1" applyFont="1" applyBorder="1" applyAlignment="1">
      <alignment horizontal="center"/>
    </xf>
    <xf numFmtId="40" fontId="9" fillId="2" borderId="11" xfId="3" applyNumberFormat="1" applyFont="1" applyFill="1" applyBorder="1" applyAlignment="1">
      <alignment horizontal="right"/>
    </xf>
    <xf numFmtId="43" fontId="9" fillId="0" borderId="5" xfId="3" applyFont="1" applyFill="1" applyBorder="1"/>
    <xf numFmtId="43" fontId="9" fillId="2" borderId="11" xfId="3" applyFont="1" applyFill="1" applyBorder="1"/>
    <xf numFmtId="43" fontId="9" fillId="2" borderId="5" xfId="3" applyFont="1" applyFill="1" applyBorder="1"/>
    <xf numFmtId="40" fontId="9" fillId="2" borderId="6" xfId="3" applyNumberFormat="1" applyFont="1" applyFill="1" applyBorder="1"/>
    <xf numFmtId="4" fontId="0" fillId="0" borderId="0" xfId="1" applyNumberFormat="1" applyFont="1"/>
    <xf numFmtId="0" fontId="8" fillId="2" borderId="10" xfId="2" applyFont="1" applyFill="1" applyBorder="1" applyAlignment="1">
      <alignment horizontal="center"/>
    </xf>
    <xf numFmtId="0" fontId="9" fillId="2" borderId="11" xfId="2" applyFont="1" applyFill="1" applyBorder="1" applyAlignment="1">
      <alignment horizontal="center" wrapText="1"/>
    </xf>
    <xf numFmtId="43" fontId="9" fillId="2" borderId="0" xfId="3" applyFont="1" applyFill="1" applyBorder="1"/>
    <xf numFmtId="40" fontId="9" fillId="2" borderId="36" xfId="3" applyNumberFormat="1" applyFont="1" applyFill="1" applyBorder="1"/>
    <xf numFmtId="0" fontId="9" fillId="2" borderId="5" xfId="2" applyFont="1" applyFill="1" applyBorder="1" applyAlignment="1">
      <alignment horizontal="center" wrapText="1"/>
    </xf>
    <xf numFmtId="40" fontId="9" fillId="2" borderId="5" xfId="2" applyNumberFormat="1" applyFont="1" applyFill="1" applyBorder="1" applyAlignment="1">
      <alignment horizontal="right" vertical="center"/>
    </xf>
    <xf numFmtId="43" fontId="9" fillId="0" borderId="5" xfId="3" applyFont="1" applyFill="1" applyBorder="1" applyAlignment="1"/>
    <xf numFmtId="2" fontId="9" fillId="2" borderId="11" xfId="3" applyNumberFormat="1" applyFont="1" applyFill="1" applyBorder="1"/>
    <xf numFmtId="40" fontId="9" fillId="0" borderId="6" xfId="3" applyNumberFormat="1" applyFont="1" applyFill="1" applyBorder="1" applyAlignment="1"/>
    <xf numFmtId="0" fontId="8" fillId="0" borderId="11" xfId="2" applyFont="1" applyBorder="1" applyAlignment="1">
      <alignment horizontal="left" wrapText="1"/>
    </xf>
    <xf numFmtId="165" fontId="8" fillId="0" borderId="11" xfId="2" applyNumberFormat="1" applyFont="1" applyBorder="1"/>
    <xf numFmtId="0" fontId="8" fillId="0" borderId="11" xfId="2" applyFont="1" applyBorder="1" applyAlignment="1">
      <alignment horizontal="center" vertical="center"/>
    </xf>
    <xf numFmtId="40" fontId="8" fillId="0" borderId="11" xfId="2" applyNumberFormat="1" applyFont="1" applyBorder="1" applyAlignment="1">
      <alignment horizontal="right"/>
    </xf>
    <xf numFmtId="4" fontId="8" fillId="0" borderId="11" xfId="2" applyNumberFormat="1" applyFont="1" applyBorder="1"/>
    <xf numFmtId="4" fontId="8" fillId="0" borderId="11" xfId="2" applyNumberFormat="1" applyFont="1" applyBorder="1" applyAlignment="1">
      <alignment horizontal="right"/>
    </xf>
    <xf numFmtId="40" fontId="7" fillId="2" borderId="5" xfId="2" applyNumberFormat="1" applyFill="1" applyBorder="1" applyAlignment="1">
      <alignment horizontal="right"/>
    </xf>
    <xf numFmtId="4" fontId="8" fillId="2" borderId="11" xfId="2" applyNumberFormat="1" applyFont="1" applyFill="1" applyBorder="1"/>
    <xf numFmtId="4" fontId="8" fillId="2" borderId="11" xfId="2" applyNumberFormat="1" applyFont="1" applyFill="1" applyBorder="1" applyAlignment="1">
      <alignment horizontal="right"/>
    </xf>
    <xf numFmtId="0" fontId="7" fillId="0" borderId="5" xfId="2" applyBorder="1" applyAlignment="1">
      <alignment horizontal="center" vertical="center"/>
    </xf>
    <xf numFmtId="40" fontId="7" fillId="0" borderId="5" xfId="2" applyNumberFormat="1" applyBorder="1" applyAlignment="1">
      <alignment horizontal="right"/>
    </xf>
    <xf numFmtId="4" fontId="21" fillId="2" borderId="11" xfId="2" applyNumberFormat="1" applyFont="1" applyFill="1" applyBorder="1" applyAlignment="1">
      <alignment horizontal="right"/>
    </xf>
    <xf numFmtId="4" fontId="21" fillId="2" borderId="11" xfId="2" applyNumberFormat="1" applyFont="1" applyFill="1" applyBorder="1"/>
    <xf numFmtId="0" fontId="8" fillId="4" borderId="10" xfId="2" applyFont="1" applyFill="1" applyBorder="1" applyAlignment="1">
      <alignment horizontal="center"/>
    </xf>
    <xf numFmtId="0" fontId="8" fillId="4" borderId="11" xfId="2" applyFont="1" applyFill="1" applyBorder="1" applyAlignment="1">
      <alignment horizontal="left" wrapText="1"/>
    </xf>
    <xf numFmtId="165" fontId="8" fillId="4" borderId="11" xfId="2" applyNumberFormat="1" applyFont="1" applyFill="1" applyBorder="1"/>
    <xf numFmtId="0" fontId="8" fillId="4" borderId="11" xfId="2" applyFont="1" applyFill="1" applyBorder="1" applyAlignment="1">
      <alignment horizontal="center" vertical="center"/>
    </xf>
    <xf numFmtId="40" fontId="8" fillId="4" borderId="11" xfId="2" applyNumberFormat="1" applyFont="1" applyFill="1" applyBorder="1" applyAlignment="1">
      <alignment horizontal="right"/>
    </xf>
    <xf numFmtId="4" fontId="8" fillId="4" borderId="11" xfId="2" applyNumberFormat="1" applyFont="1" applyFill="1" applyBorder="1"/>
    <xf numFmtId="0" fontId="7" fillId="4" borderId="5" xfId="2" applyFill="1" applyBorder="1" applyAlignment="1">
      <alignment horizontal="center" vertical="center"/>
    </xf>
    <xf numFmtId="40" fontId="7" fillId="4" borderId="5" xfId="2" applyNumberFormat="1" applyFill="1" applyBorder="1" applyAlignment="1">
      <alignment horizontal="right"/>
    </xf>
    <xf numFmtId="0" fontId="0" fillId="4" borderId="41" xfId="0" applyFill="1" applyBorder="1"/>
    <xf numFmtId="3" fontId="0" fillId="4" borderId="18" xfId="0" applyNumberFormat="1" applyFill="1" applyBorder="1"/>
    <xf numFmtId="0" fontId="0" fillId="4" borderId="18" xfId="0" applyFill="1" applyBorder="1"/>
    <xf numFmtId="0" fontId="7" fillId="4" borderId="11" xfId="2" applyFill="1" applyBorder="1" applyAlignment="1">
      <alignment horizontal="center" vertical="center"/>
    </xf>
    <xf numFmtId="40" fontId="7" fillId="4" borderId="11" xfId="2" applyNumberFormat="1" applyFill="1" applyBorder="1" applyAlignment="1">
      <alignment horizontal="right"/>
    </xf>
    <xf numFmtId="4" fontId="8" fillId="4" borderId="11" xfId="2" applyNumberFormat="1" applyFont="1" applyFill="1" applyBorder="1" applyAlignment="1">
      <alignment horizontal="right"/>
    </xf>
    <xf numFmtId="40" fontId="8" fillId="4" borderId="36" xfId="2" applyNumberFormat="1" applyFont="1" applyFill="1" applyBorder="1"/>
    <xf numFmtId="0" fontId="8" fillId="2" borderId="11" xfId="2" applyFont="1" applyFill="1" applyBorder="1" applyAlignment="1">
      <alignment horizontal="left" wrapText="1"/>
    </xf>
    <xf numFmtId="165" fontId="8" fillId="2" borderId="11" xfId="2" applyNumberFormat="1" applyFont="1" applyFill="1" applyBorder="1"/>
    <xf numFmtId="0" fontId="8" fillId="2" borderId="11" xfId="2" applyFont="1" applyFill="1" applyBorder="1" applyAlignment="1">
      <alignment horizontal="center" vertical="center"/>
    </xf>
    <xf numFmtId="40" fontId="8" fillId="2" borderId="11" xfId="2" applyNumberFormat="1" applyFont="1" applyFill="1" applyBorder="1" applyAlignment="1">
      <alignment horizontal="right"/>
    </xf>
    <xf numFmtId="40" fontId="8" fillId="2" borderId="36" xfId="2" applyNumberFormat="1" applyFont="1" applyFill="1" applyBorder="1"/>
    <xf numFmtId="0" fontId="22" fillId="4" borderId="31" xfId="0" applyFont="1" applyFill="1" applyBorder="1"/>
    <xf numFmtId="0" fontId="7" fillId="4" borderId="4" xfId="2" applyFill="1" applyBorder="1" applyAlignment="1">
      <alignment horizontal="center"/>
    </xf>
    <xf numFmtId="165" fontId="7" fillId="4" borderId="5" xfId="2" applyNumberFormat="1" applyFill="1" applyBorder="1"/>
    <xf numFmtId="4" fontId="7" fillId="4" borderId="5" xfId="2" applyNumberFormat="1" applyFill="1" applyBorder="1"/>
    <xf numFmtId="0" fontId="22" fillId="4" borderId="0" xfId="0" applyFont="1" applyFill="1"/>
    <xf numFmtId="0" fontId="22" fillId="2" borderId="31" xfId="0" applyFont="1" applyFill="1" applyBorder="1"/>
    <xf numFmtId="0" fontId="7" fillId="2" borderId="4" xfId="2" applyFill="1" applyBorder="1" applyAlignment="1">
      <alignment horizontal="center"/>
    </xf>
    <xf numFmtId="0" fontId="7" fillId="2" borderId="5" xfId="2" applyFill="1" applyBorder="1" applyAlignment="1">
      <alignment horizontal="left" wrapText="1"/>
    </xf>
    <xf numFmtId="165" fontId="7" fillId="2" borderId="5" xfId="2" applyNumberFormat="1" applyFill="1" applyBorder="1"/>
    <xf numFmtId="4" fontId="7" fillId="2" borderId="5" xfId="2" applyNumberFormat="1" applyFill="1" applyBorder="1"/>
    <xf numFmtId="0" fontId="22" fillId="2" borderId="0" xfId="0" applyFont="1" applyFill="1"/>
    <xf numFmtId="0" fontId="8" fillId="3" borderId="1" xfId="2" applyFont="1" applyFill="1" applyBorder="1" applyAlignment="1">
      <alignment horizontal="center"/>
    </xf>
    <xf numFmtId="4" fontId="8" fillId="3" borderId="22" xfId="2" applyNumberFormat="1" applyFont="1" applyFill="1" applyBorder="1"/>
    <xf numFmtId="4" fontId="8" fillId="3" borderId="23" xfId="2" applyNumberFormat="1" applyFont="1" applyFill="1" applyBorder="1"/>
    <xf numFmtId="40" fontId="0" fillId="3" borderId="6" xfId="0" applyNumberFormat="1" applyFill="1" applyBorder="1"/>
    <xf numFmtId="1" fontId="9" fillId="2" borderId="11" xfId="2" applyNumberFormat="1" applyFont="1" applyFill="1" applyBorder="1" applyAlignment="1">
      <alignment horizontal="center"/>
    </xf>
    <xf numFmtId="43" fontId="9" fillId="0" borderId="11" xfId="3" applyFont="1" applyFill="1" applyBorder="1" applyAlignment="1"/>
    <xf numFmtId="43" fontId="9" fillId="2" borderId="11" xfId="3" applyFont="1" applyFill="1" applyBorder="1" applyAlignment="1"/>
    <xf numFmtId="43" fontId="9" fillId="2" borderId="5" xfId="3" applyFont="1" applyFill="1" applyBorder="1" applyAlignment="1"/>
    <xf numFmtId="40" fontId="9" fillId="2" borderId="36" xfId="3" applyNumberFormat="1" applyFont="1" applyFill="1" applyBorder="1" applyAlignment="1"/>
    <xf numFmtId="43" fontId="9" fillId="2" borderId="0" xfId="3" applyFont="1" applyFill="1" applyBorder="1" applyAlignment="1"/>
    <xf numFmtId="39" fontId="9" fillId="2" borderId="5" xfId="3" applyNumberFormat="1" applyFont="1" applyFill="1" applyBorder="1" applyAlignment="1">
      <alignment horizontal="right"/>
    </xf>
    <xf numFmtId="2" fontId="23" fillId="0" borderId="5" xfId="3" applyNumberFormat="1" applyFont="1" applyFill="1" applyBorder="1" applyAlignment="1"/>
    <xf numFmtId="165" fontId="9" fillId="0" borderId="5" xfId="1" applyNumberFormat="1" applyFont="1" applyFill="1" applyBorder="1" applyAlignment="1"/>
    <xf numFmtId="0" fontId="8" fillId="0" borderId="11" xfId="2" applyFont="1" applyBorder="1" applyAlignment="1">
      <alignment horizontal="center"/>
    </xf>
    <xf numFmtId="40" fontId="8" fillId="0" borderId="38" xfId="2" applyNumberFormat="1" applyFont="1" applyBorder="1"/>
    <xf numFmtId="0" fontId="2" fillId="2" borderId="31" xfId="0" applyFont="1" applyFill="1" applyBorder="1"/>
    <xf numFmtId="3" fontId="2" fillId="2" borderId="0" xfId="0" applyNumberFormat="1" applyFont="1" applyFill="1"/>
    <xf numFmtId="0" fontId="2" fillId="2" borderId="0" xfId="0" applyFont="1" applyFill="1"/>
    <xf numFmtId="0" fontId="24" fillId="2" borderId="31" xfId="0" applyFont="1" applyFill="1" applyBorder="1"/>
    <xf numFmtId="4" fontId="7" fillId="2" borderId="11" xfId="2" applyNumberFormat="1" applyFill="1" applyBorder="1"/>
    <xf numFmtId="4" fontId="7" fillId="2" borderId="11" xfId="2" applyNumberFormat="1" applyFill="1" applyBorder="1" applyAlignment="1">
      <alignment horizontal="right"/>
    </xf>
    <xf numFmtId="40" fontId="7" fillId="2" borderId="6" xfId="2" applyNumberFormat="1" applyFill="1" applyBorder="1"/>
    <xf numFmtId="3" fontId="24" fillId="2" borderId="0" xfId="0" applyNumberFormat="1" applyFont="1" applyFill="1"/>
    <xf numFmtId="0" fontId="24" fillId="2" borderId="0" xfId="0" applyFont="1" applyFill="1"/>
    <xf numFmtId="0" fontId="2" fillId="0" borderId="31" xfId="0" applyFont="1" applyBorder="1"/>
    <xf numFmtId="3" fontId="2" fillId="0" borderId="0" xfId="0" applyNumberFormat="1" applyFont="1"/>
    <xf numFmtId="0" fontId="8" fillId="0" borderId="5" xfId="2" applyFont="1" applyBorder="1" applyAlignment="1">
      <alignment horizontal="left"/>
    </xf>
    <xf numFmtId="0" fontId="8" fillId="2" borderId="13" xfId="2" applyFont="1" applyFill="1" applyBorder="1" applyAlignment="1">
      <alignment horizontal="left" wrapText="1"/>
    </xf>
    <xf numFmtId="0" fontId="8" fillId="2" borderId="5" xfId="2" applyFont="1" applyFill="1" applyBorder="1" applyAlignment="1">
      <alignment horizontal="left"/>
    </xf>
    <xf numFmtId="0" fontId="25" fillId="2" borderId="31" xfId="0" applyFont="1" applyFill="1" applyBorder="1"/>
    <xf numFmtId="0" fontId="25" fillId="2" borderId="0" xfId="0" applyFont="1" applyFill="1"/>
    <xf numFmtId="0" fontId="8" fillId="0" borderId="8" xfId="2" applyFont="1" applyBorder="1" applyAlignment="1">
      <alignment horizontal="left" wrapText="1"/>
    </xf>
    <xf numFmtId="0" fontId="8" fillId="3" borderId="42" xfId="2" applyFont="1" applyFill="1" applyBorder="1"/>
    <xf numFmtId="40" fontId="8" fillId="3" borderId="42" xfId="2" applyNumberFormat="1" applyFont="1" applyFill="1" applyBorder="1" applyAlignment="1">
      <alignment horizontal="right"/>
    </xf>
    <xf numFmtId="4" fontId="8" fillId="3" borderId="42" xfId="2" applyNumberFormat="1" applyFont="1" applyFill="1" applyBorder="1"/>
    <xf numFmtId="4" fontId="9" fillId="3" borderId="42" xfId="2" applyNumberFormat="1" applyFont="1" applyFill="1" applyBorder="1" applyAlignment="1">
      <alignment horizontal="center"/>
    </xf>
    <xf numFmtId="40" fontId="8" fillId="3" borderId="43" xfId="2" applyNumberFormat="1" applyFont="1" applyFill="1" applyBorder="1"/>
    <xf numFmtId="0" fontId="9" fillId="9" borderId="5" xfId="2" applyFont="1" applyFill="1" applyBorder="1" applyAlignment="1">
      <alignment horizontal="center" vertical="center"/>
    </xf>
    <xf numFmtId="43" fontId="9" fillId="9" borderId="5" xfId="3" applyFont="1" applyFill="1" applyBorder="1" applyAlignment="1">
      <alignment vertical="center"/>
    </xf>
    <xf numFmtId="0" fontId="8" fillId="3" borderId="10" xfId="2" applyFont="1" applyFill="1" applyBorder="1" applyAlignment="1">
      <alignment horizontal="center" vertical="center"/>
    </xf>
    <xf numFmtId="0" fontId="9" fillId="9" borderId="11" xfId="2" applyFont="1" applyFill="1" applyBorder="1" applyAlignment="1">
      <alignment horizontal="center" vertical="center"/>
    </xf>
    <xf numFmtId="43" fontId="9" fillId="9" borderId="11" xfId="3" applyFont="1" applyFill="1" applyBorder="1"/>
    <xf numFmtId="43" fontId="9" fillId="9" borderId="18" xfId="3" applyFont="1" applyFill="1" applyBorder="1"/>
    <xf numFmtId="0" fontId="9" fillId="0" borderId="11" xfId="2" applyFont="1" applyBorder="1" applyAlignment="1">
      <alignment horizontal="center" wrapText="1"/>
    </xf>
    <xf numFmtId="40" fontId="9" fillId="0" borderId="11" xfId="2" applyNumberFormat="1" applyFont="1" applyBorder="1" applyAlignment="1">
      <alignment horizontal="right" vertical="center"/>
    </xf>
    <xf numFmtId="2" fontId="9" fillId="0" borderId="11" xfId="1" applyNumberFormat="1" applyFont="1" applyFill="1" applyBorder="1" applyAlignment="1"/>
    <xf numFmtId="4" fontId="0" fillId="0" borderId="11" xfId="0" applyNumberFormat="1" applyBorder="1"/>
    <xf numFmtId="40" fontId="9" fillId="0" borderId="36" xfId="3" applyNumberFormat="1" applyFont="1" applyFill="1" applyBorder="1" applyAlignment="1"/>
    <xf numFmtId="166" fontId="8" fillId="0" borderId="8" xfId="2" applyNumberFormat="1" applyFont="1" applyBorder="1"/>
    <xf numFmtId="0" fontId="8" fillId="3" borderId="44" xfId="2" applyFont="1" applyFill="1" applyBorder="1" applyAlignment="1">
      <alignment horizontal="center"/>
    </xf>
    <xf numFmtId="1" fontId="9" fillId="9" borderId="5" xfId="2" applyNumberFormat="1" applyFont="1" applyFill="1" applyBorder="1" applyAlignment="1">
      <alignment horizontal="center"/>
    </xf>
    <xf numFmtId="40" fontId="9" fillId="9" borderId="5" xfId="3" applyNumberFormat="1" applyFont="1" applyFill="1" applyBorder="1" applyAlignment="1">
      <alignment horizontal="right"/>
    </xf>
    <xf numFmtId="43" fontId="9" fillId="9" borderId="5" xfId="3" applyFont="1" applyFill="1" applyBorder="1"/>
    <xf numFmtId="40" fontId="9" fillId="9" borderId="6" xfId="3" applyNumberFormat="1" applyFont="1" applyFill="1" applyBorder="1"/>
    <xf numFmtId="0" fontId="9" fillId="9" borderId="12" xfId="2" applyFont="1" applyFill="1" applyBorder="1" applyAlignment="1">
      <alignment horizontal="left" wrapText="1"/>
    </xf>
    <xf numFmtId="1" fontId="9" fillId="9" borderId="12" xfId="2" applyNumberFormat="1" applyFont="1" applyFill="1" applyBorder="1" applyAlignment="1">
      <alignment horizontal="center"/>
    </xf>
    <xf numFmtId="43" fontId="9" fillId="9" borderId="12" xfId="3" applyFont="1" applyFill="1" applyBorder="1"/>
    <xf numFmtId="40" fontId="9" fillId="9" borderId="34" xfId="3" applyNumberFormat="1" applyFont="1" applyFill="1" applyBorder="1"/>
    <xf numFmtId="0" fontId="8" fillId="3" borderId="35" xfId="2" applyFont="1" applyFill="1" applyBorder="1" applyAlignment="1">
      <alignment horizontal="center" vertical="center"/>
    </xf>
    <xf numFmtId="0" fontId="9" fillId="9" borderId="12" xfId="2" applyFont="1" applyFill="1" applyBorder="1" applyAlignment="1">
      <alignment horizontal="center" vertical="center" wrapText="1"/>
    </xf>
    <xf numFmtId="0" fontId="9" fillId="9" borderId="5" xfId="2" applyFont="1" applyFill="1" applyBorder="1" applyAlignment="1">
      <alignment horizontal="center" vertical="center" wrapText="1"/>
    </xf>
    <xf numFmtId="43" fontId="9" fillId="9" borderId="24" xfId="3" applyFont="1" applyFill="1" applyBorder="1"/>
    <xf numFmtId="0" fontId="8" fillId="2" borderId="11" xfId="2" applyFont="1" applyFill="1" applyBorder="1" applyAlignment="1">
      <alignment horizontal="left" vertical="center" wrapText="1"/>
    </xf>
    <xf numFmtId="0" fontId="8" fillId="2" borderId="5" xfId="2" applyFont="1" applyFill="1" applyBorder="1" applyAlignment="1">
      <alignment horizontal="left" vertical="center" wrapText="1"/>
    </xf>
    <xf numFmtId="0" fontId="8" fillId="2" borderId="5" xfId="2" quotePrefix="1" applyFont="1" applyFill="1" applyBorder="1" applyAlignment="1">
      <alignment horizontal="left" vertical="center" wrapText="1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left" vertical="center"/>
    </xf>
    <xf numFmtId="0" fontId="8" fillId="0" borderId="5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4" fontId="8" fillId="0" borderId="12" xfId="2" applyNumberFormat="1" applyFont="1" applyBorder="1"/>
    <xf numFmtId="4" fontId="8" fillId="0" borderId="12" xfId="2" applyNumberFormat="1" applyFont="1" applyBorder="1" applyAlignment="1">
      <alignment horizontal="right"/>
    </xf>
    <xf numFmtId="40" fontId="8" fillId="0" borderId="36" xfId="2" applyNumberFormat="1" applyFont="1" applyBorder="1"/>
    <xf numFmtId="4" fontId="8" fillId="2" borderId="13" xfId="2" applyNumberFormat="1" applyFont="1" applyFill="1" applyBorder="1"/>
    <xf numFmtId="4" fontId="8" fillId="2" borderId="13" xfId="2" applyNumberFormat="1" applyFont="1" applyFill="1" applyBorder="1" applyAlignment="1">
      <alignment horizontal="right"/>
    </xf>
    <xf numFmtId="167" fontId="0" fillId="0" borderId="0" xfId="0" applyNumberFormat="1"/>
    <xf numFmtId="0" fontId="8" fillId="0" borderId="13" xfId="2" applyFont="1" applyBorder="1"/>
    <xf numFmtId="166" fontId="8" fillId="0" borderId="13" xfId="2" applyNumberFormat="1" applyFont="1" applyBorder="1"/>
    <xf numFmtId="4" fontId="9" fillId="0" borderId="13" xfId="2" applyNumberFormat="1" applyFont="1" applyBorder="1" applyAlignment="1">
      <alignment horizontal="center"/>
    </xf>
    <xf numFmtId="0" fontId="8" fillId="0" borderId="44" xfId="2" applyFont="1" applyBorder="1" applyAlignment="1">
      <alignment horizontal="center"/>
    </xf>
    <xf numFmtId="0" fontId="9" fillId="0" borderId="45" xfId="2" applyFont="1" applyBorder="1" applyAlignment="1">
      <alignment horizontal="left" vertical="center" wrapText="1"/>
    </xf>
    <xf numFmtId="165" fontId="9" fillId="0" borderId="42" xfId="2" applyNumberFormat="1" applyFont="1" applyBorder="1"/>
    <xf numFmtId="1" fontId="9" fillId="0" borderId="42" xfId="2" applyNumberFormat="1" applyFont="1" applyBorder="1" applyAlignment="1">
      <alignment horizontal="center"/>
    </xf>
    <xf numFmtId="40" fontId="9" fillId="0" borderId="42" xfId="2" applyNumberFormat="1" applyFont="1" applyBorder="1" applyAlignment="1">
      <alignment horizontal="right"/>
    </xf>
    <xf numFmtId="4" fontId="9" fillId="0" borderId="42" xfId="2" applyNumberFormat="1" applyFont="1" applyBorder="1"/>
    <xf numFmtId="40" fontId="9" fillId="0" borderId="43" xfId="2" applyNumberFormat="1" applyFont="1" applyBorder="1"/>
    <xf numFmtId="3" fontId="9" fillId="3" borderId="2" xfId="2" applyNumberFormat="1" applyFont="1" applyFill="1" applyBorder="1" applyAlignment="1">
      <alignment horizontal="center"/>
    </xf>
    <xf numFmtId="40" fontId="9" fillId="3" borderId="2" xfId="2" applyNumberFormat="1" applyFont="1" applyFill="1" applyBorder="1" applyAlignment="1">
      <alignment horizontal="right"/>
    </xf>
    <xf numFmtId="4" fontId="9" fillId="3" borderId="2" xfId="2" applyNumberFormat="1" applyFont="1" applyFill="1" applyBorder="1"/>
    <xf numFmtId="40" fontId="9" fillId="3" borderId="3" xfId="2" applyNumberFormat="1" applyFont="1" applyFill="1" applyBorder="1"/>
    <xf numFmtId="1" fontId="9" fillId="9" borderId="5" xfId="3" applyNumberFormat="1" applyFont="1" applyFill="1" applyBorder="1" applyAlignment="1">
      <alignment horizontal="center"/>
    </xf>
    <xf numFmtId="43" fontId="9" fillId="9" borderId="5" xfId="3" applyFont="1" applyFill="1" applyBorder="1" applyAlignment="1">
      <alignment horizontal="center"/>
    </xf>
    <xf numFmtId="40" fontId="9" fillId="9" borderId="6" xfId="3" applyNumberFormat="1" applyFont="1" applyFill="1" applyBorder="1" applyAlignment="1">
      <alignment horizontal="center"/>
    </xf>
    <xf numFmtId="1" fontId="9" fillId="9" borderId="12" xfId="3" applyNumberFormat="1" applyFont="1" applyFill="1" applyBorder="1" applyAlignment="1">
      <alignment horizontal="center"/>
    </xf>
    <xf numFmtId="40" fontId="9" fillId="9" borderId="12" xfId="3" applyNumberFormat="1" applyFont="1" applyFill="1" applyBorder="1" applyAlignment="1">
      <alignment horizontal="right"/>
    </xf>
    <xf numFmtId="43" fontId="9" fillId="9" borderId="12" xfId="3" applyFont="1" applyFill="1" applyBorder="1" applyAlignment="1">
      <alignment horizontal="center"/>
    </xf>
    <xf numFmtId="40" fontId="9" fillId="9" borderId="34" xfId="3" applyNumberFormat="1" applyFont="1" applyFill="1" applyBorder="1" applyAlignment="1">
      <alignment horizontal="center"/>
    </xf>
    <xf numFmtId="0" fontId="8" fillId="2" borderId="39" xfId="2" applyFont="1" applyFill="1" applyBorder="1" applyAlignment="1">
      <alignment horizontal="center"/>
    </xf>
    <xf numFmtId="40" fontId="8" fillId="2" borderId="13" xfId="2" applyNumberFormat="1" applyFont="1" applyFill="1" applyBorder="1" applyAlignment="1">
      <alignment horizontal="right"/>
    </xf>
    <xf numFmtId="40" fontId="8" fillId="2" borderId="38" xfId="2" applyNumberFormat="1" applyFont="1" applyFill="1" applyBorder="1"/>
    <xf numFmtId="0" fontId="9" fillId="3" borderId="42" xfId="2" applyFont="1" applyFill="1" applyBorder="1" applyAlignment="1">
      <alignment horizontal="center"/>
    </xf>
    <xf numFmtId="40" fontId="9" fillId="3" borderId="42" xfId="2" applyNumberFormat="1" applyFont="1" applyFill="1" applyBorder="1" applyAlignment="1">
      <alignment horizontal="right"/>
    </xf>
    <xf numFmtId="4" fontId="9" fillId="3" borderId="42" xfId="2" applyNumberFormat="1" applyFont="1" applyFill="1" applyBorder="1"/>
    <xf numFmtId="40" fontId="9" fillId="3" borderId="43" xfId="2" applyNumberFormat="1" applyFont="1" applyFill="1" applyBorder="1"/>
    <xf numFmtId="0" fontId="8" fillId="3" borderId="7" xfId="2" applyFont="1" applyFill="1" applyBorder="1" applyAlignment="1">
      <alignment horizontal="center"/>
    </xf>
    <xf numFmtId="1" fontId="9" fillId="9" borderId="8" xfId="2" applyNumberFormat="1" applyFont="1" applyFill="1" applyBorder="1" applyAlignment="1">
      <alignment horizontal="center"/>
    </xf>
    <xf numFmtId="43" fontId="9" fillId="9" borderId="8" xfId="3" applyFont="1" applyFill="1" applyBorder="1" applyAlignment="1">
      <alignment horizontal="right"/>
    </xf>
    <xf numFmtId="43" fontId="9" fillId="9" borderId="8" xfId="3" applyFont="1" applyFill="1" applyBorder="1"/>
    <xf numFmtId="40" fontId="9" fillId="9" borderId="9" xfId="3" applyNumberFormat="1" applyFont="1" applyFill="1" applyBorder="1"/>
    <xf numFmtId="0" fontId="9" fillId="9" borderId="0" xfId="2" applyFont="1" applyFill="1" applyAlignment="1">
      <alignment horizontal="left" wrapText="1"/>
    </xf>
    <xf numFmtId="1" fontId="9" fillId="9" borderId="13" xfId="2" applyNumberFormat="1" applyFont="1" applyFill="1" applyBorder="1" applyAlignment="1">
      <alignment horizontal="center"/>
    </xf>
    <xf numFmtId="0" fontId="9" fillId="8" borderId="11" xfId="2" applyFont="1" applyFill="1" applyBorder="1" applyAlignment="1">
      <alignment horizontal="left" wrapText="1"/>
    </xf>
    <xf numFmtId="40" fontId="9" fillId="8" borderId="11" xfId="3" applyNumberFormat="1" applyFont="1" applyFill="1" applyBorder="1" applyAlignment="1">
      <alignment horizontal="right"/>
    </xf>
    <xf numFmtId="0" fontId="9" fillId="3" borderId="32" xfId="2" applyFont="1" applyFill="1" applyBorder="1" applyAlignment="1">
      <alignment horizontal="left" wrapText="1"/>
    </xf>
    <xf numFmtId="0" fontId="8" fillId="3" borderId="39" xfId="2" applyFont="1" applyFill="1" applyBorder="1" applyAlignment="1">
      <alignment horizontal="center"/>
    </xf>
    <xf numFmtId="1" fontId="9" fillId="9" borderId="13" xfId="3" applyNumberFormat="1" applyFont="1" applyFill="1" applyBorder="1" applyAlignment="1">
      <alignment horizontal="center"/>
    </xf>
    <xf numFmtId="40" fontId="9" fillId="9" borderId="13" xfId="3" applyNumberFormat="1" applyFont="1" applyFill="1" applyBorder="1" applyAlignment="1">
      <alignment horizontal="right"/>
    </xf>
    <xf numFmtId="43" fontId="9" fillId="9" borderId="13" xfId="3" applyFont="1" applyFill="1" applyBorder="1"/>
    <xf numFmtId="40" fontId="9" fillId="9" borderId="38" xfId="3" applyNumberFormat="1" applyFont="1" applyFill="1" applyBorder="1"/>
    <xf numFmtId="0" fontId="9" fillId="9" borderId="5" xfId="2" applyFont="1" applyFill="1" applyBorder="1" applyAlignment="1">
      <alignment horizontal="left" wrapText="1"/>
    </xf>
    <xf numFmtId="0" fontId="9" fillId="9" borderId="22" xfId="2" applyFont="1" applyFill="1" applyBorder="1" applyAlignment="1">
      <alignment horizontal="left" wrapText="1"/>
    </xf>
    <xf numFmtId="0" fontId="9" fillId="3" borderId="2" xfId="2" applyFont="1" applyFill="1" applyBorder="1" applyAlignment="1">
      <alignment horizontal="left" wrapText="1"/>
    </xf>
    <xf numFmtId="3" fontId="0" fillId="2" borderId="0" xfId="1" applyNumberFormat="1" applyFont="1" applyFill="1"/>
    <xf numFmtId="0" fontId="8" fillId="2" borderId="5" xfId="2" quotePrefix="1" applyFont="1" applyFill="1" applyBorder="1" applyAlignment="1">
      <alignment horizontal="left" wrapText="1"/>
    </xf>
    <xf numFmtId="3" fontId="22" fillId="2" borderId="0" xfId="0" applyNumberFormat="1" applyFont="1" applyFill="1"/>
    <xf numFmtId="0" fontId="0" fillId="0" borderId="46" xfId="0" applyBorder="1"/>
    <xf numFmtId="44" fontId="2" fillId="3" borderId="8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0" fillId="0" borderId="8" xfId="1" applyFont="1" applyFill="1" applyBorder="1" applyAlignment="1">
      <alignment horizontal="center" vertical="center" wrapText="1"/>
    </xf>
    <xf numFmtId="44" fontId="0" fillId="0" borderId="3" xfId="1" applyFont="1" applyFill="1" applyBorder="1" applyAlignment="1">
      <alignment horizontal="center" vertical="center"/>
    </xf>
    <xf numFmtId="44" fontId="0" fillId="0" borderId="13" xfId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49" fontId="0" fillId="0" borderId="0" xfId="1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4" fontId="0" fillId="0" borderId="21" xfId="1" applyFont="1" applyBorder="1" applyAlignment="1">
      <alignment vertical="center"/>
    </xf>
    <xf numFmtId="49" fontId="0" fillId="0" borderId="21" xfId="1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 wrapText="1"/>
    </xf>
    <xf numFmtId="44" fontId="0" fillId="0" borderId="11" xfId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44" fontId="26" fillId="0" borderId="5" xfId="2" applyNumberFormat="1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26" fillId="0" borderId="5" xfId="2" applyFont="1" applyFill="1" applyBorder="1" applyAlignment="1">
      <alignment horizontal="center" vertical="center"/>
    </xf>
    <xf numFmtId="44" fontId="0" fillId="0" borderId="5" xfId="0" applyNumberFormat="1" applyFill="1" applyBorder="1" applyAlignment="1">
      <alignment vertical="center"/>
    </xf>
    <xf numFmtId="44" fontId="0" fillId="0" borderId="5" xfId="0" applyNumberFormat="1" applyFill="1" applyBorder="1"/>
    <xf numFmtId="44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44" fontId="0" fillId="0" borderId="13" xfId="0" applyNumberForma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4" fontId="0" fillId="0" borderId="0" xfId="1" applyFont="1" applyFill="1" applyAlignment="1">
      <alignment horizontal="center" vertical="center"/>
    </xf>
    <xf numFmtId="44" fontId="0" fillId="0" borderId="0" xfId="1" applyFont="1" applyFill="1" applyAlignment="1">
      <alignment vertical="center"/>
    </xf>
    <xf numFmtId="49" fontId="0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44" fontId="0" fillId="0" borderId="0" xfId="1" applyFont="1" applyFill="1"/>
    <xf numFmtId="44" fontId="0" fillId="0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5" xfId="2" applyFont="1" applyFill="1" applyBorder="1" applyAlignment="1">
      <alignment horizontal="left" wrapText="1"/>
    </xf>
    <xf numFmtId="165" fontId="8" fillId="0" borderId="5" xfId="2" applyNumberFormat="1" applyFont="1" applyFill="1" applyBorder="1"/>
    <xf numFmtId="0" fontId="7" fillId="0" borderId="5" xfId="2" applyFill="1" applyBorder="1" applyAlignment="1">
      <alignment horizontal="center" vertical="center"/>
    </xf>
    <xf numFmtId="44" fontId="0" fillId="0" borderId="26" xfId="1" applyFont="1" applyFill="1" applyBorder="1" applyAlignment="1">
      <alignment horizontal="center" vertical="center" wrapText="1"/>
    </xf>
    <xf numFmtId="44" fontId="0" fillId="0" borderId="19" xfId="1" applyFont="1" applyFill="1" applyBorder="1" applyAlignment="1">
      <alignment horizontal="center" vertical="center" wrapText="1"/>
    </xf>
    <xf numFmtId="44" fontId="0" fillId="0" borderId="23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wrapText="1"/>
    </xf>
    <xf numFmtId="165" fontId="8" fillId="0" borderId="2" xfId="2" applyNumberFormat="1" applyFont="1" applyFill="1" applyBorder="1"/>
    <xf numFmtId="0" fontId="7" fillId="0" borderId="2" xfId="2" applyFill="1" applyBorder="1" applyAlignment="1">
      <alignment horizontal="center" vertical="center"/>
    </xf>
    <xf numFmtId="0" fontId="8" fillId="0" borderId="8" xfId="2" applyFont="1" applyFill="1" applyBorder="1" applyAlignment="1">
      <alignment horizontal="left" wrapText="1"/>
    </xf>
    <xf numFmtId="165" fontId="8" fillId="0" borderId="8" xfId="2" applyNumberFormat="1" applyFont="1" applyFill="1" applyBorder="1"/>
    <xf numFmtId="0" fontId="7" fillId="0" borderId="8" xfId="2" applyFill="1" applyBorder="1" applyAlignment="1">
      <alignment horizontal="center" vertical="center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44" fontId="26" fillId="0" borderId="2" xfId="2" applyNumberFormat="1" applyFont="1" applyFill="1" applyBorder="1" applyAlignment="1">
      <alignment vertical="center"/>
    </xf>
    <xf numFmtId="0" fontId="26" fillId="0" borderId="2" xfId="2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44" fontId="26" fillId="0" borderId="8" xfId="2" applyNumberFormat="1" applyFont="1" applyFill="1" applyBorder="1" applyAlignment="1">
      <alignment vertical="center"/>
    </xf>
    <xf numFmtId="0" fontId="26" fillId="0" borderId="8" xfId="2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4" xfId="2" applyFont="1" applyFill="1" applyBorder="1" applyAlignment="1">
      <alignment horizontal="center"/>
    </xf>
    <xf numFmtId="4" fontId="8" fillId="0" borderId="5" xfId="2" applyNumberFormat="1" applyFont="1" applyFill="1" applyBorder="1"/>
    <xf numFmtId="4" fontId="8" fillId="0" borderId="6" xfId="2" applyNumberFormat="1" applyFont="1" applyFill="1" applyBorder="1"/>
    <xf numFmtId="4" fontId="0" fillId="0" borderId="0" xfId="0" applyNumberFormat="1" applyFill="1"/>
    <xf numFmtId="40" fontId="0" fillId="0" borderId="0" xfId="0" applyNumberFormat="1" applyBorder="1"/>
    <xf numFmtId="0" fontId="8" fillId="0" borderId="5" xfId="2" applyFont="1" applyFill="1" applyBorder="1" applyAlignment="1">
      <alignment horizontal="center" vertical="center"/>
    </xf>
    <xf numFmtId="4" fontId="8" fillId="0" borderId="5" xfId="2" applyNumberFormat="1" applyFont="1" applyFill="1" applyBorder="1" applyAlignment="1">
      <alignment horizontal="right"/>
    </xf>
    <xf numFmtId="4" fontId="0" fillId="0" borderId="0" xfId="1" applyNumberFormat="1" applyFont="1" applyFill="1"/>
    <xf numFmtId="0" fontId="8" fillId="0" borderId="39" xfId="2" applyFont="1" applyFill="1" applyBorder="1" applyAlignment="1">
      <alignment horizontal="center"/>
    </xf>
    <xf numFmtId="165" fontId="8" fillId="0" borderId="13" xfId="2" applyNumberFormat="1" applyFont="1" applyFill="1" applyBorder="1"/>
    <xf numFmtId="0" fontId="8" fillId="0" borderId="5" xfId="2" applyFont="1" applyFill="1" applyBorder="1" applyAlignment="1">
      <alignment horizontal="left"/>
    </xf>
    <xf numFmtId="40" fontId="0" fillId="0" borderId="0" xfId="0" applyNumberFormat="1" applyFill="1"/>
    <xf numFmtId="0" fontId="8" fillId="0" borderId="11" xfId="2" applyFont="1" applyFill="1" applyBorder="1" applyAlignment="1">
      <alignment horizontal="left" wrapText="1"/>
    </xf>
    <xf numFmtId="165" fontId="8" fillId="0" borderId="11" xfId="2" applyNumberFormat="1" applyFont="1" applyFill="1" applyBorder="1"/>
    <xf numFmtId="4" fontId="8" fillId="0" borderId="6" xfId="2" applyNumberFormat="1" applyFont="1" applyFill="1" applyBorder="1" applyAlignment="1">
      <alignment horizontal="right"/>
    </xf>
    <xf numFmtId="167" fontId="0" fillId="0" borderId="0" xfId="0" applyNumberFormat="1" applyFill="1"/>
    <xf numFmtId="0" fontId="8" fillId="0" borderId="5" xfId="2" applyFont="1" applyFill="1" applyBorder="1" applyAlignment="1">
      <alignment horizontal="left" vertical="center" wrapText="1"/>
    </xf>
    <xf numFmtId="0" fontId="8" fillId="0" borderId="5" xfId="2" applyFont="1" applyFill="1" applyBorder="1" applyAlignment="1">
      <alignment horizontal="left" vertical="center"/>
    </xf>
    <xf numFmtId="0" fontId="8" fillId="0" borderId="11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44" fontId="0" fillId="0" borderId="2" xfId="0" applyNumberFormat="1" applyFill="1" applyBorder="1" applyAlignment="1">
      <alignment vertical="center"/>
    </xf>
    <xf numFmtId="44" fontId="0" fillId="0" borderId="8" xfId="0" applyNumberFormat="1" applyFill="1" applyBorder="1" applyAlignment="1">
      <alignment vertical="center"/>
    </xf>
    <xf numFmtId="0" fontId="0" fillId="0" borderId="48" xfId="0" applyFill="1" applyBorder="1" applyAlignment="1">
      <alignment horizontal="center" vertical="center" wrapText="1"/>
    </xf>
    <xf numFmtId="0" fontId="0" fillId="2" borderId="0" xfId="0" applyFill="1" applyBorder="1"/>
    <xf numFmtId="4" fontId="8" fillId="7" borderId="5" xfId="2" applyNumberFormat="1" applyFont="1" applyFill="1" applyBorder="1"/>
    <xf numFmtId="44" fontId="0" fillId="0" borderId="37" xfId="1" applyFont="1" applyFill="1" applyBorder="1" applyAlignment="1">
      <alignment horizontal="center" vertical="center" wrapText="1"/>
    </xf>
    <xf numFmtId="44" fontId="0" fillId="0" borderId="50" xfId="1" applyFont="1" applyFill="1" applyBorder="1" applyAlignment="1">
      <alignment horizontal="center" vertical="center" wrapText="1"/>
    </xf>
    <xf numFmtId="4" fontId="7" fillId="0" borderId="5" xfId="2" applyNumberFormat="1" applyFont="1" applyFill="1" applyBorder="1"/>
    <xf numFmtId="0" fontId="8" fillId="0" borderId="5" xfId="2" applyFont="1" applyFill="1" applyBorder="1" applyAlignment="1">
      <alignment horizontal="center"/>
    </xf>
    <xf numFmtId="0" fontId="8" fillId="0" borderId="5" xfId="2" quotePrefix="1" applyFont="1" applyFill="1" applyBorder="1" applyAlignment="1">
      <alignment horizontal="left" wrapText="1"/>
    </xf>
    <xf numFmtId="4" fontId="0" fillId="0" borderId="0" xfId="0" applyNumberFormat="1" applyAlignment="1">
      <alignment vertical="center"/>
    </xf>
    <xf numFmtId="4" fontId="6" fillId="0" borderId="0" xfId="0" applyNumberFormat="1" applyFont="1" applyAlignment="1">
      <alignment vertical="center" wrapText="1"/>
    </xf>
    <xf numFmtId="4" fontId="0" fillId="0" borderId="21" xfId="1" applyNumberFormat="1" applyFont="1" applyBorder="1" applyAlignment="1">
      <alignment vertical="center"/>
    </xf>
    <xf numFmtId="4" fontId="2" fillId="3" borderId="8" xfId="1" applyNumberFormat="1" applyFont="1" applyFill="1" applyBorder="1" applyAlignment="1">
      <alignment horizontal="center" vertical="center"/>
    </xf>
    <xf numFmtId="4" fontId="0" fillId="0" borderId="0" xfId="1" applyNumberFormat="1" applyFont="1" applyFill="1" applyAlignment="1">
      <alignment vertical="center"/>
    </xf>
    <xf numFmtId="4" fontId="0" fillId="0" borderId="0" xfId="1" applyNumberFormat="1" applyFont="1" applyAlignment="1">
      <alignment vertical="center"/>
    </xf>
    <xf numFmtId="4" fontId="0" fillId="0" borderId="2" xfId="1" applyNumberFormat="1" applyFont="1" applyFill="1" applyBorder="1" applyAlignment="1">
      <alignment vertical="center" wrapText="1"/>
    </xf>
    <xf numFmtId="4" fontId="0" fillId="0" borderId="5" xfId="1" applyNumberFormat="1" applyFont="1" applyFill="1" applyBorder="1" applyAlignment="1">
      <alignment vertical="center" wrapText="1"/>
    </xf>
    <xf numFmtId="4" fontId="0" fillId="0" borderId="8" xfId="1" applyNumberFormat="1" applyFont="1" applyFill="1" applyBorder="1" applyAlignment="1">
      <alignment vertical="center" wrapText="1"/>
    </xf>
    <xf numFmtId="4" fontId="8" fillId="0" borderId="2" xfId="2" applyNumberFormat="1" applyFont="1" applyFill="1" applyBorder="1" applyAlignment="1"/>
    <xf numFmtId="4" fontId="8" fillId="0" borderId="5" xfId="2" applyNumberFormat="1" applyFont="1" applyFill="1" applyBorder="1" applyAlignment="1"/>
    <xf numFmtId="4" fontId="8" fillId="0" borderId="8" xfId="2" applyNumberFormat="1" applyFont="1" applyFill="1" applyBorder="1" applyAlignment="1"/>
    <xf numFmtId="4" fontId="0" fillId="0" borderId="13" xfId="1" applyNumberFormat="1" applyFont="1" applyFill="1" applyBorder="1" applyAlignment="1">
      <alignment vertical="center" wrapText="1"/>
    </xf>
    <xf numFmtId="44" fontId="0" fillId="0" borderId="20" xfId="0" applyNumberForma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4" fontId="0" fillId="0" borderId="20" xfId="1" applyNumberFormat="1" applyFont="1" applyFill="1" applyBorder="1" applyAlignment="1">
      <alignment vertical="center" wrapText="1"/>
    </xf>
    <xf numFmtId="0" fontId="0" fillId="0" borderId="20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55" xfId="0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49" xfId="0" applyFill="1" applyBorder="1" applyAlignment="1">
      <alignment horizontal="center" vertical="center" wrapText="1"/>
    </xf>
    <xf numFmtId="44" fontId="0" fillId="0" borderId="58" xfId="1" applyFont="1" applyFill="1" applyBorder="1" applyAlignment="1">
      <alignment horizontal="center" vertical="center"/>
    </xf>
    <xf numFmtId="4" fontId="0" fillId="0" borderId="3" xfId="1" applyNumberFormat="1" applyFont="1" applyFill="1" applyBorder="1" applyAlignment="1">
      <alignment vertical="center" wrapText="1"/>
    </xf>
    <xf numFmtId="4" fontId="0" fillId="0" borderId="6" xfId="1" applyNumberFormat="1" applyFont="1" applyFill="1" applyBorder="1" applyAlignment="1">
      <alignment vertical="center" wrapText="1"/>
    </xf>
    <xf numFmtId="4" fontId="0" fillId="0" borderId="9" xfId="1" applyNumberFormat="1" applyFont="1" applyFill="1" applyBorder="1" applyAlignment="1">
      <alignment vertical="center" wrapText="1"/>
    </xf>
    <xf numFmtId="4" fontId="0" fillId="0" borderId="51" xfId="1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8" fillId="0" borderId="20" xfId="2" applyFont="1" applyFill="1" applyBorder="1" applyAlignment="1">
      <alignment horizontal="left" wrapText="1"/>
    </xf>
    <xf numFmtId="4" fontId="8" fillId="0" borderId="20" xfId="2" applyNumberFormat="1" applyFont="1" applyFill="1" applyBorder="1" applyAlignment="1"/>
    <xf numFmtId="4" fontId="0" fillId="0" borderId="11" xfId="1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2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5" borderId="28" xfId="2" applyFont="1" applyFill="1" applyBorder="1" applyAlignment="1">
      <alignment horizontal="center" vertical="center"/>
    </xf>
    <xf numFmtId="0" fontId="12" fillId="5" borderId="29" xfId="2" applyFont="1" applyFill="1" applyBorder="1" applyAlignment="1">
      <alignment horizontal="center" vertical="center"/>
    </xf>
    <xf numFmtId="0" fontId="12" fillId="5" borderId="30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0" fontId="9" fillId="3" borderId="2" xfId="2" applyNumberFormat="1" applyFont="1" applyFill="1" applyBorder="1" applyAlignment="1">
      <alignment horizontal="center" vertical="center" wrapText="1"/>
    </xf>
    <xf numFmtId="40" fontId="9" fillId="3" borderId="5" xfId="2" applyNumberFormat="1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wrapText="1"/>
    </xf>
    <xf numFmtId="0" fontId="9" fillId="3" borderId="3" xfId="2" applyFont="1" applyFill="1" applyBorder="1" applyAlignment="1">
      <alignment horizontal="center" wrapText="1"/>
    </xf>
    <xf numFmtId="0" fontId="9" fillId="9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left" wrapText="1"/>
    </xf>
    <xf numFmtId="0" fontId="9" fillId="9" borderId="5" xfId="2" applyFont="1" applyFill="1" applyBorder="1" applyAlignment="1">
      <alignment horizontal="center" vertical="center" wrapText="1"/>
    </xf>
    <xf numFmtId="0" fontId="9" fillId="0" borderId="11" xfId="2" applyFont="1" applyBorder="1" applyAlignment="1">
      <alignment horizontal="center" wrapText="1"/>
    </xf>
    <xf numFmtId="0" fontId="9" fillId="3" borderId="2" xfId="2" applyFont="1" applyFill="1" applyBorder="1" applyAlignment="1">
      <alignment horizontal="left" wrapText="1"/>
    </xf>
    <xf numFmtId="0" fontId="20" fillId="9" borderId="5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wrapText="1"/>
    </xf>
    <xf numFmtId="0" fontId="9" fillId="2" borderId="11" xfId="2" applyFont="1" applyFill="1" applyBorder="1" applyAlignment="1">
      <alignment horizontal="center" wrapText="1"/>
    </xf>
    <xf numFmtId="0" fontId="9" fillId="3" borderId="25" xfId="2" applyFont="1" applyFill="1" applyBorder="1" applyAlignment="1">
      <alignment horizontal="left" vertical="center" wrapText="1"/>
    </xf>
    <xf numFmtId="0" fontId="9" fillId="3" borderId="26" xfId="2" applyFont="1" applyFill="1" applyBorder="1" applyAlignment="1">
      <alignment horizontal="left" vertical="center" wrapText="1"/>
    </xf>
    <xf numFmtId="0" fontId="9" fillId="9" borderId="22" xfId="2" applyFont="1" applyFill="1" applyBorder="1" applyAlignment="1">
      <alignment horizontal="center" vertical="center" wrapText="1"/>
    </xf>
    <xf numFmtId="0" fontId="9" fillId="9" borderId="23" xfId="2" applyFont="1" applyFill="1" applyBorder="1" applyAlignment="1">
      <alignment horizontal="center" vertical="center" wrapText="1"/>
    </xf>
    <xf numFmtId="0" fontId="9" fillId="9" borderId="13" xfId="2" applyFont="1" applyFill="1" applyBorder="1" applyAlignment="1">
      <alignment horizontal="left" wrapText="1"/>
    </xf>
    <xf numFmtId="0" fontId="9" fillId="3" borderId="15" xfId="2" applyFont="1" applyFill="1" applyBorder="1" applyAlignment="1">
      <alignment horizontal="left" wrapText="1"/>
    </xf>
    <xf numFmtId="0" fontId="9" fillId="3" borderId="16" xfId="2" applyFont="1" applyFill="1" applyBorder="1" applyAlignment="1">
      <alignment horizontal="left" wrapText="1"/>
    </xf>
    <xf numFmtId="0" fontId="9" fillId="9" borderId="5" xfId="2" applyFont="1" applyFill="1" applyBorder="1" applyAlignment="1">
      <alignment horizontal="left" wrapText="1"/>
    </xf>
    <xf numFmtId="0" fontId="9" fillId="3" borderId="25" xfId="2" applyFont="1" applyFill="1" applyBorder="1" applyAlignment="1">
      <alignment horizontal="left" vertical="center"/>
    </xf>
    <xf numFmtId="0" fontId="9" fillId="3" borderId="26" xfId="2" applyFont="1" applyFill="1" applyBorder="1" applyAlignment="1">
      <alignment horizontal="left" vertical="center"/>
    </xf>
    <xf numFmtId="0" fontId="9" fillId="9" borderId="8" xfId="2" applyFont="1" applyFill="1" applyBorder="1" applyAlignment="1">
      <alignment horizontal="left" wrapText="1"/>
    </xf>
  </cellXfs>
  <cellStyles count="8">
    <cellStyle name="Millares" xfId="3" builtinId="3"/>
    <cellStyle name="Moneda" xfId="1" builtinId="4"/>
    <cellStyle name="Moneda 2 2" xfId="6" xr:uid="{00000000-0005-0000-0000-000002000000}"/>
    <cellStyle name="Normal" xfId="0" builtinId="0"/>
    <cellStyle name="Normal 10" xfId="7" xr:uid="{00000000-0005-0000-0000-000004000000}"/>
    <cellStyle name="Normal 2" xfId="2" xr:uid="{00000000-0005-0000-0000-000005000000}"/>
    <cellStyle name="Normal 4" xfId="4" xr:uid="{00000000-0005-0000-0000-000006000000}"/>
    <cellStyle name="Normal 5 2 2" xfId="5" xr:uid="{00000000-0005-0000-0000-000007000000}"/>
  </cellStyles>
  <dxfs count="0"/>
  <tableStyles count="0" defaultTableStyle="TableStyleMedium2" defaultPivotStyle="PivotStyleLight16"/>
  <colors>
    <mruColors>
      <color rgb="FF00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100516</xdr:colOff>
      <xdr:row>0</xdr:row>
      <xdr:rowOff>79686</xdr:rowOff>
    </xdr:from>
    <xdr:to>
      <xdr:col>3</xdr:col>
      <xdr:colOff>1872006</xdr:colOff>
      <xdr:row>5</xdr:row>
      <xdr:rowOff>65295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91016" y="79686"/>
          <a:ext cx="3845823" cy="938109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571501</xdr:colOff>
      <xdr:row>0</xdr:row>
      <xdr:rowOff>119063</xdr:rowOff>
    </xdr:from>
    <xdr:to>
      <xdr:col>11</xdr:col>
      <xdr:colOff>378572</xdr:colOff>
      <xdr:row>6</xdr:row>
      <xdr:rowOff>83344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209C3F-8094-4057-AE12-68B1D92C2D5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687" b="89296"/>
        <a:stretch/>
      </xdr:blipFill>
      <xdr:spPr bwMode="auto">
        <a:xfrm>
          <a:off x="5917407" y="119063"/>
          <a:ext cx="3860007" cy="11072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257735</xdr:colOff>
      <xdr:row>0</xdr:row>
      <xdr:rowOff>179294</xdr:rowOff>
    </xdr:from>
    <xdr:to>
      <xdr:col>4</xdr:col>
      <xdr:colOff>698687</xdr:colOff>
      <xdr:row>11</xdr:row>
      <xdr:rowOff>50872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74" t="12947" r="5714" b="16901"/>
        <a:stretch>
          <a:fillRect/>
        </a:stretch>
      </xdr:blipFill>
      <xdr:spPr bwMode="auto">
        <a:xfrm>
          <a:off x="1048310" y="0"/>
          <a:ext cx="3727077" cy="900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195"/>
  <sheetViews>
    <sheetView tabSelected="1" zoomScale="110" zoomScaleNormal="110" zoomScaleSheetLayoutView="40" zoomScalePageLayoutView="85" workbookViewId="0">
      <selection activeCell="H12" sqref="H12"/>
    </sheetView>
  </sheetViews>
  <sheetFormatPr baseColWidth="10" defaultRowHeight="15" x14ac:dyDescent="0.25"/>
  <cols>
    <col min="1" max="1" width="2.85546875" customWidth="1"/>
    <col min="2" max="2" width="6" customWidth="1"/>
    <col min="3" max="3" width="25.140625" style="8" customWidth="1"/>
    <col min="4" max="4" width="36.85546875" style="2" customWidth="1"/>
    <col min="5" max="5" width="11.42578125" style="9" customWidth="1"/>
    <col min="6" max="6" width="8.85546875" style="8" customWidth="1"/>
    <col min="7" max="7" width="14.42578125" style="484" customWidth="1"/>
    <col min="8" max="8" width="8" style="8" bestFit="1" customWidth="1"/>
    <col min="9" max="9" width="14.5703125" style="484" customWidth="1"/>
    <col min="10" max="10" width="8" style="397" bestFit="1" customWidth="1"/>
    <col min="11" max="11" width="6.85546875" style="396" bestFit="1" customWidth="1"/>
    <col min="12" max="12" width="8" style="8" bestFit="1" customWidth="1"/>
    <col min="13" max="13" width="6.85546875" style="396" bestFit="1" customWidth="1"/>
    <col min="14" max="14" width="8" style="8" bestFit="1" customWidth="1"/>
    <col min="15" max="15" width="6.85546875" style="396" bestFit="1" customWidth="1"/>
    <col min="16" max="16" width="8" style="4" bestFit="1" customWidth="1"/>
    <col min="17" max="17" width="6.85546875" style="3" bestFit="1" customWidth="1"/>
    <col min="18" max="18" width="8" style="4" bestFit="1" customWidth="1"/>
    <col min="19" max="19" width="6.85546875" style="3" bestFit="1" customWidth="1"/>
    <col min="20" max="20" width="8" style="4" bestFit="1" customWidth="1"/>
    <col min="21" max="21" width="6.85546875" style="3" bestFit="1" customWidth="1"/>
    <col min="22" max="22" width="8" style="4" bestFit="1" customWidth="1"/>
    <col min="23" max="23" width="6.85546875" style="3" bestFit="1" customWidth="1"/>
    <col min="24" max="24" width="8" style="4" bestFit="1" customWidth="1"/>
    <col min="25" max="25" width="6.85546875" style="3" bestFit="1" customWidth="1"/>
    <col min="26" max="26" width="8" style="4" bestFit="1" customWidth="1"/>
    <col min="27" max="27" width="6.85546875" style="3" bestFit="1" customWidth="1"/>
    <col min="28" max="28" width="8" style="4" bestFit="1" customWidth="1"/>
    <col min="29" max="29" width="6.85546875" style="3" bestFit="1" customWidth="1"/>
    <col min="30" max="30" width="14" hidden="1" customWidth="1"/>
    <col min="31" max="31" width="15.28515625" hidden="1" customWidth="1"/>
    <col min="32" max="32" width="14" hidden="1" customWidth="1"/>
    <col min="33" max="33" width="15.28515625" hidden="1" customWidth="1"/>
    <col min="34" max="34" width="14" hidden="1" customWidth="1"/>
    <col min="35" max="35" width="15.28515625" hidden="1" customWidth="1"/>
    <col min="36" max="36" width="14" hidden="1" customWidth="1"/>
    <col min="37" max="37" width="15.28515625" hidden="1" customWidth="1"/>
    <col min="38" max="38" width="16.7109375" hidden="1" customWidth="1"/>
    <col min="39" max="43" width="14.85546875" hidden="1" customWidth="1"/>
    <col min="44" max="44" width="14" style="3" hidden="1" customWidth="1"/>
    <col min="45" max="45" width="14.42578125" style="3" hidden="1" customWidth="1"/>
    <col min="46" max="46" width="12.42578125" style="3" hidden="1" customWidth="1"/>
    <col min="47" max="47" width="17.85546875" hidden="1" customWidth="1"/>
    <col min="49" max="49" width="16" customWidth="1"/>
    <col min="50" max="51" width="13" bestFit="1" customWidth="1"/>
  </cols>
  <sheetData>
    <row r="1" spans="2:47" x14ac:dyDescent="0.25">
      <c r="D1" s="8"/>
      <c r="E1" s="8"/>
      <c r="F1" s="395"/>
      <c r="G1" s="479"/>
      <c r="H1" s="395"/>
    </row>
    <row r="2" spans="2:47" x14ac:dyDescent="0.25">
      <c r="D2" s="8"/>
      <c r="E2" s="8"/>
      <c r="F2" s="395"/>
      <c r="G2" s="479"/>
      <c r="H2" s="395"/>
    </row>
    <row r="3" spans="2:47" x14ac:dyDescent="0.25">
      <c r="D3" s="8"/>
      <c r="E3" s="8"/>
      <c r="F3" s="395"/>
      <c r="G3" s="479"/>
      <c r="H3" s="395"/>
    </row>
    <row r="4" spans="2:47" x14ac:dyDescent="0.25">
      <c r="D4" s="8"/>
      <c r="E4" s="8"/>
      <c r="F4" s="395"/>
      <c r="G4" s="479"/>
      <c r="H4" s="395"/>
    </row>
    <row r="5" spans="2:47" x14ac:dyDescent="0.25">
      <c r="D5" s="8"/>
      <c r="E5" s="8"/>
      <c r="F5" s="395"/>
      <c r="G5" s="479"/>
      <c r="H5" s="395"/>
    </row>
    <row r="6" spans="2:47" x14ac:dyDescent="0.25">
      <c r="D6" s="8"/>
      <c r="E6" s="8"/>
      <c r="F6" s="395"/>
      <c r="G6" s="479"/>
      <c r="H6" s="395"/>
    </row>
    <row r="7" spans="2:47" ht="26.25" x14ac:dyDescent="0.25">
      <c r="B7" s="556" t="s">
        <v>27</v>
      </c>
      <c r="C7" s="556"/>
      <c r="D7" s="556"/>
      <c r="E7" s="8"/>
      <c r="F7" s="395"/>
      <c r="G7" s="479"/>
      <c r="H7" s="395"/>
    </row>
    <row r="8" spans="2:47" ht="18.75" customHeight="1" x14ac:dyDescent="0.25">
      <c r="B8" s="557" t="s">
        <v>28</v>
      </c>
      <c r="C8" s="557"/>
      <c r="D8" s="557"/>
      <c r="E8" s="557"/>
      <c r="F8" s="557"/>
      <c r="G8" s="480"/>
      <c r="H8" s="398"/>
    </row>
    <row r="9" spans="2:47" ht="23.25" customHeight="1" x14ac:dyDescent="0.25">
      <c r="B9" s="500" t="s">
        <v>29</v>
      </c>
      <c r="C9" s="500"/>
      <c r="D9" s="500"/>
      <c r="E9" s="500"/>
      <c r="F9" s="500"/>
      <c r="G9" s="479"/>
      <c r="H9" s="395"/>
    </row>
    <row r="10" spans="2:47" ht="18.75" customHeight="1" x14ac:dyDescent="0.25">
      <c r="B10" s="558" t="s">
        <v>32</v>
      </c>
      <c r="C10" s="558"/>
      <c r="D10" s="558"/>
      <c r="E10" s="8"/>
      <c r="F10" s="395"/>
      <c r="G10" s="479"/>
      <c r="H10" s="395"/>
    </row>
    <row r="11" spans="2:47" ht="18.75" customHeight="1" x14ac:dyDescent="0.25">
      <c r="B11" s="558" t="s">
        <v>150</v>
      </c>
      <c r="C11" s="558"/>
      <c r="D11" s="558"/>
      <c r="E11" s="558"/>
      <c r="F11" s="558"/>
      <c r="G11" s="479"/>
      <c r="H11" s="395"/>
    </row>
    <row r="12" spans="2:47" ht="18.75" customHeight="1" x14ac:dyDescent="0.25">
      <c r="B12" s="559" t="s">
        <v>155</v>
      </c>
      <c r="C12" s="559"/>
      <c r="D12" s="559"/>
      <c r="E12" s="8"/>
      <c r="F12" s="395"/>
      <c r="G12" s="479"/>
      <c r="H12" s="395"/>
    </row>
    <row r="13" spans="2:47" ht="15.75" customHeight="1" thickBot="1" x14ac:dyDescent="0.3">
      <c r="B13" s="10"/>
      <c r="C13" s="11"/>
      <c r="D13" s="12"/>
      <c r="E13" s="13"/>
      <c r="F13" s="11"/>
      <c r="G13" s="481"/>
      <c r="H13" s="11"/>
      <c r="I13" s="481"/>
      <c r="J13" s="400"/>
      <c r="K13" s="399"/>
      <c r="L13" s="11"/>
      <c r="M13" s="399"/>
      <c r="N13" s="11"/>
      <c r="O13" s="399"/>
      <c r="P13" s="14"/>
      <c r="Q13" s="15"/>
      <c r="R13" s="14"/>
      <c r="S13" s="15"/>
      <c r="T13" s="14"/>
      <c r="U13" s="15"/>
      <c r="V13" s="14"/>
      <c r="W13" s="15"/>
      <c r="X13" s="14"/>
      <c r="Y13" s="15"/>
      <c r="Z13" s="14"/>
      <c r="AA13" s="15"/>
      <c r="AB13" s="14"/>
      <c r="AC13" s="15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5"/>
      <c r="AS13" s="15"/>
      <c r="AT13" s="15"/>
      <c r="AU13" s="10"/>
    </row>
    <row r="14" spans="2:47" s="5" customFormat="1" ht="15.75" customHeight="1" x14ac:dyDescent="0.25">
      <c r="B14" s="562" t="s">
        <v>0</v>
      </c>
      <c r="C14" s="542" t="s">
        <v>1</v>
      </c>
      <c r="D14" s="565" t="s">
        <v>2</v>
      </c>
      <c r="E14" s="568" t="s">
        <v>3</v>
      </c>
      <c r="F14" s="571" t="s">
        <v>4</v>
      </c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3"/>
      <c r="AD14" s="542" t="s">
        <v>5</v>
      </c>
      <c r="AE14" s="542"/>
      <c r="AF14" s="542"/>
      <c r="AG14" s="542"/>
      <c r="AH14" s="542"/>
      <c r="AI14" s="542"/>
      <c r="AJ14" s="542"/>
      <c r="AK14" s="542"/>
      <c r="AL14" s="542"/>
      <c r="AM14" s="542"/>
      <c r="AN14" s="542"/>
      <c r="AO14" s="542"/>
      <c r="AP14" s="542"/>
      <c r="AQ14" s="542"/>
      <c r="AR14" s="542"/>
      <c r="AS14" s="542"/>
      <c r="AT14" s="542"/>
      <c r="AU14" s="526" t="s">
        <v>6</v>
      </c>
    </row>
    <row r="15" spans="2:47" s="5" customFormat="1" ht="15.75" customHeight="1" x14ac:dyDescent="0.25">
      <c r="B15" s="563"/>
      <c r="C15" s="543"/>
      <c r="D15" s="566"/>
      <c r="E15" s="569"/>
      <c r="F15" s="574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6"/>
      <c r="AD15" s="538" t="s">
        <v>7</v>
      </c>
      <c r="AE15" s="538"/>
      <c r="AF15" s="538" t="s">
        <v>7</v>
      </c>
      <c r="AG15" s="538"/>
      <c r="AH15" s="538" t="s">
        <v>7</v>
      </c>
      <c r="AI15" s="538"/>
      <c r="AJ15" s="538" t="s">
        <v>7</v>
      </c>
      <c r="AK15" s="538"/>
      <c r="AL15" s="539" t="s">
        <v>8</v>
      </c>
      <c r="AM15" s="540"/>
      <c r="AN15" s="540"/>
      <c r="AO15" s="540"/>
      <c r="AP15" s="540"/>
      <c r="AQ15" s="541"/>
      <c r="AR15" s="536" t="s">
        <v>9</v>
      </c>
      <c r="AS15" s="536" t="s">
        <v>10</v>
      </c>
      <c r="AT15" s="536" t="s">
        <v>11</v>
      </c>
      <c r="AU15" s="527"/>
    </row>
    <row r="16" spans="2:47" s="5" customFormat="1" ht="18" customHeight="1" x14ac:dyDescent="0.25">
      <c r="B16" s="563"/>
      <c r="C16" s="543"/>
      <c r="D16" s="566"/>
      <c r="E16" s="569"/>
      <c r="F16" s="543" t="s">
        <v>12</v>
      </c>
      <c r="G16" s="543"/>
      <c r="H16" s="543" t="s">
        <v>13</v>
      </c>
      <c r="I16" s="543"/>
      <c r="J16" s="543" t="s">
        <v>14</v>
      </c>
      <c r="K16" s="543"/>
      <c r="L16" s="543" t="s">
        <v>15</v>
      </c>
      <c r="M16" s="543"/>
      <c r="N16" s="552" t="s">
        <v>16</v>
      </c>
      <c r="O16" s="553"/>
      <c r="P16" s="552" t="s">
        <v>17</v>
      </c>
      <c r="Q16" s="553"/>
      <c r="R16" s="552" t="s">
        <v>18</v>
      </c>
      <c r="S16" s="553"/>
      <c r="T16" s="543" t="s">
        <v>19</v>
      </c>
      <c r="U16" s="543"/>
      <c r="V16" s="543" t="s">
        <v>20</v>
      </c>
      <c r="W16" s="543"/>
      <c r="X16" s="543" t="s">
        <v>21</v>
      </c>
      <c r="Y16" s="543"/>
      <c r="Z16" s="543" t="s">
        <v>22</v>
      </c>
      <c r="AA16" s="543"/>
      <c r="AB16" s="543" t="s">
        <v>23</v>
      </c>
      <c r="AC16" s="543"/>
      <c r="AD16" s="543" t="s">
        <v>24</v>
      </c>
      <c r="AE16" s="543" t="s">
        <v>25</v>
      </c>
      <c r="AF16" s="543" t="s">
        <v>24</v>
      </c>
      <c r="AG16" s="543" t="s">
        <v>25</v>
      </c>
      <c r="AH16" s="543" t="s">
        <v>24</v>
      </c>
      <c r="AI16" s="543" t="s">
        <v>25</v>
      </c>
      <c r="AJ16" s="543" t="s">
        <v>24</v>
      </c>
      <c r="AK16" s="543" t="s">
        <v>25</v>
      </c>
      <c r="AL16" s="543" t="s">
        <v>24</v>
      </c>
      <c r="AM16" s="554" t="s">
        <v>25</v>
      </c>
      <c r="AN16" s="554" t="s">
        <v>25</v>
      </c>
      <c r="AO16" s="554" t="s">
        <v>25</v>
      </c>
      <c r="AP16" s="554" t="s">
        <v>25</v>
      </c>
      <c r="AQ16" s="560" t="s">
        <v>146</v>
      </c>
      <c r="AR16" s="536"/>
      <c r="AS16" s="536"/>
      <c r="AT16" s="536"/>
      <c r="AU16" s="527"/>
    </row>
    <row r="17" spans="2:47" s="5" customFormat="1" ht="59.25" customHeight="1" thickBot="1" x14ac:dyDescent="0.3">
      <c r="B17" s="564"/>
      <c r="C17" s="551"/>
      <c r="D17" s="567"/>
      <c r="E17" s="570"/>
      <c r="F17" s="393" t="s">
        <v>26</v>
      </c>
      <c r="G17" s="482" t="s">
        <v>6</v>
      </c>
      <c r="H17" s="393" t="s">
        <v>26</v>
      </c>
      <c r="I17" s="482" t="s">
        <v>6</v>
      </c>
      <c r="J17" s="6" t="s">
        <v>26</v>
      </c>
      <c r="K17" s="394" t="s">
        <v>6</v>
      </c>
      <c r="L17" s="393" t="s">
        <v>26</v>
      </c>
      <c r="M17" s="394" t="s">
        <v>6</v>
      </c>
      <c r="N17" s="393" t="s">
        <v>26</v>
      </c>
      <c r="O17" s="394" t="s">
        <v>6</v>
      </c>
      <c r="P17" s="7" t="s">
        <v>26</v>
      </c>
      <c r="Q17" s="386" t="s">
        <v>6</v>
      </c>
      <c r="R17" s="401" t="s">
        <v>26</v>
      </c>
      <c r="S17" s="402" t="s">
        <v>6</v>
      </c>
      <c r="T17" s="7" t="s">
        <v>26</v>
      </c>
      <c r="U17" s="386" t="s">
        <v>6</v>
      </c>
      <c r="V17" s="7" t="s">
        <v>26</v>
      </c>
      <c r="W17" s="386" t="s">
        <v>6</v>
      </c>
      <c r="X17" s="7" t="s">
        <v>26</v>
      </c>
      <c r="Y17" s="386" t="s">
        <v>6</v>
      </c>
      <c r="Z17" s="7" t="s">
        <v>26</v>
      </c>
      <c r="AA17" s="386" t="s">
        <v>6</v>
      </c>
      <c r="AB17" s="7" t="s">
        <v>26</v>
      </c>
      <c r="AC17" s="386" t="s">
        <v>6</v>
      </c>
      <c r="AD17" s="551"/>
      <c r="AE17" s="551"/>
      <c r="AF17" s="551"/>
      <c r="AG17" s="551"/>
      <c r="AH17" s="551"/>
      <c r="AI17" s="551"/>
      <c r="AJ17" s="551"/>
      <c r="AK17" s="551"/>
      <c r="AL17" s="551"/>
      <c r="AM17" s="555"/>
      <c r="AN17" s="555"/>
      <c r="AO17" s="555"/>
      <c r="AP17" s="555"/>
      <c r="AQ17" s="561"/>
      <c r="AR17" s="537"/>
      <c r="AS17" s="537"/>
      <c r="AT17" s="537"/>
      <c r="AU17" s="528"/>
    </row>
    <row r="18" spans="2:47" s="5" customFormat="1" ht="15" customHeight="1" thickBot="1" x14ac:dyDescent="0.3">
      <c r="B18" s="548" t="s">
        <v>86</v>
      </c>
      <c r="C18" s="549"/>
      <c r="D18" s="549"/>
      <c r="E18" s="549"/>
      <c r="F18" s="549"/>
      <c r="G18" s="549"/>
      <c r="H18" s="549"/>
      <c r="I18" s="549"/>
      <c r="J18" s="549"/>
      <c r="K18" s="549"/>
      <c r="L18" s="549"/>
      <c r="M18" s="549"/>
      <c r="N18" s="549"/>
      <c r="O18" s="549"/>
      <c r="P18" s="549"/>
      <c r="Q18" s="549"/>
      <c r="R18" s="549"/>
      <c r="S18" s="549"/>
      <c r="T18" s="549"/>
      <c r="U18" s="549"/>
      <c r="V18" s="549"/>
      <c r="W18" s="549"/>
      <c r="X18" s="549"/>
      <c r="Y18" s="549"/>
      <c r="Z18" s="549"/>
      <c r="AA18" s="549"/>
      <c r="AB18" s="549"/>
      <c r="AC18" s="549"/>
      <c r="AD18" s="549"/>
      <c r="AE18" s="549"/>
      <c r="AF18" s="549"/>
      <c r="AG18" s="549"/>
      <c r="AH18" s="549"/>
      <c r="AI18" s="549"/>
      <c r="AJ18" s="549"/>
      <c r="AK18" s="549"/>
      <c r="AL18" s="549"/>
      <c r="AM18" s="549"/>
      <c r="AN18" s="549"/>
      <c r="AO18" s="549"/>
      <c r="AP18" s="549"/>
      <c r="AQ18" s="549"/>
      <c r="AR18" s="549"/>
      <c r="AS18" s="549"/>
      <c r="AT18" s="549"/>
      <c r="AU18" s="550"/>
    </row>
    <row r="19" spans="2:47" s="17" customFormat="1" ht="15.75" thickBot="1" x14ac:dyDescent="0.3">
      <c r="B19" s="501">
        <v>1</v>
      </c>
      <c r="C19" s="517" t="s">
        <v>33</v>
      </c>
      <c r="D19" s="433" t="s">
        <v>47</v>
      </c>
      <c r="E19" s="434">
        <v>71.400000000000006</v>
      </c>
      <c r="F19" s="435">
        <v>1</v>
      </c>
      <c r="G19" s="485">
        <f>+E19*F19*31</f>
        <v>2213.4</v>
      </c>
      <c r="H19" s="435">
        <v>1</v>
      </c>
      <c r="I19" s="485">
        <f t="shared" ref="I19:I30" si="0">+H19*E19*28</f>
        <v>1999.2000000000003</v>
      </c>
      <c r="J19" s="435"/>
      <c r="K19" s="485"/>
      <c r="L19" s="435"/>
      <c r="M19" s="485"/>
      <c r="N19" s="405"/>
      <c r="O19" s="485"/>
      <c r="P19" s="405"/>
      <c r="Q19" s="485"/>
      <c r="R19" s="405"/>
      <c r="S19" s="485"/>
      <c r="T19" s="405"/>
      <c r="U19" s="485"/>
      <c r="V19" s="405"/>
      <c r="W19" s="485"/>
      <c r="X19" s="405"/>
      <c r="Y19" s="485"/>
      <c r="Z19" s="405"/>
      <c r="AA19" s="485"/>
      <c r="AB19" s="405"/>
      <c r="AC19" s="503"/>
      <c r="AD19" s="430">
        <f t="shared" ref="AD19:AD102" si="1">+AE19*12</f>
        <v>420</v>
      </c>
      <c r="AE19" s="404">
        <v>35</v>
      </c>
      <c r="AF19" s="404">
        <f t="shared" ref="AF19:AF102" si="2">+AG19*12</f>
        <v>420</v>
      </c>
      <c r="AG19" s="404">
        <v>35</v>
      </c>
      <c r="AH19" s="404">
        <f t="shared" ref="AH19:AH102" si="3">+AI19*12</f>
        <v>420</v>
      </c>
      <c r="AI19" s="404">
        <v>35</v>
      </c>
      <c r="AJ19" s="404">
        <f>+AK19*12</f>
        <v>1020</v>
      </c>
      <c r="AK19" s="404">
        <v>85</v>
      </c>
      <c r="AL19" s="404">
        <f>+AP19*12</f>
        <v>454420.64516129036</v>
      </c>
      <c r="AM19" s="404">
        <f t="shared" ref="AM19:AM27" si="4">1760*F19</f>
        <v>1760</v>
      </c>
      <c r="AN19" s="404">
        <f t="shared" ref="AN19:AN27" si="5">1760*H19</f>
        <v>1760</v>
      </c>
      <c r="AO19" s="404">
        <f t="shared" ref="AO19:AO27" si="6">1760*H19</f>
        <v>1760</v>
      </c>
      <c r="AP19" s="404">
        <v>37868.387096774197</v>
      </c>
      <c r="AQ19" s="404">
        <v>0</v>
      </c>
      <c r="AR19" s="404">
        <v>0</v>
      </c>
      <c r="AS19" s="404">
        <v>0</v>
      </c>
      <c r="AT19" s="404">
        <v>0</v>
      </c>
      <c r="AU19" s="391">
        <f>+G19+I19+K19+M19+O19+Q19+S19+AN19+AI19+U19+W19+Y19+AA19+AC19+AE19+AG19+AM19+AO19+AQ19+AR19+AS19+AT19+AK19+AP19</f>
        <v>47550.987096774195</v>
      </c>
    </row>
    <row r="20" spans="2:47" s="17" customFormat="1" ht="15.75" thickBot="1" x14ac:dyDescent="0.3">
      <c r="B20" s="501">
        <f>+B19+1</f>
        <v>2</v>
      </c>
      <c r="C20" s="520"/>
      <c r="D20" s="427" t="s">
        <v>34</v>
      </c>
      <c r="E20" s="428">
        <v>71.400000000000006</v>
      </c>
      <c r="F20" s="429">
        <v>15</v>
      </c>
      <c r="G20" s="486">
        <f t="shared" ref="G20:G28" si="7">+E20*F20*31</f>
        <v>33201</v>
      </c>
      <c r="H20" s="429">
        <v>15</v>
      </c>
      <c r="I20" s="486">
        <f t="shared" si="0"/>
        <v>29988</v>
      </c>
      <c r="J20" s="429"/>
      <c r="K20" s="486"/>
      <c r="L20" s="429"/>
      <c r="M20" s="486"/>
      <c r="N20" s="407"/>
      <c r="O20" s="486"/>
      <c r="P20" s="407"/>
      <c r="Q20" s="486"/>
      <c r="R20" s="407"/>
      <c r="S20" s="486"/>
      <c r="T20" s="407"/>
      <c r="U20" s="486"/>
      <c r="V20" s="407"/>
      <c r="W20" s="486"/>
      <c r="X20" s="407"/>
      <c r="Y20" s="486"/>
      <c r="Z20" s="407"/>
      <c r="AA20" s="486"/>
      <c r="AB20" s="407"/>
      <c r="AC20" s="504"/>
      <c r="AD20" s="431"/>
      <c r="AE20" s="406"/>
      <c r="AF20" s="406"/>
      <c r="AG20" s="406"/>
      <c r="AH20" s="406"/>
      <c r="AI20" s="406"/>
      <c r="AJ20" s="406"/>
      <c r="AK20" s="406"/>
      <c r="AL20" s="406"/>
      <c r="AM20" s="406"/>
      <c r="AN20" s="406"/>
      <c r="AO20" s="406"/>
      <c r="AP20" s="406"/>
      <c r="AQ20" s="406"/>
      <c r="AR20" s="406"/>
      <c r="AS20" s="406"/>
      <c r="AT20" s="406"/>
      <c r="AU20" s="391"/>
    </row>
    <row r="21" spans="2:47" s="17" customFormat="1" ht="15.75" thickBot="1" x14ac:dyDescent="0.3">
      <c r="B21" s="508">
        <f t="shared" ref="B21:B89" si="8">+B20+1</f>
        <v>3</v>
      </c>
      <c r="C21" s="520"/>
      <c r="D21" s="427" t="s">
        <v>34</v>
      </c>
      <c r="E21" s="428">
        <v>71.400000000000006</v>
      </c>
      <c r="F21" s="429">
        <v>1</v>
      </c>
      <c r="G21" s="486">
        <v>0</v>
      </c>
      <c r="H21" s="429">
        <v>1</v>
      </c>
      <c r="I21" s="486">
        <v>0</v>
      </c>
      <c r="J21" s="429"/>
      <c r="K21" s="486"/>
      <c r="L21" s="429"/>
      <c r="M21" s="486"/>
      <c r="N21" s="407"/>
      <c r="O21" s="486"/>
      <c r="P21" s="407"/>
      <c r="Q21" s="486"/>
      <c r="R21" s="407"/>
      <c r="S21" s="486"/>
      <c r="T21" s="407"/>
      <c r="U21" s="486"/>
      <c r="V21" s="407"/>
      <c r="W21" s="486"/>
      <c r="X21" s="407"/>
      <c r="Y21" s="486"/>
      <c r="Z21" s="407"/>
      <c r="AA21" s="486"/>
      <c r="AB21" s="407"/>
      <c r="AC21" s="504"/>
      <c r="AD21" s="431"/>
      <c r="AE21" s="406"/>
      <c r="AF21" s="406"/>
      <c r="AG21" s="406"/>
      <c r="AH21" s="406"/>
      <c r="AI21" s="406"/>
      <c r="AJ21" s="406"/>
      <c r="AK21" s="406"/>
      <c r="AL21" s="406"/>
      <c r="AM21" s="406"/>
      <c r="AN21" s="406"/>
      <c r="AO21" s="406"/>
      <c r="AP21" s="406"/>
      <c r="AQ21" s="406"/>
      <c r="AR21" s="406"/>
      <c r="AS21" s="406"/>
      <c r="AT21" s="406"/>
      <c r="AU21" s="391"/>
    </row>
    <row r="22" spans="2:47" s="5" customFormat="1" ht="15.75" thickBot="1" x14ac:dyDescent="0.3">
      <c r="B22" s="508">
        <f t="shared" si="8"/>
        <v>4</v>
      </c>
      <c r="C22" s="520"/>
      <c r="D22" s="427" t="s">
        <v>51</v>
      </c>
      <c r="E22" s="428">
        <v>72.540000000000006</v>
      </c>
      <c r="F22" s="429">
        <v>1</v>
      </c>
      <c r="G22" s="486">
        <f t="shared" si="7"/>
        <v>2248.7400000000002</v>
      </c>
      <c r="H22" s="429">
        <v>1</v>
      </c>
      <c r="I22" s="486">
        <f t="shared" si="0"/>
        <v>2031.1200000000001</v>
      </c>
      <c r="J22" s="429"/>
      <c r="K22" s="486"/>
      <c r="L22" s="429"/>
      <c r="M22" s="486"/>
      <c r="N22" s="388"/>
      <c r="O22" s="486"/>
      <c r="P22" s="388"/>
      <c r="Q22" s="486"/>
      <c r="R22" s="388"/>
      <c r="S22" s="486"/>
      <c r="T22" s="388"/>
      <c r="U22" s="486"/>
      <c r="V22" s="388"/>
      <c r="W22" s="486"/>
      <c r="X22" s="388"/>
      <c r="Y22" s="486"/>
      <c r="Z22" s="388"/>
      <c r="AA22" s="486"/>
      <c r="AB22" s="388"/>
      <c r="AC22" s="504"/>
      <c r="AD22" s="432">
        <f t="shared" ref="AD22" si="9">+AE22*12</f>
        <v>600</v>
      </c>
      <c r="AE22" s="387">
        <v>50</v>
      </c>
      <c r="AF22" s="387">
        <f t="shared" ref="AF22" si="10">+AG22*12</f>
        <v>600</v>
      </c>
      <c r="AG22" s="387">
        <v>50</v>
      </c>
      <c r="AH22" s="387">
        <f t="shared" ref="AH22" si="11">+AI22*12</f>
        <v>600</v>
      </c>
      <c r="AI22" s="387">
        <v>50</v>
      </c>
      <c r="AJ22" s="387">
        <f t="shared" ref="AJ22" si="12">+AK22*12</f>
        <v>600</v>
      </c>
      <c r="AK22" s="387">
        <v>50</v>
      </c>
      <c r="AL22" s="387">
        <f t="shared" ref="AL22:AL27" si="13">+AP22*12</f>
        <v>126720</v>
      </c>
      <c r="AM22" s="387">
        <f t="shared" ref="AM22" si="14">1760*F22</f>
        <v>1760</v>
      </c>
      <c r="AN22" s="387">
        <f t="shared" ref="AN22" si="15">1760*H22</f>
        <v>1760</v>
      </c>
      <c r="AO22" s="387">
        <f t="shared" ref="AO22" si="16">1760*H22</f>
        <v>1760</v>
      </c>
      <c r="AP22" s="387">
        <v>10560</v>
      </c>
      <c r="AQ22" s="387">
        <v>0</v>
      </c>
      <c r="AR22" s="387">
        <v>0</v>
      </c>
      <c r="AS22" s="387">
        <v>0</v>
      </c>
      <c r="AT22" s="387">
        <v>0</v>
      </c>
      <c r="AU22" s="391">
        <f t="shared" ref="AU22:AU27" si="17">+G22+I22+K22+M22+O22+Q22+S22+AN22+AI22+U22+W22+Y22+AA22+AC22+AE22+AG22+AM22+AO22+AQ22+AR22+AS22+AT22+AK22+AP22</f>
        <v>20319.86</v>
      </c>
    </row>
    <row r="23" spans="2:47" s="5" customFormat="1" ht="15.75" thickBot="1" x14ac:dyDescent="0.3">
      <c r="B23" s="501">
        <f t="shared" si="8"/>
        <v>5</v>
      </c>
      <c r="C23" s="518"/>
      <c r="D23" s="427" t="s">
        <v>37</v>
      </c>
      <c r="E23" s="428">
        <v>71.400000000000006</v>
      </c>
      <c r="F23" s="429">
        <v>4</v>
      </c>
      <c r="G23" s="486">
        <f t="shared" si="7"/>
        <v>8853.6</v>
      </c>
      <c r="H23" s="429">
        <v>4</v>
      </c>
      <c r="I23" s="486">
        <f t="shared" si="0"/>
        <v>7996.8000000000011</v>
      </c>
      <c r="J23" s="429"/>
      <c r="K23" s="486"/>
      <c r="L23" s="429"/>
      <c r="M23" s="486"/>
      <c r="N23" s="388"/>
      <c r="O23" s="486"/>
      <c r="P23" s="388"/>
      <c r="Q23" s="486"/>
      <c r="R23" s="388"/>
      <c r="S23" s="486"/>
      <c r="T23" s="388"/>
      <c r="U23" s="486"/>
      <c r="V23" s="388"/>
      <c r="W23" s="486"/>
      <c r="X23" s="388"/>
      <c r="Y23" s="486"/>
      <c r="Z23" s="388"/>
      <c r="AA23" s="486"/>
      <c r="AB23" s="388"/>
      <c r="AC23" s="504"/>
      <c r="AD23" s="432">
        <f t="shared" si="1"/>
        <v>600</v>
      </c>
      <c r="AE23" s="387">
        <v>50</v>
      </c>
      <c r="AF23" s="387">
        <f t="shared" si="2"/>
        <v>600</v>
      </c>
      <c r="AG23" s="387">
        <v>50</v>
      </c>
      <c r="AH23" s="387">
        <f t="shared" si="3"/>
        <v>600</v>
      </c>
      <c r="AI23" s="387">
        <v>50</v>
      </c>
      <c r="AJ23" s="387">
        <f t="shared" ref="AJ23:AJ87" si="18">+AK23*12</f>
        <v>600</v>
      </c>
      <c r="AK23" s="387">
        <v>50</v>
      </c>
      <c r="AL23" s="387">
        <f t="shared" si="13"/>
        <v>126720</v>
      </c>
      <c r="AM23" s="387">
        <f t="shared" si="4"/>
        <v>7040</v>
      </c>
      <c r="AN23" s="387">
        <f t="shared" si="5"/>
        <v>7040</v>
      </c>
      <c r="AO23" s="387">
        <f t="shared" si="6"/>
        <v>7040</v>
      </c>
      <c r="AP23" s="387">
        <v>10560</v>
      </c>
      <c r="AQ23" s="387">
        <v>0</v>
      </c>
      <c r="AR23" s="387">
        <v>0</v>
      </c>
      <c r="AS23" s="387">
        <v>0</v>
      </c>
      <c r="AT23" s="387">
        <v>0</v>
      </c>
      <c r="AU23" s="391">
        <f t="shared" si="17"/>
        <v>48730.400000000001</v>
      </c>
    </row>
    <row r="24" spans="2:47" s="5" customFormat="1" ht="15.75" thickBot="1" x14ac:dyDescent="0.3">
      <c r="B24" s="501">
        <f t="shared" si="8"/>
        <v>6</v>
      </c>
      <c r="C24" s="518"/>
      <c r="D24" s="427" t="s">
        <v>38</v>
      </c>
      <c r="E24" s="428">
        <v>78.25</v>
      </c>
      <c r="F24" s="429">
        <v>1</v>
      </c>
      <c r="G24" s="486">
        <f t="shared" si="7"/>
        <v>2425.75</v>
      </c>
      <c r="H24" s="429">
        <v>1</v>
      </c>
      <c r="I24" s="486">
        <f t="shared" si="0"/>
        <v>2191</v>
      </c>
      <c r="J24" s="429"/>
      <c r="K24" s="486"/>
      <c r="L24" s="429"/>
      <c r="M24" s="486"/>
      <c r="N24" s="388"/>
      <c r="O24" s="486"/>
      <c r="P24" s="388"/>
      <c r="Q24" s="486"/>
      <c r="R24" s="388"/>
      <c r="S24" s="486"/>
      <c r="T24" s="388"/>
      <c r="U24" s="486"/>
      <c r="V24" s="388"/>
      <c r="W24" s="486"/>
      <c r="X24" s="388"/>
      <c r="Y24" s="486"/>
      <c r="Z24" s="388"/>
      <c r="AA24" s="486"/>
      <c r="AB24" s="388"/>
      <c r="AC24" s="504"/>
      <c r="AD24" s="432">
        <f t="shared" si="1"/>
        <v>600</v>
      </c>
      <c r="AE24" s="387">
        <v>50</v>
      </c>
      <c r="AF24" s="387">
        <f t="shared" si="2"/>
        <v>600</v>
      </c>
      <c r="AG24" s="387">
        <v>50</v>
      </c>
      <c r="AH24" s="387">
        <f t="shared" si="3"/>
        <v>600</v>
      </c>
      <c r="AI24" s="387">
        <v>50</v>
      </c>
      <c r="AJ24" s="387">
        <f t="shared" si="18"/>
        <v>600</v>
      </c>
      <c r="AK24" s="387">
        <v>50</v>
      </c>
      <c r="AL24" s="387">
        <f t="shared" si="13"/>
        <v>21120</v>
      </c>
      <c r="AM24" s="387">
        <f t="shared" si="4"/>
        <v>1760</v>
      </c>
      <c r="AN24" s="387">
        <f t="shared" si="5"/>
        <v>1760</v>
      </c>
      <c r="AO24" s="387">
        <f t="shared" si="6"/>
        <v>1760</v>
      </c>
      <c r="AP24" s="387">
        <v>1760</v>
      </c>
      <c r="AQ24" s="387">
        <v>0</v>
      </c>
      <c r="AR24" s="387">
        <v>0</v>
      </c>
      <c r="AS24" s="387">
        <v>0</v>
      </c>
      <c r="AT24" s="387">
        <v>0</v>
      </c>
      <c r="AU24" s="391">
        <f t="shared" si="17"/>
        <v>11856.75</v>
      </c>
    </row>
    <row r="25" spans="2:47" s="5" customFormat="1" ht="15.75" thickBot="1" x14ac:dyDescent="0.3">
      <c r="B25" s="501">
        <f t="shared" si="8"/>
        <v>7</v>
      </c>
      <c r="C25" s="518"/>
      <c r="D25" s="427" t="s">
        <v>39</v>
      </c>
      <c r="E25" s="428">
        <v>73.59</v>
      </c>
      <c r="F25" s="429">
        <v>2</v>
      </c>
      <c r="G25" s="486">
        <f t="shared" ref="G25" si="19">+E25*F25*31</f>
        <v>4562.58</v>
      </c>
      <c r="H25" s="429">
        <v>2</v>
      </c>
      <c r="I25" s="486">
        <f t="shared" si="0"/>
        <v>4121.04</v>
      </c>
      <c r="J25" s="429"/>
      <c r="K25" s="486"/>
      <c r="L25" s="429"/>
      <c r="M25" s="486"/>
      <c r="N25" s="388"/>
      <c r="O25" s="486"/>
      <c r="P25" s="388"/>
      <c r="Q25" s="486"/>
      <c r="R25" s="388"/>
      <c r="S25" s="486"/>
      <c r="T25" s="388"/>
      <c r="U25" s="486"/>
      <c r="V25" s="388"/>
      <c r="W25" s="486"/>
      <c r="X25" s="388"/>
      <c r="Y25" s="486"/>
      <c r="Z25" s="388"/>
      <c r="AA25" s="486"/>
      <c r="AB25" s="388"/>
      <c r="AC25" s="504"/>
      <c r="AD25" s="432">
        <f t="shared" ref="AD25" si="20">+AE25*12</f>
        <v>600</v>
      </c>
      <c r="AE25" s="387">
        <v>50</v>
      </c>
      <c r="AF25" s="387">
        <f t="shared" ref="AF25" si="21">+AG25*12</f>
        <v>600</v>
      </c>
      <c r="AG25" s="387">
        <v>50</v>
      </c>
      <c r="AH25" s="387">
        <f t="shared" ref="AH25" si="22">+AI25*12</f>
        <v>600</v>
      </c>
      <c r="AI25" s="387">
        <v>50</v>
      </c>
      <c r="AJ25" s="387">
        <f t="shared" ref="AJ25" si="23">+AK25*12</f>
        <v>600</v>
      </c>
      <c r="AK25" s="387">
        <v>50</v>
      </c>
      <c r="AL25" s="387">
        <f t="shared" si="13"/>
        <v>21120</v>
      </c>
      <c r="AM25" s="387">
        <f t="shared" ref="AM25" si="24">1760*F25</f>
        <v>3520</v>
      </c>
      <c r="AN25" s="387">
        <f t="shared" ref="AN25" si="25">1760*H25</f>
        <v>3520</v>
      </c>
      <c r="AO25" s="387">
        <f t="shared" ref="AO25" si="26">1760*H25</f>
        <v>3520</v>
      </c>
      <c r="AP25" s="387">
        <v>1760</v>
      </c>
      <c r="AQ25" s="387">
        <v>0</v>
      </c>
      <c r="AR25" s="387">
        <v>0</v>
      </c>
      <c r="AS25" s="387">
        <v>0</v>
      </c>
      <c r="AT25" s="387">
        <v>0</v>
      </c>
      <c r="AU25" s="391">
        <f t="shared" si="17"/>
        <v>21203.62</v>
      </c>
    </row>
    <row r="26" spans="2:47" s="5" customFormat="1" ht="15.75" thickBot="1" x14ac:dyDescent="0.3">
      <c r="B26" s="501">
        <f t="shared" si="8"/>
        <v>8</v>
      </c>
      <c r="C26" s="518"/>
      <c r="D26" s="427" t="s">
        <v>40</v>
      </c>
      <c r="E26" s="428">
        <v>75.64</v>
      </c>
      <c r="F26" s="429">
        <v>5</v>
      </c>
      <c r="G26" s="486">
        <f t="shared" si="7"/>
        <v>11724.199999999999</v>
      </c>
      <c r="H26" s="429">
        <v>5</v>
      </c>
      <c r="I26" s="486">
        <f t="shared" si="0"/>
        <v>10589.6</v>
      </c>
      <c r="J26" s="429"/>
      <c r="K26" s="486"/>
      <c r="L26" s="429"/>
      <c r="M26" s="486"/>
      <c r="N26" s="388"/>
      <c r="O26" s="486"/>
      <c r="P26" s="388"/>
      <c r="Q26" s="486"/>
      <c r="R26" s="388"/>
      <c r="S26" s="486"/>
      <c r="T26" s="388"/>
      <c r="U26" s="486"/>
      <c r="V26" s="388"/>
      <c r="W26" s="486"/>
      <c r="X26" s="388"/>
      <c r="Y26" s="486"/>
      <c r="Z26" s="388"/>
      <c r="AA26" s="486"/>
      <c r="AB26" s="388"/>
      <c r="AC26" s="504"/>
      <c r="AD26" s="432">
        <f t="shared" si="1"/>
        <v>0</v>
      </c>
      <c r="AE26" s="387">
        <v>0</v>
      </c>
      <c r="AF26" s="387">
        <f t="shared" si="2"/>
        <v>0</v>
      </c>
      <c r="AG26" s="387">
        <v>0</v>
      </c>
      <c r="AH26" s="387">
        <f t="shared" si="3"/>
        <v>0</v>
      </c>
      <c r="AI26" s="387">
        <v>0</v>
      </c>
      <c r="AJ26" s="387">
        <f t="shared" si="18"/>
        <v>0</v>
      </c>
      <c r="AK26" s="387">
        <v>0</v>
      </c>
      <c r="AL26" s="387">
        <f t="shared" si="13"/>
        <v>42240</v>
      </c>
      <c r="AM26" s="387">
        <f t="shared" si="4"/>
        <v>8800</v>
      </c>
      <c r="AN26" s="387">
        <f t="shared" si="5"/>
        <v>8800</v>
      </c>
      <c r="AO26" s="387">
        <f t="shared" si="6"/>
        <v>8800</v>
      </c>
      <c r="AP26" s="387">
        <v>3520</v>
      </c>
      <c r="AQ26" s="387">
        <v>0</v>
      </c>
      <c r="AR26" s="387">
        <v>0</v>
      </c>
      <c r="AS26" s="387">
        <v>0</v>
      </c>
      <c r="AT26" s="387">
        <v>0</v>
      </c>
      <c r="AU26" s="391">
        <f t="shared" si="17"/>
        <v>52233.8</v>
      </c>
    </row>
    <row r="27" spans="2:47" s="5" customFormat="1" ht="15.75" thickBot="1" x14ac:dyDescent="0.3">
      <c r="B27" s="501">
        <f t="shared" si="8"/>
        <v>9</v>
      </c>
      <c r="C27" s="518"/>
      <c r="D27" s="427" t="s">
        <v>41</v>
      </c>
      <c r="E27" s="428">
        <v>75.64</v>
      </c>
      <c r="F27" s="429">
        <v>2</v>
      </c>
      <c r="G27" s="486">
        <f t="shared" si="7"/>
        <v>4689.68</v>
      </c>
      <c r="H27" s="429">
        <v>2</v>
      </c>
      <c r="I27" s="486">
        <f t="shared" si="0"/>
        <v>4235.84</v>
      </c>
      <c r="J27" s="429"/>
      <c r="K27" s="486"/>
      <c r="L27" s="429"/>
      <c r="M27" s="486"/>
      <c r="N27" s="388"/>
      <c r="O27" s="486"/>
      <c r="P27" s="388"/>
      <c r="Q27" s="486"/>
      <c r="R27" s="388"/>
      <c r="S27" s="486"/>
      <c r="T27" s="388"/>
      <c r="U27" s="486"/>
      <c r="V27" s="388"/>
      <c r="W27" s="486"/>
      <c r="X27" s="388"/>
      <c r="Y27" s="486"/>
      <c r="Z27" s="388"/>
      <c r="AA27" s="486"/>
      <c r="AB27" s="388"/>
      <c r="AC27" s="504"/>
      <c r="AD27" s="432">
        <f t="shared" si="1"/>
        <v>900</v>
      </c>
      <c r="AE27" s="387">
        <v>75</v>
      </c>
      <c r="AF27" s="387">
        <f t="shared" si="2"/>
        <v>900</v>
      </c>
      <c r="AG27" s="387">
        <v>75</v>
      </c>
      <c r="AH27" s="387">
        <f t="shared" si="3"/>
        <v>900</v>
      </c>
      <c r="AI27" s="387">
        <v>75</v>
      </c>
      <c r="AJ27" s="387">
        <f t="shared" si="18"/>
        <v>900</v>
      </c>
      <c r="AK27" s="387">
        <v>75</v>
      </c>
      <c r="AL27" s="387">
        <f t="shared" si="13"/>
        <v>63360</v>
      </c>
      <c r="AM27" s="387">
        <f t="shared" si="4"/>
        <v>3520</v>
      </c>
      <c r="AN27" s="387">
        <f t="shared" si="5"/>
        <v>3520</v>
      </c>
      <c r="AO27" s="387">
        <f t="shared" si="6"/>
        <v>3520</v>
      </c>
      <c r="AP27" s="387">
        <v>5280</v>
      </c>
      <c r="AQ27" s="387">
        <v>0</v>
      </c>
      <c r="AR27" s="387">
        <v>0</v>
      </c>
      <c r="AS27" s="387">
        <v>0</v>
      </c>
      <c r="AT27" s="387">
        <v>0</v>
      </c>
      <c r="AU27" s="391">
        <f t="shared" si="17"/>
        <v>25065.52</v>
      </c>
    </row>
    <row r="28" spans="2:47" s="5" customFormat="1" ht="15.75" thickBot="1" x14ac:dyDescent="0.3">
      <c r="B28" s="501">
        <f t="shared" si="8"/>
        <v>10</v>
      </c>
      <c r="C28" s="519"/>
      <c r="D28" s="436" t="s">
        <v>36</v>
      </c>
      <c r="E28" s="437">
        <v>80.86</v>
      </c>
      <c r="F28" s="438">
        <v>4</v>
      </c>
      <c r="G28" s="487">
        <f t="shared" si="7"/>
        <v>10026.64</v>
      </c>
      <c r="H28" s="438">
        <v>4</v>
      </c>
      <c r="I28" s="487">
        <f t="shared" si="0"/>
        <v>9056.32</v>
      </c>
      <c r="J28" s="438"/>
      <c r="K28" s="487"/>
      <c r="L28" s="438"/>
      <c r="M28" s="487"/>
      <c r="N28" s="439"/>
      <c r="O28" s="487"/>
      <c r="P28" s="439"/>
      <c r="Q28" s="487"/>
      <c r="R28" s="439"/>
      <c r="S28" s="487"/>
      <c r="T28" s="439"/>
      <c r="U28" s="487"/>
      <c r="V28" s="439"/>
      <c r="W28" s="487"/>
      <c r="X28" s="439"/>
      <c r="Y28" s="487"/>
      <c r="Z28" s="439"/>
      <c r="AA28" s="487"/>
      <c r="AB28" s="439"/>
      <c r="AC28" s="505"/>
      <c r="AD28" s="432"/>
      <c r="AE28" s="387"/>
      <c r="AF28" s="387"/>
      <c r="AG28" s="387"/>
      <c r="AH28" s="387"/>
      <c r="AI28" s="387"/>
      <c r="AJ28" s="387"/>
      <c r="AK28" s="387"/>
      <c r="AL28" s="387"/>
      <c r="AM28" s="387"/>
      <c r="AN28" s="387"/>
      <c r="AO28" s="387"/>
      <c r="AP28" s="387"/>
      <c r="AQ28" s="387"/>
      <c r="AR28" s="387"/>
      <c r="AS28" s="387"/>
      <c r="AT28" s="387"/>
      <c r="AU28" s="391"/>
    </row>
    <row r="29" spans="2:47" s="5" customFormat="1" ht="25.5" customHeight="1" thickBot="1" x14ac:dyDescent="0.3">
      <c r="B29" s="508">
        <f t="shared" si="8"/>
        <v>11</v>
      </c>
      <c r="C29" s="517" t="s">
        <v>42</v>
      </c>
      <c r="D29" s="466" t="s">
        <v>136</v>
      </c>
      <c r="E29" s="441">
        <v>72.540000000000006</v>
      </c>
      <c r="F29" s="442">
        <v>7</v>
      </c>
      <c r="G29" s="485">
        <f t="shared" ref="G29:G72" si="27">+E29*F29*31</f>
        <v>15741.18</v>
      </c>
      <c r="H29" s="442">
        <v>7</v>
      </c>
      <c r="I29" s="485">
        <f t="shared" si="0"/>
        <v>14217.84</v>
      </c>
      <c r="J29" s="442"/>
      <c r="K29" s="485"/>
      <c r="L29" s="442"/>
      <c r="M29" s="485"/>
      <c r="N29" s="442"/>
      <c r="O29" s="485"/>
      <c r="P29" s="442"/>
      <c r="Q29" s="485"/>
      <c r="R29" s="442"/>
      <c r="S29" s="485"/>
      <c r="T29" s="442"/>
      <c r="U29" s="485"/>
      <c r="V29" s="442"/>
      <c r="W29" s="485"/>
      <c r="X29" s="442"/>
      <c r="Y29" s="485"/>
      <c r="Z29" s="442"/>
      <c r="AA29" s="485"/>
      <c r="AB29" s="442"/>
      <c r="AC29" s="503"/>
      <c r="AD29" s="432">
        <f t="shared" si="1"/>
        <v>4200</v>
      </c>
      <c r="AE29" s="387">
        <v>350</v>
      </c>
      <c r="AF29" s="387">
        <f t="shared" si="2"/>
        <v>4200</v>
      </c>
      <c r="AG29" s="387">
        <v>350</v>
      </c>
      <c r="AH29" s="387">
        <f t="shared" si="3"/>
        <v>4200</v>
      </c>
      <c r="AI29" s="387">
        <v>350</v>
      </c>
      <c r="AJ29" s="387">
        <f t="shared" si="18"/>
        <v>4200</v>
      </c>
      <c r="AK29" s="387">
        <v>350</v>
      </c>
      <c r="AL29" s="387">
        <f>+AP29*12</f>
        <v>147840</v>
      </c>
      <c r="AM29" s="387">
        <f t="shared" ref="AM29:AM55" si="28">1760*F29</f>
        <v>12320</v>
      </c>
      <c r="AN29" s="387">
        <f t="shared" ref="AN29:AN39" si="29">1760*H29</f>
        <v>12320</v>
      </c>
      <c r="AO29" s="387">
        <f t="shared" ref="AO29:AO39" si="30">1760*H29</f>
        <v>12320</v>
      </c>
      <c r="AP29" s="387">
        <v>12320</v>
      </c>
      <c r="AQ29" s="387">
        <v>0</v>
      </c>
      <c r="AR29" s="387">
        <v>0</v>
      </c>
      <c r="AS29" s="387">
        <v>0</v>
      </c>
      <c r="AT29" s="387">
        <v>0</v>
      </c>
      <c r="AU29" s="391">
        <f>+G29+I29+K29+M29+O29+Q29+S29+AN29+AI29+U29+W29+Y29+AA29+AC29+AE29+AG29+AM29+AO29+AQ29+AR29+AS29+AT29+AK29+AP29</f>
        <v>80639.02</v>
      </c>
    </row>
    <row r="30" spans="2:47" s="5" customFormat="1" ht="25.5" customHeight="1" thickBot="1" x14ac:dyDescent="0.3">
      <c r="B30" s="508">
        <f t="shared" si="8"/>
        <v>12</v>
      </c>
      <c r="C30" s="518"/>
      <c r="D30" s="463" t="s">
        <v>34</v>
      </c>
      <c r="E30" s="409">
        <v>71.400000000000006</v>
      </c>
      <c r="F30" s="411">
        <v>4</v>
      </c>
      <c r="G30" s="486">
        <f t="shared" si="27"/>
        <v>8853.6</v>
      </c>
      <c r="H30" s="411">
        <v>4</v>
      </c>
      <c r="I30" s="486">
        <f t="shared" si="0"/>
        <v>7996.8000000000011</v>
      </c>
      <c r="J30" s="411"/>
      <c r="K30" s="486"/>
      <c r="L30" s="411"/>
      <c r="M30" s="486"/>
      <c r="N30" s="411"/>
      <c r="O30" s="486"/>
      <c r="P30" s="411"/>
      <c r="Q30" s="486"/>
      <c r="R30" s="411"/>
      <c r="S30" s="486"/>
      <c r="T30" s="411"/>
      <c r="U30" s="486"/>
      <c r="V30" s="411"/>
      <c r="W30" s="486"/>
      <c r="X30" s="411"/>
      <c r="Y30" s="486"/>
      <c r="Z30" s="411"/>
      <c r="AA30" s="486"/>
      <c r="AB30" s="411"/>
      <c r="AC30" s="504"/>
      <c r="AD30" s="432"/>
      <c r="AE30" s="387"/>
      <c r="AF30" s="387"/>
      <c r="AG30" s="387"/>
      <c r="AH30" s="387"/>
      <c r="AI30" s="387"/>
      <c r="AJ30" s="387"/>
      <c r="AK30" s="387"/>
      <c r="AL30" s="387"/>
      <c r="AM30" s="387"/>
      <c r="AN30" s="387"/>
      <c r="AO30" s="387"/>
      <c r="AP30" s="387"/>
      <c r="AQ30" s="387"/>
      <c r="AR30" s="387"/>
      <c r="AS30" s="387"/>
      <c r="AT30" s="387"/>
      <c r="AU30" s="391"/>
    </row>
    <row r="31" spans="2:47" s="5" customFormat="1" ht="25.5" customHeight="1" thickBot="1" x14ac:dyDescent="0.3">
      <c r="B31" s="508">
        <f t="shared" si="8"/>
        <v>13</v>
      </c>
      <c r="C31" s="519"/>
      <c r="D31" s="443" t="s">
        <v>41</v>
      </c>
      <c r="E31" s="444">
        <v>75.64</v>
      </c>
      <c r="F31" s="445">
        <v>1</v>
      </c>
      <c r="G31" s="487">
        <v>0</v>
      </c>
      <c r="H31" s="445">
        <v>1</v>
      </c>
      <c r="I31" s="487">
        <v>0</v>
      </c>
      <c r="J31" s="445"/>
      <c r="K31" s="487"/>
      <c r="L31" s="445"/>
      <c r="M31" s="487"/>
      <c r="N31" s="445"/>
      <c r="O31" s="487"/>
      <c r="P31" s="445"/>
      <c r="Q31" s="487"/>
      <c r="R31" s="445"/>
      <c r="S31" s="487"/>
      <c r="T31" s="445"/>
      <c r="U31" s="487"/>
      <c r="V31" s="445"/>
      <c r="W31" s="487"/>
      <c r="X31" s="445"/>
      <c r="Y31" s="487"/>
      <c r="Z31" s="445"/>
      <c r="AA31" s="487"/>
      <c r="AB31" s="445"/>
      <c r="AC31" s="505"/>
      <c r="AD31" s="432"/>
      <c r="AE31" s="387"/>
      <c r="AF31" s="387"/>
      <c r="AG31" s="387"/>
      <c r="AH31" s="387"/>
      <c r="AI31" s="387"/>
      <c r="AJ31" s="387"/>
      <c r="AK31" s="387"/>
      <c r="AL31" s="387"/>
      <c r="AM31" s="387"/>
      <c r="AN31" s="387"/>
      <c r="AO31" s="387"/>
      <c r="AP31" s="387"/>
      <c r="AQ31" s="387"/>
      <c r="AR31" s="387"/>
      <c r="AS31" s="387"/>
      <c r="AT31" s="387"/>
      <c r="AU31" s="391"/>
    </row>
    <row r="32" spans="2:47" s="5" customFormat="1" ht="18" customHeight="1" thickBot="1" x14ac:dyDescent="0.3">
      <c r="B32" s="501">
        <f t="shared" si="8"/>
        <v>14</v>
      </c>
      <c r="C32" s="517" t="s">
        <v>44</v>
      </c>
      <c r="D32" s="466" t="s">
        <v>43</v>
      </c>
      <c r="E32" s="434">
        <v>72.540000000000006</v>
      </c>
      <c r="F32" s="435">
        <v>24</v>
      </c>
      <c r="G32" s="488">
        <f>+F32*E32*31</f>
        <v>53969.760000000002</v>
      </c>
      <c r="H32" s="435">
        <v>24</v>
      </c>
      <c r="I32" s="488">
        <f>+H32*E32*28</f>
        <v>48746.880000000005</v>
      </c>
      <c r="J32" s="435"/>
      <c r="K32" s="485"/>
      <c r="L32" s="435"/>
      <c r="M32" s="485"/>
      <c r="N32" s="435"/>
      <c r="O32" s="485"/>
      <c r="P32" s="435"/>
      <c r="Q32" s="485"/>
      <c r="R32" s="435"/>
      <c r="S32" s="485"/>
      <c r="T32" s="435"/>
      <c r="U32" s="485"/>
      <c r="V32" s="435"/>
      <c r="W32" s="485"/>
      <c r="X32" s="435"/>
      <c r="Y32" s="485"/>
      <c r="Z32" s="435"/>
      <c r="AA32" s="485"/>
      <c r="AB32" s="435"/>
      <c r="AC32" s="503"/>
      <c r="AD32" s="432">
        <f t="shared" si="1"/>
        <v>22800</v>
      </c>
      <c r="AE32" s="413">
        <v>1900</v>
      </c>
      <c r="AF32" s="387">
        <f t="shared" si="2"/>
        <v>22800</v>
      </c>
      <c r="AG32" s="413">
        <v>1900</v>
      </c>
      <c r="AH32" s="387">
        <f t="shared" si="3"/>
        <v>22800</v>
      </c>
      <c r="AI32" s="413">
        <v>1900</v>
      </c>
      <c r="AJ32" s="387">
        <f t="shared" si="18"/>
        <v>23100</v>
      </c>
      <c r="AK32" s="387">
        <v>1925</v>
      </c>
      <c r="AL32" s="387">
        <f t="shared" ref="AL32:AL41" si="31">+AP32*12</f>
        <v>549120</v>
      </c>
      <c r="AM32" s="387">
        <f t="shared" si="28"/>
        <v>42240</v>
      </c>
      <c r="AN32" s="387">
        <f t="shared" si="29"/>
        <v>42240</v>
      </c>
      <c r="AO32" s="387">
        <f t="shared" si="30"/>
        <v>42240</v>
      </c>
      <c r="AP32" s="387">
        <v>45760</v>
      </c>
      <c r="AQ32" s="387">
        <v>0</v>
      </c>
      <c r="AR32" s="387">
        <v>0</v>
      </c>
      <c r="AS32" s="387">
        <v>0</v>
      </c>
      <c r="AT32" s="387">
        <v>0</v>
      </c>
      <c r="AU32" s="391">
        <f t="shared" ref="AU32:AU41" si="32">+G32+I32+K32+M32+O32+Q32+S32+AN32+AI32+U32+W32+Y32+AA32+AC32+AE32+AG32+AM32+AO32+AQ32+AR32+AS32+AT32+AK32+AP32</f>
        <v>282821.64</v>
      </c>
    </row>
    <row r="33" spans="2:47" s="5" customFormat="1" ht="15" customHeight="1" thickBot="1" x14ac:dyDescent="0.3">
      <c r="B33" s="501">
        <f t="shared" si="8"/>
        <v>15</v>
      </c>
      <c r="C33" s="518"/>
      <c r="D33" s="463" t="s">
        <v>45</v>
      </c>
      <c r="E33" s="428">
        <v>73.59</v>
      </c>
      <c r="F33" s="429">
        <v>19</v>
      </c>
      <c r="G33" s="489">
        <f t="shared" ref="G33:G71" si="33">+F33*E33*31</f>
        <v>43344.51</v>
      </c>
      <c r="H33" s="429">
        <v>19</v>
      </c>
      <c r="I33" s="489">
        <f t="shared" ref="I33:I96" si="34">+H33*E33*28</f>
        <v>39149.880000000005</v>
      </c>
      <c r="J33" s="429"/>
      <c r="K33" s="486"/>
      <c r="L33" s="429"/>
      <c r="M33" s="486"/>
      <c r="N33" s="429"/>
      <c r="O33" s="486"/>
      <c r="P33" s="429"/>
      <c r="Q33" s="486"/>
      <c r="R33" s="429"/>
      <c r="S33" s="486"/>
      <c r="T33" s="429"/>
      <c r="U33" s="486"/>
      <c r="V33" s="429"/>
      <c r="W33" s="486"/>
      <c r="X33" s="429"/>
      <c r="Y33" s="486"/>
      <c r="Z33" s="429"/>
      <c r="AA33" s="486"/>
      <c r="AB33" s="429"/>
      <c r="AC33" s="504"/>
      <c r="AD33" s="432">
        <f t="shared" si="1"/>
        <v>16800</v>
      </c>
      <c r="AE33" s="413">
        <v>1400</v>
      </c>
      <c r="AF33" s="387">
        <f t="shared" si="2"/>
        <v>16800</v>
      </c>
      <c r="AG33" s="413">
        <v>1400</v>
      </c>
      <c r="AH33" s="387">
        <f t="shared" si="3"/>
        <v>16800</v>
      </c>
      <c r="AI33" s="413">
        <v>1400</v>
      </c>
      <c r="AJ33" s="387">
        <f t="shared" si="18"/>
        <v>16800</v>
      </c>
      <c r="AK33" s="387">
        <v>1400</v>
      </c>
      <c r="AL33" s="387">
        <f t="shared" si="31"/>
        <v>401280</v>
      </c>
      <c r="AM33" s="387">
        <f t="shared" si="28"/>
        <v>33440</v>
      </c>
      <c r="AN33" s="387">
        <f t="shared" si="29"/>
        <v>33440</v>
      </c>
      <c r="AO33" s="387">
        <f t="shared" si="30"/>
        <v>33440</v>
      </c>
      <c r="AP33" s="387">
        <v>33440</v>
      </c>
      <c r="AQ33" s="387">
        <v>0</v>
      </c>
      <c r="AR33" s="387">
        <v>0</v>
      </c>
      <c r="AS33" s="387">
        <v>0</v>
      </c>
      <c r="AT33" s="387">
        <v>0</v>
      </c>
      <c r="AU33" s="391">
        <f t="shared" si="32"/>
        <v>221854.39</v>
      </c>
    </row>
    <row r="34" spans="2:47" s="5" customFormat="1" ht="15" customHeight="1" thickBot="1" x14ac:dyDescent="0.3">
      <c r="B34" s="501">
        <f t="shared" si="8"/>
        <v>16</v>
      </c>
      <c r="C34" s="518"/>
      <c r="D34" s="463" t="s">
        <v>46</v>
      </c>
      <c r="E34" s="428">
        <v>74.63</v>
      </c>
      <c r="F34" s="429">
        <v>14</v>
      </c>
      <c r="G34" s="489">
        <f t="shared" si="33"/>
        <v>32389.42</v>
      </c>
      <c r="H34" s="429">
        <v>14</v>
      </c>
      <c r="I34" s="489">
        <f t="shared" si="34"/>
        <v>29254.959999999999</v>
      </c>
      <c r="J34" s="429"/>
      <c r="K34" s="486"/>
      <c r="L34" s="429"/>
      <c r="M34" s="486"/>
      <c r="N34" s="429"/>
      <c r="O34" s="486"/>
      <c r="P34" s="429"/>
      <c r="Q34" s="486"/>
      <c r="R34" s="429"/>
      <c r="S34" s="486"/>
      <c r="T34" s="429"/>
      <c r="U34" s="486"/>
      <c r="V34" s="429"/>
      <c r="W34" s="486"/>
      <c r="X34" s="429"/>
      <c r="Y34" s="486"/>
      <c r="Z34" s="429"/>
      <c r="AA34" s="486"/>
      <c r="AB34" s="429"/>
      <c r="AC34" s="504"/>
      <c r="AD34" s="432">
        <f t="shared" si="1"/>
        <v>12600</v>
      </c>
      <c r="AE34" s="413">
        <v>1050</v>
      </c>
      <c r="AF34" s="387">
        <f t="shared" si="2"/>
        <v>12600</v>
      </c>
      <c r="AG34" s="413">
        <v>1050</v>
      </c>
      <c r="AH34" s="387">
        <f t="shared" si="3"/>
        <v>12600</v>
      </c>
      <c r="AI34" s="413">
        <v>1050</v>
      </c>
      <c r="AJ34" s="387">
        <f t="shared" si="18"/>
        <v>12600</v>
      </c>
      <c r="AK34" s="387">
        <v>1050</v>
      </c>
      <c r="AL34" s="387">
        <f t="shared" si="31"/>
        <v>295680</v>
      </c>
      <c r="AM34" s="387">
        <f t="shared" si="28"/>
        <v>24640</v>
      </c>
      <c r="AN34" s="387">
        <f t="shared" si="29"/>
        <v>24640</v>
      </c>
      <c r="AO34" s="387">
        <f t="shared" si="30"/>
        <v>24640</v>
      </c>
      <c r="AP34" s="387">
        <v>24640</v>
      </c>
      <c r="AQ34" s="387">
        <v>0</v>
      </c>
      <c r="AR34" s="387">
        <v>0</v>
      </c>
      <c r="AS34" s="387">
        <v>0</v>
      </c>
      <c r="AT34" s="387">
        <v>0</v>
      </c>
      <c r="AU34" s="391">
        <f t="shared" si="32"/>
        <v>164404.38</v>
      </c>
    </row>
    <row r="35" spans="2:47" s="5" customFormat="1" ht="15" customHeight="1" thickBot="1" x14ac:dyDescent="0.3">
      <c r="B35" s="501">
        <f t="shared" si="8"/>
        <v>17</v>
      </c>
      <c r="C35" s="518"/>
      <c r="D35" s="463" t="s">
        <v>87</v>
      </c>
      <c r="E35" s="456">
        <v>75.64</v>
      </c>
      <c r="F35" s="429">
        <v>15</v>
      </c>
      <c r="G35" s="489">
        <f t="shared" si="33"/>
        <v>35172.6</v>
      </c>
      <c r="H35" s="429">
        <v>15</v>
      </c>
      <c r="I35" s="489">
        <f t="shared" si="34"/>
        <v>31768.799999999996</v>
      </c>
      <c r="J35" s="429"/>
      <c r="K35" s="486"/>
      <c r="L35" s="429"/>
      <c r="M35" s="486"/>
      <c r="N35" s="429"/>
      <c r="O35" s="486"/>
      <c r="P35" s="429"/>
      <c r="Q35" s="486"/>
      <c r="R35" s="429"/>
      <c r="S35" s="486"/>
      <c r="T35" s="429"/>
      <c r="U35" s="486"/>
      <c r="V35" s="429"/>
      <c r="W35" s="486"/>
      <c r="X35" s="429"/>
      <c r="Y35" s="486"/>
      <c r="Z35" s="429"/>
      <c r="AA35" s="486"/>
      <c r="AB35" s="429"/>
      <c r="AC35" s="504"/>
      <c r="AD35" s="432">
        <f t="shared" si="1"/>
        <v>0</v>
      </c>
      <c r="AE35" s="413"/>
      <c r="AF35" s="387">
        <f t="shared" si="2"/>
        <v>0</v>
      </c>
      <c r="AG35" s="413"/>
      <c r="AH35" s="387">
        <f t="shared" si="3"/>
        <v>0</v>
      </c>
      <c r="AI35" s="413"/>
      <c r="AJ35" s="387">
        <f t="shared" si="18"/>
        <v>0</v>
      </c>
      <c r="AK35" s="387"/>
      <c r="AL35" s="387">
        <f t="shared" si="31"/>
        <v>316800</v>
      </c>
      <c r="AM35" s="387">
        <f t="shared" si="28"/>
        <v>26400</v>
      </c>
      <c r="AN35" s="387">
        <f t="shared" si="29"/>
        <v>26400</v>
      </c>
      <c r="AO35" s="387">
        <f t="shared" si="30"/>
        <v>26400</v>
      </c>
      <c r="AP35" s="387">
        <v>26400</v>
      </c>
      <c r="AQ35" s="387">
        <v>0</v>
      </c>
      <c r="AR35" s="387">
        <v>0</v>
      </c>
      <c r="AS35" s="387">
        <v>0</v>
      </c>
      <c r="AT35" s="387">
        <v>0</v>
      </c>
      <c r="AU35" s="391">
        <f t="shared" si="32"/>
        <v>172541.4</v>
      </c>
    </row>
    <row r="36" spans="2:47" s="5" customFormat="1" ht="15" customHeight="1" thickBot="1" x14ac:dyDescent="0.3">
      <c r="B36" s="501">
        <f t="shared" si="8"/>
        <v>18</v>
      </c>
      <c r="C36" s="518"/>
      <c r="D36" s="463" t="s">
        <v>58</v>
      </c>
      <c r="E36" s="456">
        <v>77.59</v>
      </c>
      <c r="F36" s="429">
        <v>20</v>
      </c>
      <c r="G36" s="489">
        <f t="shared" si="33"/>
        <v>48105.8</v>
      </c>
      <c r="H36" s="429">
        <v>20</v>
      </c>
      <c r="I36" s="489">
        <f t="shared" si="34"/>
        <v>43450.400000000009</v>
      </c>
      <c r="J36" s="429"/>
      <c r="K36" s="486"/>
      <c r="L36" s="429"/>
      <c r="M36" s="486"/>
      <c r="N36" s="429"/>
      <c r="O36" s="486"/>
      <c r="P36" s="429"/>
      <c r="Q36" s="486"/>
      <c r="R36" s="429"/>
      <c r="S36" s="486"/>
      <c r="T36" s="429"/>
      <c r="U36" s="486"/>
      <c r="V36" s="429"/>
      <c r="W36" s="486"/>
      <c r="X36" s="429"/>
      <c r="Y36" s="486"/>
      <c r="Z36" s="429"/>
      <c r="AA36" s="486"/>
      <c r="AB36" s="429"/>
      <c r="AC36" s="504"/>
      <c r="AD36" s="432">
        <f t="shared" si="1"/>
        <v>0</v>
      </c>
      <c r="AE36" s="413"/>
      <c r="AF36" s="387">
        <f t="shared" si="2"/>
        <v>0</v>
      </c>
      <c r="AG36" s="413"/>
      <c r="AH36" s="387">
        <f t="shared" si="3"/>
        <v>0</v>
      </c>
      <c r="AI36" s="413"/>
      <c r="AJ36" s="387">
        <f t="shared" si="18"/>
        <v>0</v>
      </c>
      <c r="AK36" s="387"/>
      <c r="AL36" s="387">
        <f t="shared" si="31"/>
        <v>443520</v>
      </c>
      <c r="AM36" s="387">
        <f t="shared" si="28"/>
        <v>35200</v>
      </c>
      <c r="AN36" s="387">
        <f t="shared" si="29"/>
        <v>35200</v>
      </c>
      <c r="AO36" s="387">
        <f t="shared" si="30"/>
        <v>35200</v>
      </c>
      <c r="AP36" s="387">
        <v>36960</v>
      </c>
      <c r="AQ36" s="387">
        <v>0</v>
      </c>
      <c r="AR36" s="387">
        <v>0</v>
      </c>
      <c r="AS36" s="387">
        <v>0</v>
      </c>
      <c r="AT36" s="387">
        <v>0</v>
      </c>
      <c r="AU36" s="391">
        <f t="shared" si="32"/>
        <v>234116.2</v>
      </c>
    </row>
    <row r="37" spans="2:47" s="5" customFormat="1" ht="15.75" thickBot="1" x14ac:dyDescent="0.3">
      <c r="B37" s="508">
        <f t="shared" si="8"/>
        <v>19</v>
      </c>
      <c r="C37" s="518"/>
      <c r="D37" s="463" t="s">
        <v>71</v>
      </c>
      <c r="E37" s="428">
        <v>71.400000000000006</v>
      </c>
      <c r="F37" s="429">
        <v>6</v>
      </c>
      <c r="G37" s="489">
        <f t="shared" si="33"/>
        <v>13280.400000000001</v>
      </c>
      <c r="H37" s="429">
        <v>6</v>
      </c>
      <c r="I37" s="489">
        <f t="shared" si="34"/>
        <v>11995.2</v>
      </c>
      <c r="J37" s="429"/>
      <c r="K37" s="486"/>
      <c r="L37" s="429"/>
      <c r="M37" s="486"/>
      <c r="N37" s="429"/>
      <c r="O37" s="486"/>
      <c r="P37" s="429"/>
      <c r="Q37" s="486"/>
      <c r="R37" s="429"/>
      <c r="S37" s="486"/>
      <c r="T37" s="429"/>
      <c r="U37" s="486"/>
      <c r="V37" s="429"/>
      <c r="W37" s="486"/>
      <c r="X37" s="429"/>
      <c r="Y37" s="486"/>
      <c r="Z37" s="429"/>
      <c r="AA37" s="486"/>
      <c r="AB37" s="429"/>
      <c r="AC37" s="504"/>
      <c r="AD37" s="432">
        <f t="shared" si="1"/>
        <v>0</v>
      </c>
      <c r="AE37" s="413"/>
      <c r="AF37" s="387">
        <f t="shared" si="2"/>
        <v>0</v>
      </c>
      <c r="AG37" s="413"/>
      <c r="AH37" s="387">
        <f t="shared" si="3"/>
        <v>0</v>
      </c>
      <c r="AI37" s="413"/>
      <c r="AJ37" s="387">
        <f t="shared" si="18"/>
        <v>0</v>
      </c>
      <c r="AK37" s="387"/>
      <c r="AL37" s="387">
        <f t="shared" si="31"/>
        <v>21120</v>
      </c>
      <c r="AM37" s="387">
        <f t="shared" si="28"/>
        <v>10560</v>
      </c>
      <c r="AN37" s="387">
        <f t="shared" si="29"/>
        <v>10560</v>
      </c>
      <c r="AO37" s="387">
        <f t="shared" si="30"/>
        <v>10560</v>
      </c>
      <c r="AP37" s="387">
        <v>1760</v>
      </c>
      <c r="AQ37" s="387">
        <v>0</v>
      </c>
      <c r="AR37" s="387">
        <v>0</v>
      </c>
      <c r="AS37" s="387">
        <v>0</v>
      </c>
      <c r="AT37" s="387">
        <v>0</v>
      </c>
      <c r="AU37" s="391">
        <f t="shared" si="32"/>
        <v>58715.600000000006</v>
      </c>
    </row>
    <row r="38" spans="2:47" s="5" customFormat="1" ht="15" customHeight="1" thickBot="1" x14ac:dyDescent="0.3">
      <c r="B38" s="508">
        <f t="shared" si="8"/>
        <v>20</v>
      </c>
      <c r="C38" s="518"/>
      <c r="D38" s="463" t="s">
        <v>47</v>
      </c>
      <c r="E38" s="428">
        <v>71.400000000000006</v>
      </c>
      <c r="F38" s="429">
        <v>1</v>
      </c>
      <c r="G38" s="489">
        <f t="shared" si="33"/>
        <v>2213.4</v>
      </c>
      <c r="H38" s="429">
        <v>1</v>
      </c>
      <c r="I38" s="489">
        <f t="shared" si="34"/>
        <v>1999.2000000000003</v>
      </c>
      <c r="J38" s="429"/>
      <c r="K38" s="486"/>
      <c r="L38" s="429"/>
      <c r="M38" s="486"/>
      <c r="N38" s="429"/>
      <c r="O38" s="486"/>
      <c r="P38" s="429"/>
      <c r="Q38" s="486"/>
      <c r="R38" s="429"/>
      <c r="S38" s="486"/>
      <c r="T38" s="429"/>
      <c r="U38" s="486"/>
      <c r="V38" s="429"/>
      <c r="W38" s="486"/>
      <c r="X38" s="429"/>
      <c r="Y38" s="486"/>
      <c r="Z38" s="429"/>
      <c r="AA38" s="486"/>
      <c r="AB38" s="429"/>
      <c r="AC38" s="504"/>
      <c r="AD38" s="432">
        <f t="shared" si="1"/>
        <v>600</v>
      </c>
      <c r="AE38" s="413">
        <v>50</v>
      </c>
      <c r="AF38" s="387">
        <f t="shared" si="2"/>
        <v>600</v>
      </c>
      <c r="AG38" s="413">
        <v>50</v>
      </c>
      <c r="AH38" s="387">
        <f t="shared" si="3"/>
        <v>600</v>
      </c>
      <c r="AI38" s="413">
        <v>50</v>
      </c>
      <c r="AJ38" s="387">
        <f t="shared" si="18"/>
        <v>600</v>
      </c>
      <c r="AK38" s="387">
        <v>50</v>
      </c>
      <c r="AL38" s="387">
        <f t="shared" si="31"/>
        <v>21120</v>
      </c>
      <c r="AM38" s="387">
        <f t="shared" si="28"/>
        <v>1760</v>
      </c>
      <c r="AN38" s="387">
        <f t="shared" si="29"/>
        <v>1760</v>
      </c>
      <c r="AO38" s="387">
        <f t="shared" si="30"/>
        <v>1760</v>
      </c>
      <c r="AP38" s="387">
        <v>1760</v>
      </c>
      <c r="AQ38" s="387">
        <v>0</v>
      </c>
      <c r="AR38" s="387">
        <v>0</v>
      </c>
      <c r="AS38" s="387">
        <v>0</v>
      </c>
      <c r="AT38" s="387">
        <v>0</v>
      </c>
      <c r="AU38" s="391">
        <f t="shared" si="32"/>
        <v>11452.6</v>
      </c>
    </row>
    <row r="39" spans="2:47" ht="15" customHeight="1" thickBot="1" x14ac:dyDescent="0.3">
      <c r="B39" s="508">
        <f t="shared" si="8"/>
        <v>21</v>
      </c>
      <c r="C39" s="518"/>
      <c r="D39" s="463" t="s">
        <v>72</v>
      </c>
      <c r="E39" s="428">
        <v>71.400000000000006</v>
      </c>
      <c r="F39" s="429">
        <v>1</v>
      </c>
      <c r="G39" s="489">
        <f t="shared" si="33"/>
        <v>2213.4</v>
      </c>
      <c r="H39" s="429">
        <v>1</v>
      </c>
      <c r="I39" s="489">
        <f t="shared" si="34"/>
        <v>1999.2000000000003</v>
      </c>
      <c r="J39" s="429"/>
      <c r="K39" s="486"/>
      <c r="L39" s="429"/>
      <c r="M39" s="486"/>
      <c r="N39" s="429"/>
      <c r="O39" s="486"/>
      <c r="P39" s="429"/>
      <c r="Q39" s="486"/>
      <c r="R39" s="429"/>
      <c r="S39" s="486"/>
      <c r="T39" s="429"/>
      <c r="U39" s="486"/>
      <c r="V39" s="429"/>
      <c r="W39" s="486"/>
      <c r="X39" s="429"/>
      <c r="Y39" s="486"/>
      <c r="Z39" s="429"/>
      <c r="AA39" s="486"/>
      <c r="AB39" s="429"/>
      <c r="AC39" s="504"/>
      <c r="AD39" s="432">
        <f t="shared" si="1"/>
        <v>900</v>
      </c>
      <c r="AE39" s="413">
        <v>75</v>
      </c>
      <c r="AF39" s="387">
        <f t="shared" si="2"/>
        <v>900</v>
      </c>
      <c r="AG39" s="413">
        <v>75</v>
      </c>
      <c r="AH39" s="387">
        <f t="shared" si="3"/>
        <v>900</v>
      </c>
      <c r="AI39" s="413">
        <v>75</v>
      </c>
      <c r="AJ39" s="387">
        <f t="shared" si="18"/>
        <v>900</v>
      </c>
      <c r="AK39" s="387">
        <v>75</v>
      </c>
      <c r="AL39" s="387">
        <f t="shared" si="31"/>
        <v>21120</v>
      </c>
      <c r="AM39" s="387">
        <f t="shared" si="28"/>
        <v>1760</v>
      </c>
      <c r="AN39" s="387">
        <f t="shared" si="29"/>
        <v>1760</v>
      </c>
      <c r="AO39" s="387">
        <f t="shared" si="30"/>
        <v>1760</v>
      </c>
      <c r="AP39" s="387">
        <v>1760</v>
      </c>
      <c r="AQ39" s="387">
        <v>0</v>
      </c>
      <c r="AR39" s="387">
        <v>0</v>
      </c>
      <c r="AS39" s="387">
        <v>0</v>
      </c>
      <c r="AT39" s="387">
        <v>0</v>
      </c>
      <c r="AU39" s="391">
        <f t="shared" si="32"/>
        <v>11552.6</v>
      </c>
    </row>
    <row r="40" spans="2:47" ht="15" customHeight="1" thickBot="1" x14ac:dyDescent="0.3">
      <c r="B40" s="508">
        <f t="shared" si="8"/>
        <v>22</v>
      </c>
      <c r="C40" s="518"/>
      <c r="D40" s="463" t="s">
        <v>48</v>
      </c>
      <c r="E40" s="428">
        <v>74.63</v>
      </c>
      <c r="F40" s="429">
        <v>1</v>
      </c>
      <c r="G40" s="489">
        <f t="shared" si="33"/>
        <v>2313.5299999999997</v>
      </c>
      <c r="H40" s="429">
        <v>1</v>
      </c>
      <c r="I40" s="489">
        <f t="shared" si="34"/>
        <v>2089.64</v>
      </c>
      <c r="J40" s="429"/>
      <c r="K40" s="486"/>
      <c r="L40" s="429"/>
      <c r="M40" s="486"/>
      <c r="N40" s="429"/>
      <c r="O40" s="486"/>
      <c r="P40" s="429"/>
      <c r="Q40" s="486"/>
      <c r="R40" s="429"/>
      <c r="S40" s="486"/>
      <c r="T40" s="429"/>
      <c r="U40" s="486"/>
      <c r="V40" s="429"/>
      <c r="W40" s="486"/>
      <c r="X40" s="429"/>
      <c r="Y40" s="486"/>
      <c r="Z40" s="429"/>
      <c r="AA40" s="486"/>
      <c r="AB40" s="429"/>
      <c r="AC40" s="504"/>
      <c r="AD40" s="432">
        <f t="shared" ref="AD40" si="35">+AE40*12</f>
        <v>900</v>
      </c>
      <c r="AE40" s="413">
        <v>75</v>
      </c>
      <c r="AF40" s="387">
        <f t="shared" ref="AF40" si="36">+AG40*12</f>
        <v>900</v>
      </c>
      <c r="AG40" s="413">
        <v>75</v>
      </c>
      <c r="AH40" s="387">
        <f t="shared" ref="AH40" si="37">+AI40*12</f>
        <v>900</v>
      </c>
      <c r="AI40" s="413">
        <v>75</v>
      </c>
      <c r="AJ40" s="387">
        <f t="shared" ref="AJ40" si="38">+AK40*12</f>
        <v>900</v>
      </c>
      <c r="AK40" s="387">
        <v>75</v>
      </c>
      <c r="AL40" s="387">
        <f t="shared" ref="AL40" si="39">+AP40*12</f>
        <v>21120</v>
      </c>
      <c r="AM40" s="387">
        <f t="shared" ref="AM40" si="40">1760*F40</f>
        <v>1760</v>
      </c>
      <c r="AN40" s="387">
        <f t="shared" ref="AN40" si="41">1760*H40</f>
        <v>1760</v>
      </c>
      <c r="AO40" s="387">
        <f t="shared" ref="AO40" si="42">1760*H40</f>
        <v>1760</v>
      </c>
      <c r="AP40" s="387">
        <v>1760</v>
      </c>
      <c r="AQ40" s="387">
        <v>0</v>
      </c>
      <c r="AR40" s="387">
        <v>0</v>
      </c>
      <c r="AS40" s="387">
        <v>0</v>
      </c>
      <c r="AT40" s="387">
        <v>0</v>
      </c>
      <c r="AU40" s="391">
        <f t="shared" ref="AU40" si="43">+G40+I40+K40+M40+O40+Q40+S40+AN40+AI40+U40+W40+Y40+AA40+AC40+AE40+AG40+AM40+AO40+AQ40+AR40+AS40+AT40+AK40+AP40</f>
        <v>11743.17</v>
      </c>
    </row>
    <row r="41" spans="2:47" ht="15" customHeight="1" thickBot="1" x14ac:dyDescent="0.3">
      <c r="B41" s="508">
        <f t="shared" si="8"/>
        <v>23</v>
      </c>
      <c r="C41" s="518"/>
      <c r="D41" s="463" t="s">
        <v>34</v>
      </c>
      <c r="E41" s="428">
        <v>71.400000000000006</v>
      </c>
      <c r="F41" s="429">
        <v>28</v>
      </c>
      <c r="G41" s="489">
        <f t="shared" si="33"/>
        <v>61975.200000000012</v>
      </c>
      <c r="H41" s="429">
        <v>28</v>
      </c>
      <c r="I41" s="489">
        <f t="shared" si="34"/>
        <v>55977.600000000006</v>
      </c>
      <c r="J41" s="429"/>
      <c r="K41" s="486"/>
      <c r="L41" s="429"/>
      <c r="M41" s="486"/>
      <c r="N41" s="429"/>
      <c r="O41" s="486"/>
      <c r="P41" s="429"/>
      <c r="Q41" s="486"/>
      <c r="R41" s="429"/>
      <c r="S41" s="486"/>
      <c r="T41" s="429"/>
      <c r="U41" s="486"/>
      <c r="V41" s="429"/>
      <c r="W41" s="486"/>
      <c r="X41" s="429"/>
      <c r="Y41" s="486"/>
      <c r="Z41" s="429"/>
      <c r="AA41" s="486"/>
      <c r="AB41" s="429"/>
      <c r="AC41" s="504"/>
      <c r="AD41" s="432">
        <f t="shared" si="1"/>
        <v>4200</v>
      </c>
      <c r="AE41" s="413">
        <v>350</v>
      </c>
      <c r="AF41" s="387">
        <f t="shared" si="2"/>
        <v>3780</v>
      </c>
      <c r="AG41" s="413">
        <v>315</v>
      </c>
      <c r="AH41" s="387">
        <f t="shared" si="3"/>
        <v>3780</v>
      </c>
      <c r="AI41" s="413">
        <v>315</v>
      </c>
      <c r="AJ41" s="387">
        <f t="shared" si="18"/>
        <v>3948</v>
      </c>
      <c r="AK41" s="387">
        <v>329</v>
      </c>
      <c r="AL41" s="387">
        <f t="shared" si="31"/>
        <v>690312.00000000012</v>
      </c>
      <c r="AM41" s="387">
        <f t="shared" si="28"/>
        <v>49280</v>
      </c>
      <c r="AN41" s="387">
        <f>1760*28+250</f>
        <v>49530</v>
      </c>
      <c r="AO41" s="387">
        <f>3520+19610+26400</f>
        <v>49530</v>
      </c>
      <c r="AP41" s="387">
        <v>57526.000000000007</v>
      </c>
      <c r="AQ41" s="387">
        <v>0</v>
      </c>
      <c r="AR41" s="387">
        <v>0</v>
      </c>
      <c r="AS41" s="387">
        <v>0</v>
      </c>
      <c r="AT41" s="387">
        <v>0</v>
      </c>
      <c r="AU41" s="391">
        <f t="shared" si="32"/>
        <v>325127.80000000005</v>
      </c>
    </row>
    <row r="42" spans="2:47" ht="15" customHeight="1" thickBot="1" x14ac:dyDescent="0.3">
      <c r="B42" s="508">
        <f t="shared" si="8"/>
        <v>24</v>
      </c>
      <c r="C42" s="518"/>
      <c r="D42" s="463" t="s">
        <v>66</v>
      </c>
      <c r="E42" s="428">
        <v>73.59</v>
      </c>
      <c r="F42" s="429">
        <v>4</v>
      </c>
      <c r="G42" s="489">
        <f t="shared" si="33"/>
        <v>9125.16</v>
      </c>
      <c r="H42" s="429">
        <v>4</v>
      </c>
      <c r="I42" s="489">
        <f t="shared" si="34"/>
        <v>8242.08</v>
      </c>
      <c r="J42" s="429"/>
      <c r="K42" s="486"/>
      <c r="L42" s="429"/>
      <c r="M42" s="486"/>
      <c r="N42" s="429"/>
      <c r="O42" s="486"/>
      <c r="P42" s="429"/>
      <c r="Q42" s="486"/>
      <c r="R42" s="429"/>
      <c r="S42" s="486"/>
      <c r="T42" s="429"/>
      <c r="U42" s="486"/>
      <c r="V42" s="429"/>
      <c r="W42" s="486"/>
      <c r="X42" s="429"/>
      <c r="Y42" s="486"/>
      <c r="Z42" s="429"/>
      <c r="AA42" s="486"/>
      <c r="AB42" s="429"/>
      <c r="AC42" s="504"/>
      <c r="AD42" s="432">
        <f t="shared" si="1"/>
        <v>3600</v>
      </c>
      <c r="AE42" s="413">
        <v>300</v>
      </c>
      <c r="AF42" s="387">
        <f t="shared" si="2"/>
        <v>3600</v>
      </c>
      <c r="AG42" s="413">
        <v>300</v>
      </c>
      <c r="AH42" s="387">
        <f t="shared" si="3"/>
        <v>3600</v>
      </c>
      <c r="AI42" s="413">
        <v>300</v>
      </c>
      <c r="AJ42" s="387">
        <f t="shared" si="18"/>
        <v>3600</v>
      </c>
      <c r="AK42" s="387">
        <v>300</v>
      </c>
      <c r="AL42" s="387">
        <f>+AP42*12</f>
        <v>84480</v>
      </c>
      <c r="AM42" s="387">
        <f t="shared" si="28"/>
        <v>7040</v>
      </c>
      <c r="AN42" s="387">
        <f t="shared" ref="AN42:AN55" si="44">1760*H42</f>
        <v>7040</v>
      </c>
      <c r="AO42" s="387">
        <f t="shared" ref="AO42:AO55" si="45">1760*H42</f>
        <v>7040</v>
      </c>
      <c r="AP42" s="387">
        <v>7040</v>
      </c>
      <c r="AQ42" s="387">
        <v>0</v>
      </c>
      <c r="AR42" s="387">
        <v>0</v>
      </c>
      <c r="AS42" s="387">
        <v>0</v>
      </c>
      <c r="AT42" s="387">
        <v>0</v>
      </c>
      <c r="AU42" s="391">
        <f>+G42+I42+K42+M42+O42+Q42+S42+AN42+AI42+U42+W42+Y42+AA42+AC42+AE42+AG42+AM42+AO42+AQ42+AR42+AS42+AT42+AK42+AP42</f>
        <v>46727.24</v>
      </c>
    </row>
    <row r="43" spans="2:47" ht="15" customHeight="1" thickBot="1" x14ac:dyDescent="0.3">
      <c r="B43" s="508">
        <f t="shared" si="8"/>
        <v>25</v>
      </c>
      <c r="C43" s="518"/>
      <c r="D43" s="463" t="s">
        <v>49</v>
      </c>
      <c r="E43" s="428">
        <v>74.63</v>
      </c>
      <c r="F43" s="429">
        <v>2</v>
      </c>
      <c r="G43" s="489">
        <f t="shared" si="33"/>
        <v>4627.0599999999995</v>
      </c>
      <c r="H43" s="429">
        <v>2</v>
      </c>
      <c r="I43" s="489">
        <f t="shared" si="34"/>
        <v>4179.28</v>
      </c>
      <c r="J43" s="429"/>
      <c r="K43" s="486"/>
      <c r="L43" s="429"/>
      <c r="M43" s="486"/>
      <c r="N43" s="429"/>
      <c r="O43" s="486"/>
      <c r="P43" s="429"/>
      <c r="Q43" s="486"/>
      <c r="R43" s="429"/>
      <c r="S43" s="486"/>
      <c r="T43" s="429"/>
      <c r="U43" s="486"/>
      <c r="V43" s="429"/>
      <c r="W43" s="486"/>
      <c r="X43" s="429"/>
      <c r="Y43" s="486"/>
      <c r="Z43" s="429"/>
      <c r="AA43" s="486"/>
      <c r="AB43" s="429"/>
      <c r="AC43" s="504"/>
      <c r="AD43" s="432"/>
      <c r="AE43" s="413"/>
      <c r="AF43" s="387"/>
      <c r="AG43" s="413"/>
      <c r="AH43" s="387"/>
      <c r="AI43" s="413"/>
      <c r="AJ43" s="387"/>
      <c r="AK43" s="387"/>
      <c r="AL43" s="387"/>
      <c r="AM43" s="387"/>
      <c r="AN43" s="387"/>
      <c r="AO43" s="387"/>
      <c r="AP43" s="387"/>
      <c r="AQ43" s="387"/>
      <c r="AR43" s="387"/>
      <c r="AS43" s="387"/>
      <c r="AT43" s="387"/>
      <c r="AU43" s="391"/>
    </row>
    <row r="44" spans="2:47" ht="15" customHeight="1" thickBot="1" x14ac:dyDescent="0.3">
      <c r="B44" s="508">
        <f t="shared" si="8"/>
        <v>26</v>
      </c>
      <c r="C44" s="518"/>
      <c r="D44" s="463" t="s">
        <v>50</v>
      </c>
      <c r="E44" s="428">
        <v>74.63</v>
      </c>
      <c r="F44" s="429">
        <v>1</v>
      </c>
      <c r="G44" s="489">
        <f t="shared" si="33"/>
        <v>2313.5299999999997</v>
      </c>
      <c r="H44" s="429">
        <v>1</v>
      </c>
      <c r="I44" s="489">
        <f t="shared" si="34"/>
        <v>2089.64</v>
      </c>
      <c r="J44" s="429"/>
      <c r="K44" s="486"/>
      <c r="L44" s="429"/>
      <c r="M44" s="486"/>
      <c r="N44" s="429"/>
      <c r="O44" s="486"/>
      <c r="P44" s="429"/>
      <c r="Q44" s="486"/>
      <c r="R44" s="429"/>
      <c r="S44" s="486"/>
      <c r="T44" s="429"/>
      <c r="U44" s="486"/>
      <c r="V44" s="429"/>
      <c r="W44" s="486"/>
      <c r="X44" s="429"/>
      <c r="Y44" s="486"/>
      <c r="Z44" s="429"/>
      <c r="AA44" s="486"/>
      <c r="AB44" s="429"/>
      <c r="AC44" s="504"/>
      <c r="AD44" s="432">
        <f t="shared" si="1"/>
        <v>900</v>
      </c>
      <c r="AE44" s="413">
        <v>75</v>
      </c>
      <c r="AF44" s="387">
        <f t="shared" si="2"/>
        <v>900</v>
      </c>
      <c r="AG44" s="413">
        <v>75</v>
      </c>
      <c r="AH44" s="387">
        <f t="shared" si="3"/>
        <v>900</v>
      </c>
      <c r="AI44" s="413">
        <v>75</v>
      </c>
      <c r="AJ44" s="387">
        <f t="shared" si="18"/>
        <v>900</v>
      </c>
      <c r="AK44" s="387">
        <v>75</v>
      </c>
      <c r="AL44" s="387">
        <f>+AP44*12</f>
        <v>21120</v>
      </c>
      <c r="AM44" s="387">
        <f t="shared" si="28"/>
        <v>1760</v>
      </c>
      <c r="AN44" s="387">
        <f t="shared" si="44"/>
        <v>1760</v>
      </c>
      <c r="AO44" s="387">
        <f t="shared" si="45"/>
        <v>1760</v>
      </c>
      <c r="AP44" s="387">
        <v>1760</v>
      </c>
      <c r="AQ44" s="387">
        <v>0</v>
      </c>
      <c r="AR44" s="387">
        <v>0</v>
      </c>
      <c r="AS44" s="387">
        <v>0</v>
      </c>
      <c r="AT44" s="387">
        <v>0</v>
      </c>
      <c r="AU44" s="391">
        <f>+G44+I44+K44+M44+O44+Q44+S44+AN44+AI44+U44+W44+Y44+AA44+AC44+AE44+AG44+AM44+AO44+AQ44+AR44+AS44+AT44+AK44+AP44</f>
        <v>11743.17</v>
      </c>
    </row>
    <row r="45" spans="2:47" ht="15" customHeight="1" thickBot="1" x14ac:dyDescent="0.3">
      <c r="B45" s="508">
        <f t="shared" si="8"/>
        <v>27</v>
      </c>
      <c r="C45" s="518"/>
      <c r="D45" s="463" t="s">
        <v>151</v>
      </c>
      <c r="E45" s="428">
        <v>76.59</v>
      </c>
      <c r="F45" s="429">
        <v>1</v>
      </c>
      <c r="G45" s="489">
        <f t="shared" si="33"/>
        <v>2374.29</v>
      </c>
      <c r="H45" s="429">
        <v>1</v>
      </c>
      <c r="I45" s="489">
        <f t="shared" si="34"/>
        <v>2144.52</v>
      </c>
      <c r="J45" s="429"/>
      <c r="K45" s="486"/>
      <c r="L45" s="429"/>
      <c r="M45" s="486"/>
      <c r="N45" s="429"/>
      <c r="O45" s="486"/>
      <c r="P45" s="429"/>
      <c r="Q45" s="486"/>
      <c r="R45" s="429"/>
      <c r="S45" s="486"/>
      <c r="T45" s="429"/>
      <c r="U45" s="486"/>
      <c r="V45" s="429"/>
      <c r="W45" s="486"/>
      <c r="X45" s="429"/>
      <c r="Y45" s="486"/>
      <c r="Z45" s="429"/>
      <c r="AA45" s="486"/>
      <c r="AB45" s="429"/>
      <c r="AC45" s="504"/>
      <c r="AD45" s="432"/>
      <c r="AE45" s="413"/>
      <c r="AF45" s="387"/>
      <c r="AG45" s="413"/>
      <c r="AH45" s="387"/>
      <c r="AI45" s="413"/>
      <c r="AJ45" s="387"/>
      <c r="AK45" s="387"/>
      <c r="AL45" s="387"/>
      <c r="AM45" s="387">
        <f t="shared" si="28"/>
        <v>1760</v>
      </c>
      <c r="AN45" s="387">
        <f t="shared" si="44"/>
        <v>1760</v>
      </c>
      <c r="AO45" s="387">
        <f t="shared" si="45"/>
        <v>1760</v>
      </c>
      <c r="AP45" s="387"/>
      <c r="AQ45" s="387"/>
      <c r="AR45" s="387"/>
      <c r="AS45" s="387"/>
      <c r="AT45" s="387"/>
      <c r="AU45" s="391"/>
    </row>
    <row r="46" spans="2:47" ht="15" customHeight="1" thickBot="1" x14ac:dyDescent="0.3">
      <c r="B46" s="508">
        <f t="shared" si="8"/>
        <v>28</v>
      </c>
      <c r="C46" s="518"/>
      <c r="D46" s="463" t="s">
        <v>60</v>
      </c>
      <c r="E46" s="428">
        <v>77.59</v>
      </c>
      <c r="F46" s="429">
        <v>4</v>
      </c>
      <c r="G46" s="489">
        <f t="shared" si="33"/>
        <v>9621.16</v>
      </c>
      <c r="H46" s="429">
        <v>4</v>
      </c>
      <c r="I46" s="489">
        <f t="shared" si="34"/>
        <v>8690.08</v>
      </c>
      <c r="J46" s="429"/>
      <c r="K46" s="486"/>
      <c r="L46" s="429"/>
      <c r="M46" s="486"/>
      <c r="N46" s="429"/>
      <c r="O46" s="486"/>
      <c r="P46" s="429"/>
      <c r="Q46" s="486"/>
      <c r="R46" s="429"/>
      <c r="S46" s="486"/>
      <c r="T46" s="429"/>
      <c r="U46" s="486"/>
      <c r="V46" s="429"/>
      <c r="W46" s="486"/>
      <c r="X46" s="429"/>
      <c r="Y46" s="486"/>
      <c r="Z46" s="429"/>
      <c r="AA46" s="486"/>
      <c r="AB46" s="429"/>
      <c r="AC46" s="504"/>
      <c r="AD46" s="432"/>
      <c r="AE46" s="413"/>
      <c r="AF46" s="387"/>
      <c r="AG46" s="413"/>
      <c r="AH46" s="387"/>
      <c r="AI46" s="413"/>
      <c r="AJ46" s="387"/>
      <c r="AK46" s="387"/>
      <c r="AL46" s="387"/>
      <c r="AM46" s="387"/>
      <c r="AN46" s="387"/>
      <c r="AO46" s="387"/>
      <c r="AP46" s="387"/>
      <c r="AQ46" s="387"/>
      <c r="AR46" s="387"/>
      <c r="AS46" s="387"/>
      <c r="AT46" s="387"/>
      <c r="AU46" s="391"/>
    </row>
    <row r="47" spans="2:47" ht="15" customHeight="1" thickBot="1" x14ac:dyDescent="0.3">
      <c r="B47" s="508">
        <f t="shared" si="8"/>
        <v>29</v>
      </c>
      <c r="C47" s="518"/>
      <c r="D47" s="463" t="s">
        <v>76</v>
      </c>
      <c r="E47" s="428">
        <v>72.540000000000006</v>
      </c>
      <c r="F47" s="429">
        <v>1</v>
      </c>
      <c r="G47" s="489">
        <f t="shared" ref="G47" si="46">+F47*E47*31</f>
        <v>2248.7400000000002</v>
      </c>
      <c r="H47" s="429">
        <v>1</v>
      </c>
      <c r="I47" s="489">
        <f t="shared" si="34"/>
        <v>2031.1200000000001</v>
      </c>
      <c r="J47" s="429"/>
      <c r="K47" s="486"/>
      <c r="L47" s="429"/>
      <c r="M47" s="486"/>
      <c r="N47" s="429"/>
      <c r="O47" s="486"/>
      <c r="P47" s="429"/>
      <c r="Q47" s="486"/>
      <c r="R47" s="429"/>
      <c r="S47" s="486"/>
      <c r="T47" s="429"/>
      <c r="U47" s="486"/>
      <c r="V47" s="429"/>
      <c r="W47" s="486"/>
      <c r="X47" s="429"/>
      <c r="Y47" s="486"/>
      <c r="Z47" s="429"/>
      <c r="AA47" s="486"/>
      <c r="AB47" s="429"/>
      <c r="AC47" s="504"/>
      <c r="AD47" s="432">
        <f t="shared" si="1"/>
        <v>0</v>
      </c>
      <c r="AE47" s="413"/>
      <c r="AF47" s="387">
        <f t="shared" si="2"/>
        <v>0</v>
      </c>
      <c r="AG47" s="413"/>
      <c r="AH47" s="387">
        <f t="shared" si="3"/>
        <v>0</v>
      </c>
      <c r="AI47" s="413"/>
      <c r="AJ47" s="387">
        <f t="shared" si="18"/>
        <v>0</v>
      </c>
      <c r="AK47" s="387"/>
      <c r="AL47" s="387">
        <f>+AP47*12</f>
        <v>84480</v>
      </c>
      <c r="AM47" s="387">
        <f t="shared" si="28"/>
        <v>1760</v>
      </c>
      <c r="AN47" s="387">
        <f t="shared" si="44"/>
        <v>1760</v>
      </c>
      <c r="AO47" s="387">
        <f t="shared" si="45"/>
        <v>1760</v>
      </c>
      <c r="AP47" s="387">
        <v>7040</v>
      </c>
      <c r="AQ47" s="387">
        <v>0</v>
      </c>
      <c r="AR47" s="387">
        <v>0</v>
      </c>
      <c r="AS47" s="387">
        <v>0</v>
      </c>
      <c r="AT47" s="387">
        <v>0</v>
      </c>
      <c r="AU47" s="391">
        <f>+G47+I47+K47+M47+O47+Q47+S47+AN47+AI47+U47+W47+Y47+AA47+AC47+AE47+AG47+AM47+AO47+AQ47+AR47+AS47+AT47+AK47+AP47</f>
        <v>16599.86</v>
      </c>
    </row>
    <row r="48" spans="2:47" ht="15" customHeight="1" thickBot="1" x14ac:dyDescent="0.3">
      <c r="B48" s="508">
        <f t="shared" si="8"/>
        <v>30</v>
      </c>
      <c r="C48" s="518"/>
      <c r="D48" s="464" t="s">
        <v>52</v>
      </c>
      <c r="E48" s="428">
        <v>72.540000000000006</v>
      </c>
      <c r="F48" s="429">
        <v>1</v>
      </c>
      <c r="G48" s="489">
        <f t="shared" si="33"/>
        <v>2248.7400000000002</v>
      </c>
      <c r="H48" s="429">
        <v>1</v>
      </c>
      <c r="I48" s="489">
        <f t="shared" si="34"/>
        <v>2031.1200000000001</v>
      </c>
      <c r="J48" s="429"/>
      <c r="K48" s="486"/>
      <c r="L48" s="429"/>
      <c r="M48" s="486"/>
      <c r="N48" s="429"/>
      <c r="O48" s="486"/>
      <c r="P48" s="429"/>
      <c r="Q48" s="486"/>
      <c r="R48" s="429"/>
      <c r="S48" s="486"/>
      <c r="T48" s="429"/>
      <c r="U48" s="486"/>
      <c r="V48" s="429"/>
      <c r="W48" s="486"/>
      <c r="X48" s="429"/>
      <c r="Y48" s="486"/>
      <c r="Z48" s="429"/>
      <c r="AA48" s="486"/>
      <c r="AB48" s="429"/>
      <c r="AC48" s="504"/>
      <c r="AD48" s="432"/>
      <c r="AE48" s="413"/>
      <c r="AF48" s="387"/>
      <c r="AG48" s="413"/>
      <c r="AH48" s="387"/>
      <c r="AI48" s="413"/>
      <c r="AJ48" s="387"/>
      <c r="AK48" s="387"/>
      <c r="AL48" s="387"/>
      <c r="AM48" s="387"/>
      <c r="AN48" s="387"/>
      <c r="AO48" s="387"/>
      <c r="AP48" s="387"/>
      <c r="AQ48" s="387"/>
      <c r="AR48" s="387"/>
      <c r="AS48" s="387"/>
      <c r="AT48" s="387"/>
      <c r="AU48" s="391"/>
    </row>
    <row r="49" spans="2:50" ht="15" customHeight="1" thickBot="1" x14ac:dyDescent="0.3">
      <c r="B49" s="508">
        <f t="shared" si="8"/>
        <v>31</v>
      </c>
      <c r="C49" s="518"/>
      <c r="D49" s="463" t="s">
        <v>37</v>
      </c>
      <c r="E49" s="428">
        <v>71.400000000000006</v>
      </c>
      <c r="F49" s="429">
        <v>6</v>
      </c>
      <c r="G49" s="489">
        <f t="shared" si="33"/>
        <v>13280.400000000001</v>
      </c>
      <c r="H49" s="429">
        <v>6</v>
      </c>
      <c r="I49" s="489">
        <f t="shared" si="34"/>
        <v>11995.2</v>
      </c>
      <c r="J49" s="429"/>
      <c r="K49" s="486"/>
      <c r="L49" s="429"/>
      <c r="M49" s="486"/>
      <c r="N49" s="429"/>
      <c r="O49" s="486"/>
      <c r="P49" s="429"/>
      <c r="Q49" s="486"/>
      <c r="R49" s="429"/>
      <c r="S49" s="486"/>
      <c r="T49" s="429"/>
      <c r="U49" s="486"/>
      <c r="V49" s="429"/>
      <c r="W49" s="486"/>
      <c r="X49" s="429"/>
      <c r="Y49" s="486"/>
      <c r="Z49" s="429"/>
      <c r="AA49" s="486"/>
      <c r="AB49" s="429"/>
      <c r="AC49" s="504"/>
      <c r="AD49" s="432">
        <f t="shared" si="1"/>
        <v>900</v>
      </c>
      <c r="AE49" s="413">
        <v>75</v>
      </c>
      <c r="AF49" s="387">
        <f t="shared" si="2"/>
        <v>900</v>
      </c>
      <c r="AG49" s="413">
        <v>75</v>
      </c>
      <c r="AH49" s="387">
        <f t="shared" si="3"/>
        <v>900</v>
      </c>
      <c r="AI49" s="413">
        <v>75</v>
      </c>
      <c r="AJ49" s="387">
        <f t="shared" si="18"/>
        <v>900</v>
      </c>
      <c r="AK49" s="387">
        <v>75</v>
      </c>
      <c r="AL49" s="387">
        <f>+AP49*12</f>
        <v>21120</v>
      </c>
      <c r="AM49" s="387">
        <f t="shared" si="28"/>
        <v>10560</v>
      </c>
      <c r="AN49" s="387">
        <f t="shared" si="44"/>
        <v>10560</v>
      </c>
      <c r="AO49" s="387">
        <f t="shared" si="45"/>
        <v>10560</v>
      </c>
      <c r="AP49" s="387">
        <v>1760</v>
      </c>
      <c r="AQ49" s="387">
        <v>0</v>
      </c>
      <c r="AR49" s="387">
        <v>0</v>
      </c>
      <c r="AS49" s="387">
        <v>0</v>
      </c>
      <c r="AT49" s="387">
        <v>0</v>
      </c>
      <c r="AU49" s="391">
        <f>+G49+I49+K49+M49+O49+Q49+S49+AN49+AI49+U49+W49+Y49+AA49+AC49+AE49+AG49+AM49+AO49+AQ49+AR49+AS49+AT49+AK49+AP49</f>
        <v>59015.600000000006</v>
      </c>
      <c r="AW49" s="76"/>
      <c r="AX49" s="76"/>
    </row>
    <row r="50" spans="2:50" ht="15" customHeight="1" thickBot="1" x14ac:dyDescent="0.3">
      <c r="B50" s="508">
        <f t="shared" si="8"/>
        <v>32</v>
      </c>
      <c r="C50" s="518"/>
      <c r="D50" s="464" t="s">
        <v>61</v>
      </c>
      <c r="E50" s="428">
        <v>75.64</v>
      </c>
      <c r="F50" s="429">
        <v>1</v>
      </c>
      <c r="G50" s="489">
        <f t="shared" si="33"/>
        <v>2344.84</v>
      </c>
      <c r="H50" s="429">
        <v>1</v>
      </c>
      <c r="I50" s="489">
        <f t="shared" si="34"/>
        <v>2117.92</v>
      </c>
      <c r="J50" s="429"/>
      <c r="K50" s="486"/>
      <c r="L50" s="429"/>
      <c r="M50" s="486"/>
      <c r="N50" s="429"/>
      <c r="O50" s="486"/>
      <c r="P50" s="429"/>
      <c r="Q50" s="486"/>
      <c r="R50" s="429"/>
      <c r="S50" s="486"/>
      <c r="T50" s="429"/>
      <c r="U50" s="486"/>
      <c r="V50" s="429"/>
      <c r="W50" s="486"/>
      <c r="X50" s="429"/>
      <c r="Y50" s="486"/>
      <c r="Z50" s="429"/>
      <c r="AA50" s="486"/>
      <c r="AB50" s="429"/>
      <c r="AC50" s="504"/>
      <c r="AD50" s="432">
        <f t="shared" si="1"/>
        <v>2400</v>
      </c>
      <c r="AE50" s="413">
        <v>200</v>
      </c>
      <c r="AF50" s="387">
        <f t="shared" si="2"/>
        <v>2400</v>
      </c>
      <c r="AG50" s="413">
        <v>200</v>
      </c>
      <c r="AH50" s="387">
        <f t="shared" si="3"/>
        <v>2400</v>
      </c>
      <c r="AI50" s="413">
        <v>200</v>
      </c>
      <c r="AJ50" s="387">
        <f t="shared" si="18"/>
        <v>2400</v>
      </c>
      <c r="AK50" s="387">
        <v>200</v>
      </c>
      <c r="AL50" s="387">
        <f>+AP50*12</f>
        <v>84480</v>
      </c>
      <c r="AM50" s="387">
        <f t="shared" si="28"/>
        <v>1760</v>
      </c>
      <c r="AN50" s="387">
        <f t="shared" si="44"/>
        <v>1760</v>
      </c>
      <c r="AO50" s="387">
        <f t="shared" si="45"/>
        <v>1760</v>
      </c>
      <c r="AP50" s="387">
        <v>7040</v>
      </c>
      <c r="AQ50" s="387">
        <v>0</v>
      </c>
      <c r="AR50" s="387">
        <v>0</v>
      </c>
      <c r="AS50" s="387">
        <v>0</v>
      </c>
      <c r="AT50" s="387">
        <v>0</v>
      </c>
      <c r="AU50" s="391">
        <f>+G50+I50+K50+M50+O50+Q50+S50+AN50+AI50+U50+W50+Y50+AA50+AC50+AE50+AG50+AM50+AO50+AQ50+AR50+AS50+AT50+AK50+AP50</f>
        <v>17582.760000000002</v>
      </c>
      <c r="AW50" s="76"/>
      <c r="AX50" s="76"/>
    </row>
    <row r="51" spans="2:50" ht="15" customHeight="1" thickBot="1" x14ac:dyDescent="0.3">
      <c r="B51" s="508">
        <f t="shared" si="8"/>
        <v>33</v>
      </c>
      <c r="C51" s="518"/>
      <c r="D51" s="463" t="s">
        <v>62</v>
      </c>
      <c r="E51" s="428">
        <v>80.86</v>
      </c>
      <c r="F51" s="429">
        <v>1</v>
      </c>
      <c r="G51" s="489">
        <f>+F51*E51*16</f>
        <v>1293.76</v>
      </c>
      <c r="H51" s="429">
        <v>1</v>
      </c>
      <c r="I51" s="489">
        <v>0</v>
      </c>
      <c r="J51" s="429"/>
      <c r="K51" s="486"/>
      <c r="L51" s="429"/>
      <c r="M51" s="486"/>
      <c r="N51" s="429"/>
      <c r="O51" s="486"/>
      <c r="P51" s="429"/>
      <c r="Q51" s="486"/>
      <c r="R51" s="429"/>
      <c r="S51" s="486"/>
      <c r="T51" s="429"/>
      <c r="U51" s="486"/>
      <c r="V51" s="429"/>
      <c r="W51" s="486"/>
      <c r="X51" s="429"/>
      <c r="Y51" s="486"/>
      <c r="Z51" s="429"/>
      <c r="AA51" s="486"/>
      <c r="AB51" s="429"/>
      <c r="AC51" s="504"/>
      <c r="AD51" s="432"/>
      <c r="AE51" s="413"/>
      <c r="AF51" s="387"/>
      <c r="AG51" s="413"/>
      <c r="AH51" s="387"/>
      <c r="AI51" s="413"/>
      <c r="AJ51" s="387"/>
      <c r="AK51" s="387"/>
      <c r="AL51" s="387"/>
      <c r="AM51" s="387"/>
      <c r="AN51" s="387"/>
      <c r="AO51" s="387"/>
      <c r="AP51" s="387"/>
      <c r="AQ51" s="387"/>
      <c r="AR51" s="387"/>
      <c r="AS51" s="387"/>
      <c r="AT51" s="387"/>
      <c r="AU51" s="391"/>
      <c r="AW51" s="76"/>
      <c r="AX51" s="76"/>
    </row>
    <row r="52" spans="2:50" ht="15" customHeight="1" thickBot="1" x14ac:dyDescent="0.3">
      <c r="B52" s="508">
        <f t="shared" si="8"/>
        <v>34</v>
      </c>
      <c r="C52" s="518"/>
      <c r="D52" s="463" t="s">
        <v>63</v>
      </c>
      <c r="E52" s="428">
        <v>71.400000000000006</v>
      </c>
      <c r="F52" s="429">
        <v>1</v>
      </c>
      <c r="G52" s="489">
        <f t="shared" si="33"/>
        <v>2213.4</v>
      </c>
      <c r="H52" s="429">
        <v>1</v>
      </c>
      <c r="I52" s="489">
        <f t="shared" si="34"/>
        <v>1999.2000000000003</v>
      </c>
      <c r="J52" s="429"/>
      <c r="K52" s="486"/>
      <c r="L52" s="429"/>
      <c r="M52" s="486"/>
      <c r="N52" s="429"/>
      <c r="O52" s="486"/>
      <c r="P52" s="429"/>
      <c r="Q52" s="486"/>
      <c r="R52" s="429"/>
      <c r="S52" s="486"/>
      <c r="T52" s="429"/>
      <c r="U52" s="486"/>
      <c r="V52" s="429"/>
      <c r="W52" s="486"/>
      <c r="X52" s="429"/>
      <c r="Y52" s="486"/>
      <c r="Z52" s="429"/>
      <c r="AA52" s="486"/>
      <c r="AB52" s="429"/>
      <c r="AC52" s="504"/>
      <c r="AD52" s="432"/>
      <c r="AE52" s="413"/>
      <c r="AF52" s="387"/>
      <c r="AG52" s="413"/>
      <c r="AH52" s="387"/>
      <c r="AI52" s="413"/>
      <c r="AJ52" s="387"/>
      <c r="AK52" s="387"/>
      <c r="AL52" s="387"/>
      <c r="AM52" s="387"/>
      <c r="AN52" s="387"/>
      <c r="AO52" s="387"/>
      <c r="AP52" s="387"/>
      <c r="AQ52" s="387"/>
      <c r="AR52" s="387"/>
      <c r="AS52" s="387"/>
      <c r="AT52" s="387"/>
      <c r="AU52" s="391"/>
      <c r="AW52" s="76"/>
      <c r="AX52" s="76"/>
    </row>
    <row r="53" spans="2:50" ht="15" customHeight="1" thickBot="1" x14ac:dyDescent="0.3">
      <c r="B53" s="508">
        <f t="shared" si="8"/>
        <v>35</v>
      </c>
      <c r="C53" s="518"/>
      <c r="D53" s="463" t="s">
        <v>38</v>
      </c>
      <c r="E53" s="428">
        <v>78.25</v>
      </c>
      <c r="F53" s="429">
        <v>38</v>
      </c>
      <c r="G53" s="489">
        <f t="shared" si="33"/>
        <v>92178.5</v>
      </c>
      <c r="H53" s="429">
        <v>38</v>
      </c>
      <c r="I53" s="489">
        <f t="shared" si="34"/>
        <v>83258</v>
      </c>
      <c r="J53" s="429"/>
      <c r="K53" s="486"/>
      <c r="L53" s="429"/>
      <c r="M53" s="486"/>
      <c r="N53" s="429"/>
      <c r="O53" s="486"/>
      <c r="P53" s="429"/>
      <c r="Q53" s="486"/>
      <c r="R53" s="429"/>
      <c r="S53" s="486"/>
      <c r="T53" s="429"/>
      <c r="U53" s="486"/>
      <c r="V53" s="429"/>
      <c r="W53" s="486"/>
      <c r="X53" s="429"/>
      <c r="Y53" s="486"/>
      <c r="Z53" s="429"/>
      <c r="AA53" s="486"/>
      <c r="AB53" s="429"/>
      <c r="AC53" s="504"/>
      <c r="AD53" s="432">
        <f t="shared" si="1"/>
        <v>0</v>
      </c>
      <c r="AE53" s="413"/>
      <c r="AF53" s="387">
        <f t="shared" si="2"/>
        <v>0</v>
      </c>
      <c r="AG53" s="413"/>
      <c r="AH53" s="387">
        <f t="shared" si="3"/>
        <v>0</v>
      </c>
      <c r="AI53" s="413"/>
      <c r="AJ53" s="387">
        <f t="shared" si="18"/>
        <v>0</v>
      </c>
      <c r="AK53" s="387"/>
      <c r="AL53" s="387">
        <f>+AP53*12</f>
        <v>42240</v>
      </c>
      <c r="AM53" s="387">
        <f t="shared" si="28"/>
        <v>66880</v>
      </c>
      <c r="AN53" s="387">
        <f t="shared" si="44"/>
        <v>66880</v>
      </c>
      <c r="AO53" s="387">
        <f t="shared" si="45"/>
        <v>66880</v>
      </c>
      <c r="AP53" s="387">
        <v>3520</v>
      </c>
      <c r="AQ53" s="387">
        <v>0</v>
      </c>
      <c r="AR53" s="387">
        <v>0</v>
      </c>
      <c r="AS53" s="387">
        <v>0</v>
      </c>
      <c r="AT53" s="387">
        <v>0</v>
      </c>
      <c r="AU53" s="391">
        <f>+G53+I53+K53+M53+O53+Q53+S53+AN53+AI53+U53+W53+Y53+AA53+AC53+AE53+AG53+AM53+AO53+AQ53+AR53+AS53+AT53+AK53+AP53</f>
        <v>379596.5</v>
      </c>
      <c r="AV53" s="76"/>
    </row>
    <row r="54" spans="2:50" ht="15" customHeight="1" thickBot="1" x14ac:dyDescent="0.3">
      <c r="B54" s="508">
        <f t="shared" si="8"/>
        <v>36</v>
      </c>
      <c r="C54" s="518"/>
      <c r="D54" s="463" t="s">
        <v>39</v>
      </c>
      <c r="E54" s="428">
        <v>73.59</v>
      </c>
      <c r="F54" s="429">
        <v>1</v>
      </c>
      <c r="G54" s="489">
        <f t="shared" si="33"/>
        <v>2281.29</v>
      </c>
      <c r="H54" s="429">
        <v>1</v>
      </c>
      <c r="I54" s="489">
        <f t="shared" si="34"/>
        <v>2060.52</v>
      </c>
      <c r="J54" s="429"/>
      <c r="K54" s="486"/>
      <c r="L54" s="429"/>
      <c r="M54" s="486"/>
      <c r="N54" s="429"/>
      <c r="O54" s="486"/>
      <c r="P54" s="429"/>
      <c r="Q54" s="486"/>
      <c r="R54" s="429"/>
      <c r="S54" s="486"/>
      <c r="T54" s="429"/>
      <c r="U54" s="486"/>
      <c r="V54" s="429"/>
      <c r="W54" s="486"/>
      <c r="X54" s="429"/>
      <c r="Y54" s="486"/>
      <c r="Z54" s="429"/>
      <c r="AA54" s="486"/>
      <c r="AB54" s="429"/>
      <c r="AC54" s="504"/>
      <c r="AD54" s="432">
        <f t="shared" si="1"/>
        <v>28620</v>
      </c>
      <c r="AE54" s="413">
        <v>2385</v>
      </c>
      <c r="AF54" s="387">
        <f t="shared" si="2"/>
        <v>28920</v>
      </c>
      <c r="AG54" s="413">
        <v>2410</v>
      </c>
      <c r="AH54" s="387">
        <f t="shared" si="3"/>
        <v>28920</v>
      </c>
      <c r="AI54" s="413">
        <v>2410</v>
      </c>
      <c r="AJ54" s="387">
        <f t="shared" si="18"/>
        <v>28920</v>
      </c>
      <c r="AK54" s="387">
        <v>2410</v>
      </c>
      <c r="AL54" s="387">
        <f>+AP54*12</f>
        <v>823680</v>
      </c>
      <c r="AM54" s="387">
        <f t="shared" si="28"/>
        <v>1760</v>
      </c>
      <c r="AN54" s="387">
        <f t="shared" si="44"/>
        <v>1760</v>
      </c>
      <c r="AO54" s="387">
        <f t="shared" si="45"/>
        <v>1760</v>
      </c>
      <c r="AP54" s="387">
        <v>68640</v>
      </c>
      <c r="AQ54" s="387">
        <v>0</v>
      </c>
      <c r="AR54" s="387">
        <v>0</v>
      </c>
      <c r="AS54" s="387">
        <v>0</v>
      </c>
      <c r="AT54" s="387">
        <v>0</v>
      </c>
      <c r="AU54" s="391">
        <f>+G54+I54+K54+M54+O54+Q54+S54+AN54+AI54+U54+W54+Y54+AA54+AC54+AE54+AG54+AM54+AO54+AQ54+AR54+AS54+AT54+AK54+AP54</f>
        <v>87876.81</v>
      </c>
    </row>
    <row r="55" spans="2:50" ht="15" customHeight="1" thickBot="1" x14ac:dyDescent="0.3">
      <c r="B55" s="508">
        <f t="shared" si="8"/>
        <v>37</v>
      </c>
      <c r="C55" s="518"/>
      <c r="D55" s="463" t="s">
        <v>77</v>
      </c>
      <c r="E55" s="428">
        <v>72.540000000000006</v>
      </c>
      <c r="F55" s="429">
        <v>2</v>
      </c>
      <c r="G55" s="489">
        <f t="shared" si="33"/>
        <v>4497.4800000000005</v>
      </c>
      <c r="H55" s="429">
        <v>2</v>
      </c>
      <c r="I55" s="489">
        <f t="shared" si="34"/>
        <v>4062.2400000000002</v>
      </c>
      <c r="J55" s="429"/>
      <c r="K55" s="486"/>
      <c r="L55" s="429"/>
      <c r="M55" s="486"/>
      <c r="N55" s="429"/>
      <c r="O55" s="486"/>
      <c r="P55" s="429"/>
      <c r="Q55" s="486"/>
      <c r="R55" s="429"/>
      <c r="S55" s="486"/>
      <c r="T55" s="429"/>
      <c r="U55" s="486"/>
      <c r="V55" s="429"/>
      <c r="W55" s="486"/>
      <c r="X55" s="429"/>
      <c r="Y55" s="486"/>
      <c r="Z55" s="429"/>
      <c r="AA55" s="486"/>
      <c r="AB55" s="429"/>
      <c r="AC55" s="504"/>
      <c r="AD55" s="432">
        <f t="shared" si="1"/>
        <v>1800</v>
      </c>
      <c r="AE55" s="413">
        <v>150</v>
      </c>
      <c r="AF55" s="387">
        <f t="shared" si="2"/>
        <v>1800</v>
      </c>
      <c r="AG55" s="413">
        <v>150</v>
      </c>
      <c r="AH55" s="387">
        <f t="shared" si="3"/>
        <v>1800</v>
      </c>
      <c r="AI55" s="413">
        <v>150</v>
      </c>
      <c r="AJ55" s="387">
        <f t="shared" si="18"/>
        <v>1800</v>
      </c>
      <c r="AK55" s="387">
        <v>150</v>
      </c>
      <c r="AL55" s="387">
        <f>+AP55*12</f>
        <v>42240</v>
      </c>
      <c r="AM55" s="387">
        <f t="shared" si="28"/>
        <v>3520</v>
      </c>
      <c r="AN55" s="387">
        <f t="shared" si="44"/>
        <v>3520</v>
      </c>
      <c r="AO55" s="387">
        <f t="shared" si="45"/>
        <v>3520</v>
      </c>
      <c r="AP55" s="387">
        <v>3520</v>
      </c>
      <c r="AQ55" s="387">
        <v>0</v>
      </c>
      <c r="AR55" s="387">
        <v>0</v>
      </c>
      <c r="AS55" s="387">
        <v>0</v>
      </c>
      <c r="AT55" s="387">
        <v>0</v>
      </c>
      <c r="AU55" s="391">
        <f>+G55+I55+K55+M55+O55+Q55+S55+AN55+AI55+U55+W55+Y55+AA55+AC55+AE55+AG55+AM55+AO55+AQ55+AR55+AS55+AT55+AK55+AP55</f>
        <v>23239.72</v>
      </c>
    </row>
    <row r="56" spans="2:50" ht="15" customHeight="1" thickBot="1" x14ac:dyDescent="0.3">
      <c r="B56" s="508">
        <f t="shared" si="8"/>
        <v>38</v>
      </c>
      <c r="C56" s="518"/>
      <c r="D56" s="463" t="s">
        <v>152</v>
      </c>
      <c r="E56" s="428">
        <v>71.400000000000006</v>
      </c>
      <c r="F56" s="429">
        <v>84</v>
      </c>
      <c r="G56" s="489">
        <f t="shared" si="33"/>
        <v>185925.6</v>
      </c>
      <c r="H56" s="429">
        <v>84</v>
      </c>
      <c r="I56" s="489">
        <f t="shared" si="34"/>
        <v>167932.80000000002</v>
      </c>
      <c r="J56" s="429"/>
      <c r="K56" s="486"/>
      <c r="L56" s="429"/>
      <c r="M56" s="486"/>
      <c r="N56" s="429"/>
      <c r="O56" s="486"/>
      <c r="P56" s="429"/>
      <c r="Q56" s="486"/>
      <c r="R56" s="429"/>
      <c r="S56" s="486"/>
      <c r="T56" s="429"/>
      <c r="U56" s="486"/>
      <c r="V56" s="429"/>
      <c r="W56" s="486"/>
      <c r="X56" s="429"/>
      <c r="Y56" s="486"/>
      <c r="Z56" s="429"/>
      <c r="AA56" s="486"/>
      <c r="AB56" s="429"/>
      <c r="AC56" s="504"/>
      <c r="AD56" s="432">
        <f t="shared" si="1"/>
        <v>61740</v>
      </c>
      <c r="AE56" s="413">
        <v>5145</v>
      </c>
      <c r="AF56" s="387">
        <f t="shared" si="2"/>
        <v>60000</v>
      </c>
      <c r="AG56" s="413">
        <v>5000</v>
      </c>
      <c r="AH56" s="387">
        <f t="shared" si="3"/>
        <v>60300</v>
      </c>
      <c r="AI56" s="413">
        <v>5025</v>
      </c>
      <c r="AJ56" s="387">
        <f t="shared" si="18"/>
        <v>61200</v>
      </c>
      <c r="AK56" s="387">
        <v>5100</v>
      </c>
      <c r="AL56" s="387">
        <f>+AP56*12</f>
        <v>1978060.6451612902</v>
      </c>
      <c r="AM56" s="387">
        <f>1760*92</f>
        <v>161920</v>
      </c>
      <c r="AN56" s="387">
        <f>1760*92+500</f>
        <v>162420</v>
      </c>
      <c r="AO56" s="387">
        <v>162170</v>
      </c>
      <c r="AP56" s="387">
        <v>164838.38709677418</v>
      </c>
      <c r="AQ56" s="387">
        <v>0</v>
      </c>
      <c r="AR56" s="387">
        <v>0</v>
      </c>
      <c r="AS56" s="387">
        <v>0</v>
      </c>
      <c r="AT56" s="387">
        <v>0</v>
      </c>
      <c r="AU56" s="391">
        <f>+G56+I56+K56+M56+O56+Q56+S56+AN56+AI56+U56+W56+Y56+AA56+AC56+AE56+AG56+AM56+AO56+AQ56+AR56+AS56+AT56+AK56+AP56</f>
        <v>1025476.7870967742</v>
      </c>
    </row>
    <row r="57" spans="2:50" ht="15" customHeight="1" thickBot="1" x14ac:dyDescent="0.3">
      <c r="B57" s="513"/>
      <c r="C57" s="518"/>
      <c r="D57" s="463" t="s">
        <v>152</v>
      </c>
      <c r="E57" s="428">
        <v>71.400000000000006</v>
      </c>
      <c r="F57" s="429">
        <v>1</v>
      </c>
      <c r="G57" s="489">
        <f t="shared" ref="G57" si="47">+F57*E57*31</f>
        <v>2213.4</v>
      </c>
      <c r="H57" s="429">
        <v>1</v>
      </c>
      <c r="I57" s="489">
        <v>0</v>
      </c>
      <c r="J57" s="429"/>
      <c r="K57" s="486"/>
      <c r="L57" s="429"/>
      <c r="M57" s="486"/>
      <c r="N57" s="429"/>
      <c r="O57" s="486"/>
      <c r="P57" s="429"/>
      <c r="Q57" s="486"/>
      <c r="R57" s="429"/>
      <c r="S57" s="486"/>
      <c r="T57" s="429"/>
      <c r="U57" s="486"/>
      <c r="V57" s="429"/>
      <c r="W57" s="486"/>
      <c r="X57" s="429"/>
      <c r="Y57" s="486"/>
      <c r="Z57" s="429"/>
      <c r="AA57" s="486"/>
      <c r="AB57" s="429"/>
      <c r="AC57" s="504"/>
      <c r="AD57" s="432"/>
      <c r="AE57" s="413"/>
      <c r="AF57" s="387"/>
      <c r="AG57" s="413"/>
      <c r="AH57" s="387"/>
      <c r="AI57" s="413"/>
      <c r="AJ57" s="387"/>
      <c r="AK57" s="387"/>
      <c r="AL57" s="387"/>
      <c r="AM57" s="387"/>
      <c r="AN57" s="387"/>
      <c r="AO57" s="387"/>
      <c r="AP57" s="387"/>
      <c r="AQ57" s="387"/>
      <c r="AR57" s="387"/>
      <c r="AS57" s="387"/>
      <c r="AT57" s="387"/>
      <c r="AU57" s="391"/>
    </row>
    <row r="58" spans="2:50" ht="15" customHeight="1" thickBot="1" x14ac:dyDescent="0.3">
      <c r="B58" s="508">
        <f>+B56+1</f>
        <v>39</v>
      </c>
      <c r="C58" s="518"/>
      <c r="D58" s="463" t="s">
        <v>152</v>
      </c>
      <c r="E58" s="428">
        <v>71.400000000000006</v>
      </c>
      <c r="F58" s="429">
        <v>1</v>
      </c>
      <c r="G58" s="489">
        <v>0</v>
      </c>
      <c r="H58" s="429">
        <v>1</v>
      </c>
      <c r="I58" s="489">
        <v>0</v>
      </c>
      <c r="J58" s="429"/>
      <c r="K58" s="486"/>
      <c r="L58" s="429"/>
      <c r="M58" s="486"/>
      <c r="N58" s="429"/>
      <c r="O58" s="486"/>
      <c r="P58" s="429"/>
      <c r="Q58" s="486"/>
      <c r="R58" s="429"/>
      <c r="S58" s="486"/>
      <c r="T58" s="429"/>
      <c r="U58" s="486"/>
      <c r="V58" s="429"/>
      <c r="W58" s="486"/>
      <c r="X58" s="429"/>
      <c r="Y58" s="486"/>
      <c r="Z58" s="429"/>
      <c r="AA58" s="486"/>
      <c r="AB58" s="429"/>
      <c r="AC58" s="504"/>
      <c r="AD58" s="432"/>
      <c r="AE58" s="413"/>
      <c r="AF58" s="387"/>
      <c r="AG58" s="413"/>
      <c r="AH58" s="387"/>
      <c r="AI58" s="413"/>
      <c r="AJ58" s="387"/>
      <c r="AK58" s="387"/>
      <c r="AL58" s="387"/>
      <c r="AM58" s="387"/>
      <c r="AN58" s="387"/>
      <c r="AO58" s="387"/>
      <c r="AP58" s="387"/>
      <c r="AQ58" s="387"/>
      <c r="AR58" s="387"/>
      <c r="AS58" s="387"/>
      <c r="AT58" s="387"/>
      <c r="AU58" s="391"/>
    </row>
    <row r="59" spans="2:50" ht="15" customHeight="1" thickBot="1" x14ac:dyDescent="0.3">
      <c r="B59" s="508">
        <f>+B58+1</f>
        <v>40</v>
      </c>
      <c r="C59" s="518"/>
      <c r="D59" s="463" t="s">
        <v>53</v>
      </c>
      <c r="E59" s="428">
        <v>71.400000000000006</v>
      </c>
      <c r="F59" s="429">
        <v>168</v>
      </c>
      <c r="G59" s="489">
        <f t="shared" si="33"/>
        <v>371851.2</v>
      </c>
      <c r="H59" s="429">
        <v>168</v>
      </c>
      <c r="I59" s="489">
        <f t="shared" si="34"/>
        <v>335865.60000000003</v>
      </c>
      <c r="J59" s="429"/>
      <c r="K59" s="486"/>
      <c r="L59" s="429"/>
      <c r="M59" s="486"/>
      <c r="N59" s="429"/>
      <c r="O59" s="486"/>
      <c r="P59" s="429"/>
      <c r="Q59" s="486"/>
      <c r="R59" s="429"/>
      <c r="S59" s="486"/>
      <c r="T59" s="429"/>
      <c r="U59" s="486"/>
      <c r="V59" s="429"/>
      <c r="W59" s="486"/>
      <c r="X59" s="429"/>
      <c r="Y59" s="486"/>
      <c r="Z59" s="429"/>
      <c r="AA59" s="486"/>
      <c r="AB59" s="429"/>
      <c r="AC59" s="504"/>
      <c r="AD59" s="432"/>
      <c r="AE59" s="413"/>
      <c r="AF59" s="387"/>
      <c r="AG59" s="413"/>
      <c r="AH59" s="387"/>
      <c r="AI59" s="413"/>
      <c r="AJ59" s="387"/>
      <c r="AK59" s="387"/>
      <c r="AL59" s="387"/>
      <c r="AM59" s="387"/>
      <c r="AN59" s="387"/>
      <c r="AO59" s="387"/>
      <c r="AP59" s="387"/>
      <c r="AQ59" s="387"/>
      <c r="AR59" s="387"/>
      <c r="AS59" s="387"/>
      <c r="AT59" s="387"/>
      <c r="AU59" s="391"/>
    </row>
    <row r="60" spans="2:50" ht="15" customHeight="1" thickBot="1" x14ac:dyDescent="0.3">
      <c r="B60" s="508">
        <f t="shared" si="8"/>
        <v>41</v>
      </c>
      <c r="C60" s="518"/>
      <c r="D60" s="465" t="s">
        <v>54</v>
      </c>
      <c r="E60" s="460">
        <v>72.540000000000006</v>
      </c>
      <c r="F60" s="429">
        <v>10</v>
      </c>
      <c r="G60" s="489">
        <f t="shared" si="33"/>
        <v>22487.4</v>
      </c>
      <c r="H60" s="429">
        <v>10</v>
      </c>
      <c r="I60" s="489">
        <f t="shared" si="34"/>
        <v>20311.200000000004</v>
      </c>
      <c r="J60" s="429"/>
      <c r="K60" s="486"/>
      <c r="L60" s="429"/>
      <c r="M60" s="486"/>
      <c r="N60" s="429"/>
      <c r="O60" s="486"/>
      <c r="P60" s="429"/>
      <c r="Q60" s="486"/>
      <c r="R60" s="429"/>
      <c r="S60" s="486"/>
      <c r="T60" s="429"/>
      <c r="U60" s="486"/>
      <c r="V60" s="429"/>
      <c r="W60" s="486"/>
      <c r="X60" s="429"/>
      <c r="Y60" s="486"/>
      <c r="Z60" s="429"/>
      <c r="AA60" s="486"/>
      <c r="AB60" s="429"/>
      <c r="AC60" s="504"/>
      <c r="AD60" s="432">
        <f t="shared" si="1"/>
        <v>6900</v>
      </c>
      <c r="AE60" s="413">
        <v>575</v>
      </c>
      <c r="AF60" s="387">
        <f t="shared" si="2"/>
        <v>6900</v>
      </c>
      <c r="AG60" s="413">
        <v>575</v>
      </c>
      <c r="AH60" s="387">
        <f t="shared" si="3"/>
        <v>7200</v>
      </c>
      <c r="AI60" s="413">
        <v>600</v>
      </c>
      <c r="AJ60" s="387">
        <f t="shared" si="18"/>
        <v>7200</v>
      </c>
      <c r="AK60" s="387">
        <v>600</v>
      </c>
      <c r="AL60" s="387">
        <f t="shared" ref="AL60:AL65" si="48">+AP60*12</f>
        <v>222100.6451612903</v>
      </c>
      <c r="AM60" s="387">
        <f t="shared" ref="AM60:AM86" si="49">1760*F60</f>
        <v>17600</v>
      </c>
      <c r="AN60" s="387">
        <f>1760*H60</f>
        <v>17600</v>
      </c>
      <c r="AO60" s="387">
        <f>1760*H60</f>
        <v>17600</v>
      </c>
      <c r="AP60" s="387">
        <v>18508.387096774193</v>
      </c>
      <c r="AQ60" s="387">
        <v>0</v>
      </c>
      <c r="AR60" s="387">
        <v>0</v>
      </c>
      <c r="AS60" s="387">
        <v>0</v>
      </c>
      <c r="AT60" s="387">
        <v>0</v>
      </c>
      <c r="AU60" s="391">
        <f t="shared" ref="AU60:AU65" si="50">+G60+I60+K60+M60+O60+Q60+S60+AN60+AI60+U60+W60+Y60+AA60+AC60+AE60+AG60+AM60+AO60+AQ60+AR60+AS60+AT60+AK60+AP60</f>
        <v>116456.9870967742</v>
      </c>
    </row>
    <row r="61" spans="2:50" ht="15" customHeight="1" thickBot="1" x14ac:dyDescent="0.3">
      <c r="B61" s="508">
        <f t="shared" si="8"/>
        <v>42</v>
      </c>
      <c r="C61" s="518"/>
      <c r="D61" s="463" t="s">
        <v>55</v>
      </c>
      <c r="E61" s="428">
        <v>71.400000000000006</v>
      </c>
      <c r="F61" s="429">
        <v>1</v>
      </c>
      <c r="G61" s="489">
        <f t="shared" si="33"/>
        <v>2213.4</v>
      </c>
      <c r="H61" s="429">
        <v>1</v>
      </c>
      <c r="I61" s="489">
        <f t="shared" si="34"/>
        <v>1999.2000000000003</v>
      </c>
      <c r="J61" s="429"/>
      <c r="K61" s="486"/>
      <c r="L61" s="429"/>
      <c r="M61" s="486"/>
      <c r="N61" s="429"/>
      <c r="O61" s="486"/>
      <c r="P61" s="429"/>
      <c r="Q61" s="486"/>
      <c r="R61" s="429"/>
      <c r="S61" s="486"/>
      <c r="T61" s="429"/>
      <c r="U61" s="486"/>
      <c r="V61" s="429"/>
      <c r="W61" s="486"/>
      <c r="X61" s="429"/>
      <c r="Y61" s="486"/>
      <c r="Z61" s="429"/>
      <c r="AA61" s="486"/>
      <c r="AB61" s="429"/>
      <c r="AC61" s="504"/>
      <c r="AD61" s="432">
        <f t="shared" si="1"/>
        <v>600</v>
      </c>
      <c r="AE61" s="413">
        <v>50</v>
      </c>
      <c r="AF61" s="387">
        <f t="shared" si="2"/>
        <v>600</v>
      </c>
      <c r="AG61" s="413">
        <v>50</v>
      </c>
      <c r="AH61" s="387">
        <f t="shared" si="3"/>
        <v>600</v>
      </c>
      <c r="AI61" s="413">
        <v>50</v>
      </c>
      <c r="AJ61" s="387">
        <f t="shared" si="18"/>
        <v>480</v>
      </c>
      <c r="AK61" s="387">
        <v>40</v>
      </c>
      <c r="AL61" s="387">
        <f t="shared" si="48"/>
        <v>16896</v>
      </c>
      <c r="AM61" s="387">
        <f t="shared" si="49"/>
        <v>1760</v>
      </c>
      <c r="AN61" s="387">
        <f>1760*H61</f>
        <v>1760</v>
      </c>
      <c r="AO61" s="387">
        <f>1760*H61</f>
        <v>1760</v>
      </c>
      <c r="AP61" s="387">
        <v>1408</v>
      </c>
      <c r="AQ61" s="387">
        <v>0</v>
      </c>
      <c r="AR61" s="387">
        <v>0</v>
      </c>
      <c r="AS61" s="387">
        <v>0</v>
      </c>
      <c r="AT61" s="387">
        <v>0</v>
      </c>
      <c r="AU61" s="391">
        <f t="shared" si="50"/>
        <v>11090.6</v>
      </c>
    </row>
    <row r="62" spans="2:50" ht="15" customHeight="1" thickBot="1" x14ac:dyDescent="0.3">
      <c r="B62" s="508">
        <f t="shared" si="8"/>
        <v>43</v>
      </c>
      <c r="C62" s="518"/>
      <c r="D62" s="463" t="s">
        <v>56</v>
      </c>
      <c r="E62" s="428">
        <v>74.63</v>
      </c>
      <c r="F62" s="429">
        <v>2</v>
      </c>
      <c r="G62" s="489">
        <f t="shared" si="33"/>
        <v>4627.0599999999995</v>
      </c>
      <c r="H62" s="429">
        <v>2</v>
      </c>
      <c r="I62" s="489">
        <f t="shared" si="34"/>
        <v>4179.28</v>
      </c>
      <c r="J62" s="429"/>
      <c r="K62" s="486"/>
      <c r="L62" s="429"/>
      <c r="M62" s="486"/>
      <c r="N62" s="429"/>
      <c r="O62" s="486"/>
      <c r="P62" s="429"/>
      <c r="Q62" s="486"/>
      <c r="R62" s="429"/>
      <c r="S62" s="486"/>
      <c r="T62" s="429"/>
      <c r="U62" s="486"/>
      <c r="V62" s="429"/>
      <c r="W62" s="486"/>
      <c r="X62" s="429"/>
      <c r="Y62" s="486"/>
      <c r="Z62" s="429"/>
      <c r="AA62" s="486"/>
      <c r="AB62" s="429"/>
      <c r="AC62" s="504"/>
      <c r="AD62" s="432">
        <f t="shared" si="1"/>
        <v>1800</v>
      </c>
      <c r="AE62" s="413">
        <v>150</v>
      </c>
      <c r="AF62" s="387">
        <f t="shared" si="2"/>
        <v>1800</v>
      </c>
      <c r="AG62" s="413">
        <v>150</v>
      </c>
      <c r="AH62" s="387">
        <f t="shared" si="3"/>
        <v>1800</v>
      </c>
      <c r="AI62" s="413">
        <v>150</v>
      </c>
      <c r="AJ62" s="387">
        <f t="shared" si="18"/>
        <v>1800</v>
      </c>
      <c r="AK62" s="387">
        <v>150</v>
      </c>
      <c r="AL62" s="387">
        <f t="shared" si="48"/>
        <v>42240</v>
      </c>
      <c r="AM62" s="387">
        <f t="shared" si="49"/>
        <v>3520</v>
      </c>
      <c r="AN62" s="387">
        <f>1760*H62</f>
        <v>3520</v>
      </c>
      <c r="AO62" s="387">
        <f>1760*H62</f>
        <v>3520</v>
      </c>
      <c r="AP62" s="387">
        <v>3520</v>
      </c>
      <c r="AQ62" s="387">
        <v>0</v>
      </c>
      <c r="AR62" s="387">
        <v>0</v>
      </c>
      <c r="AS62" s="387">
        <v>0</v>
      </c>
      <c r="AT62" s="387">
        <v>0</v>
      </c>
      <c r="AU62" s="391">
        <f t="shared" si="50"/>
        <v>23486.34</v>
      </c>
    </row>
    <row r="63" spans="2:50" ht="15" customHeight="1" thickBot="1" x14ac:dyDescent="0.3">
      <c r="B63" s="508">
        <f t="shared" si="8"/>
        <v>44</v>
      </c>
      <c r="C63" s="518"/>
      <c r="D63" s="463" t="s">
        <v>147</v>
      </c>
      <c r="E63" s="428">
        <v>75.64</v>
      </c>
      <c r="F63" s="429">
        <v>3</v>
      </c>
      <c r="G63" s="489">
        <f t="shared" si="33"/>
        <v>7034.52</v>
      </c>
      <c r="H63" s="429">
        <v>3</v>
      </c>
      <c r="I63" s="489">
        <f t="shared" si="34"/>
        <v>6353.76</v>
      </c>
      <c r="J63" s="429"/>
      <c r="K63" s="486"/>
      <c r="L63" s="429"/>
      <c r="M63" s="486"/>
      <c r="N63" s="429"/>
      <c r="O63" s="486"/>
      <c r="P63" s="429"/>
      <c r="Q63" s="486"/>
      <c r="R63" s="429"/>
      <c r="S63" s="486"/>
      <c r="T63" s="429"/>
      <c r="U63" s="486"/>
      <c r="V63" s="429"/>
      <c r="W63" s="486"/>
      <c r="X63" s="429"/>
      <c r="Y63" s="486"/>
      <c r="Z63" s="429"/>
      <c r="AA63" s="486"/>
      <c r="AB63" s="429"/>
      <c r="AC63" s="504"/>
      <c r="AD63" s="432">
        <f t="shared" si="1"/>
        <v>900</v>
      </c>
      <c r="AE63" s="413">
        <v>75</v>
      </c>
      <c r="AF63" s="387">
        <f t="shared" si="2"/>
        <v>900</v>
      </c>
      <c r="AG63" s="413">
        <v>75</v>
      </c>
      <c r="AH63" s="387">
        <f t="shared" si="3"/>
        <v>900</v>
      </c>
      <c r="AI63" s="413">
        <v>75</v>
      </c>
      <c r="AJ63" s="387">
        <f t="shared" si="18"/>
        <v>900</v>
      </c>
      <c r="AK63" s="387">
        <v>75</v>
      </c>
      <c r="AL63" s="387">
        <f t="shared" si="48"/>
        <v>63360</v>
      </c>
      <c r="AM63" s="387">
        <f t="shared" si="49"/>
        <v>5280</v>
      </c>
      <c r="AN63" s="387">
        <f>1760*H63</f>
        <v>5280</v>
      </c>
      <c r="AO63" s="387">
        <f>1760*H63</f>
        <v>5280</v>
      </c>
      <c r="AP63" s="387">
        <v>5280</v>
      </c>
      <c r="AQ63" s="387">
        <v>0</v>
      </c>
      <c r="AR63" s="387">
        <v>0</v>
      </c>
      <c r="AS63" s="387">
        <v>0</v>
      </c>
      <c r="AT63" s="387">
        <v>0</v>
      </c>
      <c r="AU63" s="391">
        <f t="shared" si="50"/>
        <v>34808.28</v>
      </c>
    </row>
    <row r="64" spans="2:50" ht="15" customHeight="1" thickBot="1" x14ac:dyDescent="0.3">
      <c r="B64" s="508">
        <f t="shared" si="8"/>
        <v>45</v>
      </c>
      <c r="C64" s="519"/>
      <c r="D64" s="467" t="s">
        <v>36</v>
      </c>
      <c r="E64" s="437">
        <v>80.86</v>
      </c>
      <c r="F64" s="438">
        <v>1</v>
      </c>
      <c r="G64" s="489">
        <f t="shared" si="33"/>
        <v>2506.66</v>
      </c>
      <c r="H64" s="438">
        <v>1</v>
      </c>
      <c r="I64" s="489">
        <f t="shared" si="34"/>
        <v>2264.08</v>
      </c>
      <c r="J64" s="438"/>
      <c r="K64" s="487"/>
      <c r="L64" s="438"/>
      <c r="M64" s="487"/>
      <c r="N64" s="438"/>
      <c r="O64" s="487"/>
      <c r="P64" s="438"/>
      <c r="Q64" s="487"/>
      <c r="R64" s="438"/>
      <c r="S64" s="487"/>
      <c r="T64" s="438"/>
      <c r="U64" s="487"/>
      <c r="V64" s="438"/>
      <c r="W64" s="487"/>
      <c r="X64" s="438"/>
      <c r="Y64" s="487"/>
      <c r="Z64" s="438"/>
      <c r="AA64" s="487"/>
      <c r="AB64" s="438"/>
      <c r="AC64" s="505"/>
      <c r="AD64" s="432">
        <f t="shared" si="1"/>
        <v>0</v>
      </c>
      <c r="AE64" s="413"/>
      <c r="AF64" s="387">
        <f t="shared" si="2"/>
        <v>0</v>
      </c>
      <c r="AG64" s="413"/>
      <c r="AH64" s="387">
        <f t="shared" si="3"/>
        <v>0</v>
      </c>
      <c r="AI64" s="413"/>
      <c r="AJ64" s="387">
        <f t="shared" si="18"/>
        <v>0</v>
      </c>
      <c r="AK64" s="387"/>
      <c r="AL64" s="387">
        <f t="shared" si="48"/>
        <v>21120</v>
      </c>
      <c r="AM64" s="387">
        <f t="shared" si="49"/>
        <v>1760</v>
      </c>
      <c r="AN64" s="387">
        <f>1760*1</f>
        <v>1760</v>
      </c>
      <c r="AO64" s="387">
        <f>1760+942.86</f>
        <v>2702.86</v>
      </c>
      <c r="AP64" s="387">
        <v>1760</v>
      </c>
      <c r="AQ64" s="387">
        <v>0</v>
      </c>
      <c r="AR64" s="387">
        <v>0</v>
      </c>
      <c r="AS64" s="387">
        <v>0</v>
      </c>
      <c r="AT64" s="387">
        <v>0</v>
      </c>
      <c r="AU64" s="391">
        <f t="shared" si="50"/>
        <v>12753.6</v>
      </c>
    </row>
    <row r="65" spans="2:47" ht="15" customHeight="1" thickBot="1" x14ac:dyDescent="0.3">
      <c r="B65" s="501">
        <f t="shared" si="8"/>
        <v>46</v>
      </c>
      <c r="C65" s="517" t="s">
        <v>57</v>
      </c>
      <c r="D65" s="433" t="s">
        <v>43</v>
      </c>
      <c r="E65" s="434">
        <v>72.540000000000006</v>
      </c>
      <c r="F65" s="435">
        <v>2</v>
      </c>
      <c r="G65" s="485">
        <f t="shared" si="27"/>
        <v>4497.4800000000005</v>
      </c>
      <c r="H65" s="435">
        <v>2</v>
      </c>
      <c r="I65" s="485">
        <f t="shared" si="34"/>
        <v>4062.2400000000002</v>
      </c>
      <c r="J65" s="435"/>
      <c r="K65" s="485"/>
      <c r="L65" s="435"/>
      <c r="M65" s="485"/>
      <c r="N65" s="435"/>
      <c r="O65" s="485"/>
      <c r="P65" s="435"/>
      <c r="Q65" s="485"/>
      <c r="R65" s="435"/>
      <c r="S65" s="485"/>
      <c r="T65" s="435"/>
      <c r="U65" s="485"/>
      <c r="V65" s="435"/>
      <c r="W65" s="485"/>
      <c r="X65" s="435"/>
      <c r="Y65" s="485"/>
      <c r="Z65" s="435"/>
      <c r="AA65" s="485"/>
      <c r="AB65" s="435"/>
      <c r="AC65" s="503"/>
      <c r="AD65" s="432">
        <f t="shared" si="1"/>
        <v>2820</v>
      </c>
      <c r="AE65" s="413">
        <v>235</v>
      </c>
      <c r="AF65" s="387">
        <f t="shared" si="2"/>
        <v>2820</v>
      </c>
      <c r="AG65" s="413">
        <v>235</v>
      </c>
      <c r="AH65" s="387">
        <f t="shared" si="3"/>
        <v>2820</v>
      </c>
      <c r="AI65" s="413">
        <v>235</v>
      </c>
      <c r="AJ65" s="387">
        <f t="shared" si="18"/>
        <v>2820</v>
      </c>
      <c r="AK65" s="387">
        <v>235</v>
      </c>
      <c r="AL65" s="387">
        <f t="shared" si="48"/>
        <v>211200</v>
      </c>
      <c r="AM65" s="387">
        <f t="shared" si="49"/>
        <v>3520</v>
      </c>
      <c r="AN65" s="387">
        <f>1760*8</f>
        <v>14080</v>
      </c>
      <c r="AO65" s="387">
        <f>17600+1760</f>
        <v>19360</v>
      </c>
      <c r="AP65" s="387">
        <v>17600</v>
      </c>
      <c r="AQ65" s="387">
        <v>0</v>
      </c>
      <c r="AR65" s="387">
        <v>0</v>
      </c>
      <c r="AS65" s="387">
        <v>0</v>
      </c>
      <c r="AT65" s="387">
        <v>0</v>
      </c>
      <c r="AU65" s="391">
        <f t="shared" si="50"/>
        <v>64059.72</v>
      </c>
    </row>
    <row r="66" spans="2:47" ht="15" customHeight="1" thickBot="1" x14ac:dyDescent="0.3">
      <c r="B66" s="501">
        <f t="shared" si="8"/>
        <v>47</v>
      </c>
      <c r="C66" s="518"/>
      <c r="D66" s="427" t="s">
        <v>58</v>
      </c>
      <c r="E66" s="428">
        <v>77.59</v>
      </c>
      <c r="F66" s="429">
        <v>1</v>
      </c>
      <c r="G66" s="489">
        <f t="shared" si="33"/>
        <v>2405.29</v>
      </c>
      <c r="H66" s="429">
        <v>1</v>
      </c>
      <c r="I66" s="489">
        <f t="shared" si="34"/>
        <v>2172.52</v>
      </c>
      <c r="J66" s="429"/>
      <c r="K66" s="486"/>
      <c r="L66" s="429"/>
      <c r="M66" s="486"/>
      <c r="N66" s="429"/>
      <c r="O66" s="486"/>
      <c r="P66" s="429"/>
      <c r="Q66" s="486"/>
      <c r="R66" s="429"/>
      <c r="S66" s="486"/>
      <c r="T66" s="429"/>
      <c r="U66" s="486"/>
      <c r="V66" s="429"/>
      <c r="W66" s="486"/>
      <c r="X66" s="429"/>
      <c r="Y66" s="486"/>
      <c r="Z66" s="429"/>
      <c r="AA66" s="486"/>
      <c r="AB66" s="429"/>
      <c r="AC66" s="504"/>
      <c r="AD66" s="432"/>
      <c r="AE66" s="413"/>
      <c r="AF66" s="387"/>
      <c r="AG66" s="413"/>
      <c r="AH66" s="387"/>
      <c r="AI66" s="413"/>
      <c r="AJ66" s="387"/>
      <c r="AK66" s="387"/>
      <c r="AL66" s="387"/>
      <c r="AM66" s="387"/>
      <c r="AN66" s="387"/>
      <c r="AO66" s="387"/>
      <c r="AP66" s="387"/>
      <c r="AQ66" s="387"/>
      <c r="AR66" s="387"/>
      <c r="AS66" s="387"/>
      <c r="AT66" s="387"/>
      <c r="AU66" s="391"/>
    </row>
    <row r="67" spans="2:47" ht="15.75" thickBot="1" x14ac:dyDescent="0.3">
      <c r="B67" s="501">
        <f t="shared" si="8"/>
        <v>48</v>
      </c>
      <c r="C67" s="518"/>
      <c r="D67" s="427" t="s">
        <v>47</v>
      </c>
      <c r="E67" s="428">
        <v>71.400000000000006</v>
      </c>
      <c r="F67" s="429">
        <v>1</v>
      </c>
      <c r="G67" s="489">
        <f t="shared" si="33"/>
        <v>2213.4</v>
      </c>
      <c r="H67" s="429">
        <v>1</v>
      </c>
      <c r="I67" s="489">
        <f t="shared" si="34"/>
        <v>1999.2000000000003</v>
      </c>
      <c r="J67" s="429"/>
      <c r="K67" s="486"/>
      <c r="L67" s="429"/>
      <c r="M67" s="486"/>
      <c r="N67" s="429"/>
      <c r="O67" s="486"/>
      <c r="P67" s="429"/>
      <c r="Q67" s="486"/>
      <c r="R67" s="429"/>
      <c r="S67" s="486"/>
      <c r="T67" s="429"/>
      <c r="U67" s="486"/>
      <c r="V67" s="429"/>
      <c r="W67" s="486"/>
      <c r="X67" s="429"/>
      <c r="Y67" s="486"/>
      <c r="Z67" s="429"/>
      <c r="AA67" s="486"/>
      <c r="AB67" s="429"/>
      <c r="AC67" s="504"/>
      <c r="AD67" s="432">
        <f t="shared" si="1"/>
        <v>600</v>
      </c>
      <c r="AE67" s="413">
        <v>50</v>
      </c>
      <c r="AF67" s="387">
        <f t="shared" si="2"/>
        <v>600</v>
      </c>
      <c r="AG67" s="413">
        <v>50</v>
      </c>
      <c r="AH67" s="387">
        <f t="shared" si="3"/>
        <v>600</v>
      </c>
      <c r="AI67" s="413">
        <v>50</v>
      </c>
      <c r="AJ67" s="387">
        <f t="shared" si="18"/>
        <v>600</v>
      </c>
      <c r="AK67" s="387">
        <v>50</v>
      </c>
      <c r="AL67" s="387">
        <f>+AP67*12</f>
        <v>21120</v>
      </c>
      <c r="AM67" s="387">
        <f t="shared" si="49"/>
        <v>1760</v>
      </c>
      <c r="AN67" s="387">
        <f t="shared" ref="AN67:AN87" si="51">1760*H67</f>
        <v>1760</v>
      </c>
      <c r="AO67" s="387">
        <f>1760*H67</f>
        <v>1760</v>
      </c>
      <c r="AP67" s="387">
        <v>1760</v>
      </c>
      <c r="AQ67" s="387">
        <v>0</v>
      </c>
      <c r="AR67" s="387">
        <v>0</v>
      </c>
      <c r="AS67" s="387">
        <v>0</v>
      </c>
      <c r="AT67" s="387">
        <v>0</v>
      </c>
      <c r="AU67" s="391">
        <f>+G67+I67+K67+M67+O67+Q67+S67+AN67+AI67+U67+W67+Y67+AA67+AC67+AE67+AG67+AM67+AO67+AQ67+AR67+AS67+AT67+AK67+AP67</f>
        <v>11452.6</v>
      </c>
    </row>
    <row r="68" spans="2:47" ht="15.75" thickBot="1" x14ac:dyDescent="0.3">
      <c r="B68" s="501">
        <f t="shared" si="8"/>
        <v>49</v>
      </c>
      <c r="C68" s="518"/>
      <c r="D68" s="427" t="s">
        <v>129</v>
      </c>
      <c r="E68" s="428">
        <v>71.400000000000006</v>
      </c>
      <c r="F68" s="429">
        <v>11</v>
      </c>
      <c r="G68" s="489">
        <f t="shared" si="33"/>
        <v>24347.4</v>
      </c>
      <c r="H68" s="429">
        <v>11</v>
      </c>
      <c r="I68" s="489">
        <f t="shared" si="34"/>
        <v>21991.200000000004</v>
      </c>
      <c r="J68" s="429"/>
      <c r="K68" s="486"/>
      <c r="L68" s="429"/>
      <c r="M68" s="486"/>
      <c r="N68" s="429"/>
      <c r="O68" s="486"/>
      <c r="P68" s="429"/>
      <c r="Q68" s="486"/>
      <c r="R68" s="429"/>
      <c r="S68" s="486"/>
      <c r="T68" s="429"/>
      <c r="U68" s="486"/>
      <c r="V68" s="429"/>
      <c r="W68" s="486"/>
      <c r="X68" s="429"/>
      <c r="Y68" s="486"/>
      <c r="Z68" s="429"/>
      <c r="AA68" s="486"/>
      <c r="AB68" s="429"/>
      <c r="AC68" s="504"/>
      <c r="AD68" s="432">
        <f t="shared" si="1"/>
        <v>900</v>
      </c>
      <c r="AE68" s="413">
        <v>75</v>
      </c>
      <c r="AF68" s="387">
        <f t="shared" si="2"/>
        <v>900</v>
      </c>
      <c r="AG68" s="413">
        <v>75</v>
      </c>
      <c r="AH68" s="387">
        <f t="shared" si="3"/>
        <v>900</v>
      </c>
      <c r="AI68" s="413">
        <v>75</v>
      </c>
      <c r="AJ68" s="387">
        <f t="shared" si="18"/>
        <v>900</v>
      </c>
      <c r="AK68" s="387">
        <v>75</v>
      </c>
      <c r="AL68" s="387">
        <f>+AP68*12</f>
        <v>21120</v>
      </c>
      <c r="AM68" s="387">
        <f t="shared" si="49"/>
        <v>19360</v>
      </c>
      <c r="AN68" s="387">
        <f t="shared" si="51"/>
        <v>19360</v>
      </c>
      <c r="AO68" s="387">
        <f>1760*H68</f>
        <v>19360</v>
      </c>
      <c r="AP68" s="387">
        <v>1760</v>
      </c>
      <c r="AQ68" s="387">
        <v>0</v>
      </c>
      <c r="AR68" s="387">
        <v>0</v>
      </c>
      <c r="AS68" s="387">
        <v>0</v>
      </c>
      <c r="AT68" s="387">
        <v>0</v>
      </c>
      <c r="AU68" s="391">
        <f>+G68+I68+K68+M68+O68+Q68+S68+AN68+AI68+U68+W68+Y68+AA68+AC68+AE68+AG68+AM68+AO68+AQ68+AR68+AS68+AT68+AK68+AP68</f>
        <v>106478.6</v>
      </c>
    </row>
    <row r="69" spans="2:47" ht="15.75" thickBot="1" x14ac:dyDescent="0.3">
      <c r="B69" s="501">
        <f t="shared" si="8"/>
        <v>50</v>
      </c>
      <c r="C69" s="518"/>
      <c r="D69" s="427" t="s">
        <v>37</v>
      </c>
      <c r="E69" s="428">
        <v>71.400000000000006</v>
      </c>
      <c r="F69" s="429">
        <v>9</v>
      </c>
      <c r="G69" s="489">
        <f t="shared" si="33"/>
        <v>19920.600000000002</v>
      </c>
      <c r="H69" s="429">
        <v>9</v>
      </c>
      <c r="I69" s="489">
        <f t="shared" si="34"/>
        <v>17992.8</v>
      </c>
      <c r="J69" s="429"/>
      <c r="K69" s="486"/>
      <c r="L69" s="429"/>
      <c r="M69" s="486"/>
      <c r="N69" s="429"/>
      <c r="O69" s="486"/>
      <c r="P69" s="429"/>
      <c r="Q69" s="486"/>
      <c r="R69" s="429"/>
      <c r="S69" s="486"/>
      <c r="T69" s="429"/>
      <c r="U69" s="486"/>
      <c r="V69" s="429"/>
      <c r="W69" s="486"/>
      <c r="X69" s="429"/>
      <c r="Y69" s="486"/>
      <c r="Z69" s="429"/>
      <c r="AA69" s="486"/>
      <c r="AB69" s="429"/>
      <c r="AC69" s="504"/>
      <c r="AD69" s="432">
        <f t="shared" si="1"/>
        <v>0</v>
      </c>
      <c r="AE69" s="413">
        <v>0</v>
      </c>
      <c r="AF69" s="387">
        <f t="shared" si="2"/>
        <v>0</v>
      </c>
      <c r="AG69" s="413">
        <v>0</v>
      </c>
      <c r="AH69" s="387">
        <f t="shared" si="3"/>
        <v>0</v>
      </c>
      <c r="AI69" s="413">
        <v>0</v>
      </c>
      <c r="AJ69" s="387">
        <f t="shared" si="18"/>
        <v>0</v>
      </c>
      <c r="AK69" s="387">
        <v>0</v>
      </c>
      <c r="AL69" s="387">
        <f>+AP69*12</f>
        <v>147840</v>
      </c>
      <c r="AM69" s="387">
        <f t="shared" si="49"/>
        <v>15840</v>
      </c>
      <c r="AN69" s="387">
        <f t="shared" si="51"/>
        <v>15840</v>
      </c>
      <c r="AO69" s="387">
        <v>14080</v>
      </c>
      <c r="AP69" s="387">
        <v>12320</v>
      </c>
      <c r="AQ69" s="387">
        <v>0</v>
      </c>
      <c r="AR69" s="387">
        <v>0</v>
      </c>
      <c r="AS69" s="387">
        <v>0</v>
      </c>
      <c r="AT69" s="387">
        <v>0</v>
      </c>
      <c r="AU69" s="391">
        <f>+G69+I69+K69+M69+O69+Q69+S69+AN69+AI69+U69+W69+Y69+AA69+AC69+AE69+AG69+AM69+AO69+AQ69+AR69+AS69+AT69+AK69+AP69</f>
        <v>95993.4</v>
      </c>
    </row>
    <row r="70" spans="2:47" ht="15.75" thickBot="1" x14ac:dyDescent="0.3">
      <c r="B70" s="501">
        <f t="shared" si="8"/>
        <v>51</v>
      </c>
      <c r="C70" s="518"/>
      <c r="D70" s="427" t="s">
        <v>63</v>
      </c>
      <c r="E70" s="428">
        <v>71.400000000000006</v>
      </c>
      <c r="F70" s="429">
        <v>4</v>
      </c>
      <c r="G70" s="489">
        <f t="shared" si="33"/>
        <v>8853.6</v>
      </c>
      <c r="H70" s="429">
        <v>4</v>
      </c>
      <c r="I70" s="489">
        <f t="shared" si="34"/>
        <v>7996.8000000000011</v>
      </c>
      <c r="J70" s="429"/>
      <c r="K70" s="486"/>
      <c r="L70" s="429"/>
      <c r="M70" s="486"/>
      <c r="N70" s="429"/>
      <c r="O70" s="486"/>
      <c r="P70" s="429"/>
      <c r="Q70" s="486"/>
      <c r="R70" s="429"/>
      <c r="S70" s="486"/>
      <c r="T70" s="429"/>
      <c r="U70" s="486"/>
      <c r="V70" s="429"/>
      <c r="W70" s="486"/>
      <c r="X70" s="429"/>
      <c r="Y70" s="486"/>
      <c r="Z70" s="429"/>
      <c r="AA70" s="486"/>
      <c r="AB70" s="429"/>
      <c r="AC70" s="504"/>
      <c r="AD70" s="432"/>
      <c r="AE70" s="413"/>
      <c r="AF70" s="387"/>
      <c r="AG70" s="413"/>
      <c r="AH70" s="387"/>
      <c r="AI70" s="413"/>
      <c r="AJ70" s="387"/>
      <c r="AK70" s="387"/>
      <c r="AL70" s="387"/>
      <c r="AM70" s="387"/>
      <c r="AN70" s="387"/>
      <c r="AO70" s="387"/>
      <c r="AP70" s="387"/>
      <c r="AQ70" s="387"/>
      <c r="AR70" s="387"/>
      <c r="AS70" s="387"/>
      <c r="AT70" s="387"/>
      <c r="AU70" s="391"/>
    </row>
    <row r="71" spans="2:47" ht="15.75" thickBot="1" x14ac:dyDescent="0.3">
      <c r="B71" s="501">
        <f t="shared" si="8"/>
        <v>52</v>
      </c>
      <c r="C71" s="518"/>
      <c r="D71" s="427" t="s">
        <v>153</v>
      </c>
      <c r="E71" s="428">
        <v>71.400000000000006</v>
      </c>
      <c r="F71" s="429">
        <v>3</v>
      </c>
      <c r="G71" s="489">
        <f t="shared" si="33"/>
        <v>6640.2000000000007</v>
      </c>
      <c r="H71" s="429">
        <v>3</v>
      </c>
      <c r="I71" s="489">
        <f t="shared" si="34"/>
        <v>5997.6</v>
      </c>
      <c r="J71" s="429"/>
      <c r="K71" s="486"/>
      <c r="L71" s="429"/>
      <c r="M71" s="486"/>
      <c r="N71" s="429"/>
      <c r="O71" s="486"/>
      <c r="P71" s="429"/>
      <c r="Q71" s="486"/>
      <c r="R71" s="429"/>
      <c r="S71" s="486"/>
      <c r="T71" s="429"/>
      <c r="U71" s="486"/>
      <c r="V71" s="429"/>
      <c r="W71" s="486"/>
      <c r="X71" s="429"/>
      <c r="Y71" s="486"/>
      <c r="Z71" s="429"/>
      <c r="AA71" s="486"/>
      <c r="AB71" s="429"/>
      <c r="AC71" s="504"/>
      <c r="AD71" s="432">
        <f t="shared" si="1"/>
        <v>1200</v>
      </c>
      <c r="AE71" s="413">
        <v>100</v>
      </c>
      <c r="AF71" s="387">
        <f t="shared" si="2"/>
        <v>1200</v>
      </c>
      <c r="AG71" s="413">
        <v>100</v>
      </c>
      <c r="AH71" s="387">
        <f t="shared" si="3"/>
        <v>1200</v>
      </c>
      <c r="AI71" s="413">
        <v>100</v>
      </c>
      <c r="AJ71" s="387">
        <f t="shared" si="18"/>
        <v>1200</v>
      </c>
      <c r="AK71" s="387">
        <v>100</v>
      </c>
      <c r="AL71" s="387">
        <f t="shared" ref="AL71:AL88" si="52">+AP71*12</f>
        <v>42240</v>
      </c>
      <c r="AM71" s="387">
        <f t="shared" si="49"/>
        <v>5280</v>
      </c>
      <c r="AN71" s="387">
        <f t="shared" si="51"/>
        <v>5280</v>
      </c>
      <c r="AO71" s="387">
        <v>3520</v>
      </c>
      <c r="AP71" s="387">
        <v>3520</v>
      </c>
      <c r="AQ71" s="387">
        <v>0</v>
      </c>
      <c r="AR71" s="387">
        <v>0</v>
      </c>
      <c r="AS71" s="387">
        <v>0</v>
      </c>
      <c r="AT71" s="387">
        <v>0</v>
      </c>
      <c r="AU71" s="391">
        <f t="shared" ref="AU71:AU88" si="53">+G71+I71+K71+M71+O71+Q71+S71+AN71+AI71+U71+W71+Y71+AA71+AC71+AE71+AG71+AM71+AO71+AQ71+AR71+AS71+AT71+AK71+AP71</f>
        <v>30637.800000000003</v>
      </c>
    </row>
    <row r="72" spans="2:47" ht="15.75" thickBot="1" x14ac:dyDescent="0.3">
      <c r="B72" s="509">
        <f t="shared" si="8"/>
        <v>53</v>
      </c>
      <c r="C72" s="519"/>
      <c r="D72" s="436" t="s">
        <v>54</v>
      </c>
      <c r="E72" s="437">
        <v>72.540000000000006</v>
      </c>
      <c r="F72" s="438">
        <v>1</v>
      </c>
      <c r="G72" s="487">
        <f t="shared" si="27"/>
        <v>2248.7400000000002</v>
      </c>
      <c r="H72" s="438">
        <v>1</v>
      </c>
      <c r="I72" s="487">
        <f t="shared" si="34"/>
        <v>2031.1200000000001</v>
      </c>
      <c r="J72" s="438"/>
      <c r="K72" s="487"/>
      <c r="L72" s="438"/>
      <c r="M72" s="487"/>
      <c r="N72" s="438"/>
      <c r="O72" s="487"/>
      <c r="P72" s="438"/>
      <c r="Q72" s="487"/>
      <c r="R72" s="438"/>
      <c r="S72" s="487"/>
      <c r="T72" s="438"/>
      <c r="U72" s="487"/>
      <c r="V72" s="438"/>
      <c r="W72" s="487"/>
      <c r="X72" s="438"/>
      <c r="Y72" s="487"/>
      <c r="Z72" s="438"/>
      <c r="AA72" s="487"/>
      <c r="AB72" s="438"/>
      <c r="AC72" s="505"/>
      <c r="AD72" s="432">
        <f t="shared" si="1"/>
        <v>1800</v>
      </c>
      <c r="AE72" s="413">
        <v>150</v>
      </c>
      <c r="AF72" s="387">
        <f t="shared" si="2"/>
        <v>1800</v>
      </c>
      <c r="AG72" s="413">
        <v>150</v>
      </c>
      <c r="AH72" s="387">
        <f t="shared" si="3"/>
        <v>1712.88</v>
      </c>
      <c r="AI72" s="413">
        <v>142.74</v>
      </c>
      <c r="AJ72" s="387">
        <f t="shared" si="18"/>
        <v>900</v>
      </c>
      <c r="AK72" s="387">
        <v>75</v>
      </c>
      <c r="AL72" s="387">
        <f t="shared" si="52"/>
        <v>24410.322580645163</v>
      </c>
      <c r="AM72" s="387">
        <f t="shared" si="49"/>
        <v>1760</v>
      </c>
      <c r="AN72" s="387">
        <f t="shared" si="51"/>
        <v>1760</v>
      </c>
      <c r="AO72" s="387">
        <v>3349.68</v>
      </c>
      <c r="AP72" s="387">
        <v>2034.1935483870968</v>
      </c>
      <c r="AQ72" s="387">
        <v>0</v>
      </c>
      <c r="AR72" s="387">
        <v>0</v>
      </c>
      <c r="AS72" s="387">
        <v>0</v>
      </c>
      <c r="AT72" s="387">
        <v>0</v>
      </c>
      <c r="AU72" s="391">
        <f t="shared" si="53"/>
        <v>13701.473548387097</v>
      </c>
    </row>
    <row r="73" spans="2:47" ht="15" customHeight="1" thickBot="1" x14ac:dyDescent="0.3">
      <c r="B73" s="508">
        <f t="shared" si="8"/>
        <v>54</v>
      </c>
      <c r="C73" s="517" t="s">
        <v>65</v>
      </c>
      <c r="D73" s="433" t="s">
        <v>129</v>
      </c>
      <c r="E73" s="434">
        <v>71.400000000000006</v>
      </c>
      <c r="F73" s="435">
        <v>15</v>
      </c>
      <c r="G73" s="485">
        <f t="shared" ref="G73" si="54">+E73*F73*31</f>
        <v>33201</v>
      </c>
      <c r="H73" s="435">
        <v>15</v>
      </c>
      <c r="I73" s="485">
        <f t="shared" si="34"/>
        <v>29988</v>
      </c>
      <c r="J73" s="435"/>
      <c r="K73" s="485"/>
      <c r="L73" s="435"/>
      <c r="M73" s="485"/>
      <c r="N73" s="435"/>
      <c r="O73" s="485"/>
      <c r="P73" s="435"/>
      <c r="Q73" s="485"/>
      <c r="R73" s="435"/>
      <c r="S73" s="485"/>
      <c r="T73" s="435"/>
      <c r="U73" s="485"/>
      <c r="V73" s="435"/>
      <c r="W73" s="485"/>
      <c r="X73" s="435"/>
      <c r="Y73" s="485"/>
      <c r="Z73" s="435"/>
      <c r="AA73" s="485"/>
      <c r="AB73" s="435"/>
      <c r="AC73" s="503"/>
      <c r="AD73" s="432">
        <f t="shared" ref="AD73" si="55">+AE73*12</f>
        <v>2820</v>
      </c>
      <c r="AE73" s="413">
        <v>235</v>
      </c>
      <c r="AF73" s="387">
        <f t="shared" ref="AF73" si="56">+AG73*12</f>
        <v>2820</v>
      </c>
      <c r="AG73" s="413">
        <v>235</v>
      </c>
      <c r="AH73" s="387">
        <f t="shared" ref="AH73" si="57">+AI73*12</f>
        <v>2820</v>
      </c>
      <c r="AI73" s="413">
        <v>235</v>
      </c>
      <c r="AJ73" s="387">
        <f t="shared" ref="AJ73" si="58">+AK73*12</f>
        <v>2820</v>
      </c>
      <c r="AK73" s="387">
        <v>235</v>
      </c>
      <c r="AL73" s="387">
        <f t="shared" si="52"/>
        <v>211200</v>
      </c>
      <c r="AM73" s="387">
        <f t="shared" ref="AM73" si="59">1760*F73</f>
        <v>26400</v>
      </c>
      <c r="AN73" s="387">
        <f>1760*8</f>
        <v>14080</v>
      </c>
      <c r="AO73" s="387">
        <f>17600+1760</f>
        <v>19360</v>
      </c>
      <c r="AP73" s="387">
        <v>17600</v>
      </c>
      <c r="AQ73" s="387">
        <v>0</v>
      </c>
      <c r="AR73" s="387">
        <v>0</v>
      </c>
      <c r="AS73" s="387">
        <v>0</v>
      </c>
      <c r="AT73" s="387">
        <v>0</v>
      </c>
      <c r="AU73" s="391">
        <f t="shared" si="53"/>
        <v>141569</v>
      </c>
    </row>
    <row r="74" spans="2:47" ht="15" customHeight="1" thickBot="1" x14ac:dyDescent="0.3">
      <c r="B74" s="508">
        <f t="shared" si="8"/>
        <v>55</v>
      </c>
      <c r="C74" s="518"/>
      <c r="D74" s="427" t="s">
        <v>66</v>
      </c>
      <c r="E74" s="428">
        <v>73.59</v>
      </c>
      <c r="F74" s="429">
        <v>1</v>
      </c>
      <c r="G74" s="489">
        <f t="shared" ref="G74:G141" si="60">+F74*E74*31</f>
        <v>2281.29</v>
      </c>
      <c r="H74" s="429">
        <v>1</v>
      </c>
      <c r="I74" s="489">
        <f t="shared" si="34"/>
        <v>2060.52</v>
      </c>
      <c r="J74" s="429"/>
      <c r="K74" s="486"/>
      <c r="L74" s="429"/>
      <c r="M74" s="486"/>
      <c r="N74" s="429"/>
      <c r="O74" s="486"/>
      <c r="P74" s="429"/>
      <c r="Q74" s="486"/>
      <c r="R74" s="429"/>
      <c r="S74" s="486"/>
      <c r="T74" s="429"/>
      <c r="U74" s="486"/>
      <c r="V74" s="429"/>
      <c r="W74" s="486"/>
      <c r="X74" s="429"/>
      <c r="Y74" s="486"/>
      <c r="Z74" s="429"/>
      <c r="AA74" s="486"/>
      <c r="AB74" s="429"/>
      <c r="AC74" s="504"/>
      <c r="AD74" s="432"/>
      <c r="AE74" s="413"/>
      <c r="AF74" s="387"/>
      <c r="AG74" s="413"/>
      <c r="AH74" s="387"/>
      <c r="AI74" s="413"/>
      <c r="AJ74" s="387"/>
      <c r="AK74" s="387"/>
      <c r="AL74" s="387"/>
      <c r="AM74" s="387"/>
      <c r="AN74" s="387"/>
      <c r="AO74" s="387"/>
      <c r="AP74" s="387"/>
      <c r="AQ74" s="387"/>
      <c r="AR74" s="387"/>
      <c r="AS74" s="387"/>
      <c r="AT74" s="387"/>
      <c r="AU74" s="391"/>
    </row>
    <row r="75" spans="2:47" ht="15.75" thickBot="1" x14ac:dyDescent="0.3">
      <c r="B75" s="508">
        <f t="shared" si="8"/>
        <v>56</v>
      </c>
      <c r="C75" s="518"/>
      <c r="D75" s="427" t="s">
        <v>49</v>
      </c>
      <c r="E75" s="428">
        <v>74.63</v>
      </c>
      <c r="F75" s="429">
        <v>1</v>
      </c>
      <c r="G75" s="489">
        <f t="shared" si="60"/>
        <v>2313.5299999999997</v>
      </c>
      <c r="H75" s="429">
        <v>1</v>
      </c>
      <c r="I75" s="489">
        <f t="shared" si="34"/>
        <v>2089.64</v>
      </c>
      <c r="J75" s="429"/>
      <c r="K75" s="486"/>
      <c r="L75" s="429"/>
      <c r="M75" s="486"/>
      <c r="N75" s="429"/>
      <c r="O75" s="486"/>
      <c r="P75" s="429"/>
      <c r="Q75" s="486"/>
      <c r="R75" s="429"/>
      <c r="S75" s="486"/>
      <c r="T75" s="429"/>
      <c r="U75" s="486"/>
      <c r="V75" s="429"/>
      <c r="W75" s="486"/>
      <c r="X75" s="429"/>
      <c r="Y75" s="486"/>
      <c r="Z75" s="429"/>
      <c r="AA75" s="486"/>
      <c r="AB75" s="429"/>
      <c r="AC75" s="504"/>
      <c r="AD75" s="432">
        <f t="shared" ref="AD75:AD77" si="61">+AE75*12</f>
        <v>600</v>
      </c>
      <c r="AE75" s="413">
        <v>50</v>
      </c>
      <c r="AF75" s="387">
        <f t="shared" ref="AF75:AF77" si="62">+AG75*12</f>
        <v>600</v>
      </c>
      <c r="AG75" s="413">
        <v>50</v>
      </c>
      <c r="AH75" s="387">
        <f t="shared" ref="AH75:AH77" si="63">+AI75*12</f>
        <v>600</v>
      </c>
      <c r="AI75" s="413">
        <v>50</v>
      </c>
      <c r="AJ75" s="387">
        <f t="shared" ref="AJ75:AJ77" si="64">+AK75*12</f>
        <v>600</v>
      </c>
      <c r="AK75" s="387">
        <v>50</v>
      </c>
      <c r="AL75" s="387">
        <f>+AP75*12</f>
        <v>21120</v>
      </c>
      <c r="AM75" s="387">
        <f t="shared" ref="AM75:AM77" si="65">1760*F75</f>
        <v>1760</v>
      </c>
      <c r="AN75" s="387">
        <f t="shared" ref="AN75:AN77" si="66">1760*H75</f>
        <v>1760</v>
      </c>
      <c r="AO75" s="387">
        <f>1760*H75</f>
        <v>1760</v>
      </c>
      <c r="AP75" s="387">
        <v>1760</v>
      </c>
      <c r="AQ75" s="387">
        <v>0</v>
      </c>
      <c r="AR75" s="387">
        <v>0</v>
      </c>
      <c r="AS75" s="387">
        <v>0</v>
      </c>
      <c r="AT75" s="387">
        <v>0</v>
      </c>
      <c r="AU75" s="391">
        <f>+G75+I75+K75+M75+O75+Q75+S75+AN75+AI75+U75+W75+Y75+AA75+AC75+AE75+AG75+AM75+AO75+AQ75+AR75+AS75+AT75+AK75+AP75</f>
        <v>11643.17</v>
      </c>
    </row>
    <row r="76" spans="2:47" ht="15.75" thickBot="1" x14ac:dyDescent="0.3">
      <c r="B76" s="508">
        <f t="shared" si="8"/>
        <v>57</v>
      </c>
      <c r="C76" s="518"/>
      <c r="D76" s="427" t="s">
        <v>37</v>
      </c>
      <c r="E76" s="428">
        <v>71.400000000000006</v>
      </c>
      <c r="F76" s="429">
        <v>7</v>
      </c>
      <c r="G76" s="489">
        <f t="shared" si="60"/>
        <v>15493.800000000003</v>
      </c>
      <c r="H76" s="429">
        <v>7</v>
      </c>
      <c r="I76" s="489">
        <f t="shared" si="34"/>
        <v>13994.400000000001</v>
      </c>
      <c r="J76" s="429"/>
      <c r="K76" s="486"/>
      <c r="L76" s="429"/>
      <c r="M76" s="486"/>
      <c r="N76" s="429"/>
      <c r="O76" s="486"/>
      <c r="P76" s="429"/>
      <c r="Q76" s="486"/>
      <c r="R76" s="429"/>
      <c r="S76" s="486"/>
      <c r="T76" s="429"/>
      <c r="U76" s="486"/>
      <c r="V76" s="429"/>
      <c r="W76" s="486"/>
      <c r="X76" s="429"/>
      <c r="Y76" s="486"/>
      <c r="Z76" s="429"/>
      <c r="AA76" s="486"/>
      <c r="AB76" s="429"/>
      <c r="AC76" s="504"/>
      <c r="AD76" s="432">
        <f t="shared" si="61"/>
        <v>900</v>
      </c>
      <c r="AE76" s="413">
        <v>75</v>
      </c>
      <c r="AF76" s="387">
        <f t="shared" si="62"/>
        <v>900</v>
      </c>
      <c r="AG76" s="413">
        <v>75</v>
      </c>
      <c r="AH76" s="387">
        <f t="shared" si="63"/>
        <v>900</v>
      </c>
      <c r="AI76" s="413">
        <v>75</v>
      </c>
      <c r="AJ76" s="387">
        <f t="shared" si="64"/>
        <v>900</v>
      </c>
      <c r="AK76" s="387">
        <v>75</v>
      </c>
      <c r="AL76" s="387">
        <f>+AP76*12</f>
        <v>21120</v>
      </c>
      <c r="AM76" s="387">
        <f t="shared" si="65"/>
        <v>12320</v>
      </c>
      <c r="AN76" s="387">
        <f t="shared" si="66"/>
        <v>12320</v>
      </c>
      <c r="AO76" s="387">
        <f>1760*H76</f>
        <v>12320</v>
      </c>
      <c r="AP76" s="387">
        <v>1760</v>
      </c>
      <c r="AQ76" s="387">
        <v>0</v>
      </c>
      <c r="AR76" s="387">
        <v>0</v>
      </c>
      <c r="AS76" s="387">
        <v>0</v>
      </c>
      <c r="AT76" s="387">
        <v>0</v>
      </c>
      <c r="AU76" s="391">
        <f>+G76+I76+K76+M76+O76+Q76+S76+AN76+AI76+U76+W76+Y76+AA76+AC76+AE76+AG76+AM76+AO76+AQ76+AR76+AS76+AT76+AK76+AP76</f>
        <v>68508.200000000012</v>
      </c>
    </row>
    <row r="77" spans="2:47" ht="15.75" thickBot="1" x14ac:dyDescent="0.3">
      <c r="B77" s="508">
        <f t="shared" si="8"/>
        <v>58</v>
      </c>
      <c r="C77" s="518"/>
      <c r="D77" s="427" t="s">
        <v>67</v>
      </c>
      <c r="E77" s="428">
        <v>72.540000000000006</v>
      </c>
      <c r="F77" s="429">
        <v>2</v>
      </c>
      <c r="G77" s="489">
        <f t="shared" si="60"/>
        <v>4497.4800000000005</v>
      </c>
      <c r="H77" s="429">
        <v>2</v>
      </c>
      <c r="I77" s="489">
        <f t="shared" si="34"/>
        <v>4062.2400000000002</v>
      </c>
      <c r="J77" s="429"/>
      <c r="K77" s="486"/>
      <c r="L77" s="429"/>
      <c r="M77" s="486"/>
      <c r="N77" s="429"/>
      <c r="O77" s="486"/>
      <c r="P77" s="429"/>
      <c r="Q77" s="486"/>
      <c r="R77" s="429"/>
      <c r="S77" s="486"/>
      <c r="T77" s="429"/>
      <c r="U77" s="486"/>
      <c r="V77" s="429"/>
      <c r="W77" s="486"/>
      <c r="X77" s="429"/>
      <c r="Y77" s="486"/>
      <c r="Z77" s="429"/>
      <c r="AA77" s="486"/>
      <c r="AB77" s="429"/>
      <c r="AC77" s="504"/>
      <c r="AD77" s="432">
        <f t="shared" si="61"/>
        <v>0</v>
      </c>
      <c r="AE77" s="413">
        <v>0</v>
      </c>
      <c r="AF77" s="387">
        <f t="shared" si="62"/>
        <v>0</v>
      </c>
      <c r="AG77" s="413">
        <v>0</v>
      </c>
      <c r="AH77" s="387">
        <f t="shared" si="63"/>
        <v>0</v>
      </c>
      <c r="AI77" s="413">
        <v>0</v>
      </c>
      <c r="AJ77" s="387">
        <f t="shared" si="64"/>
        <v>0</v>
      </c>
      <c r="AK77" s="387">
        <v>0</v>
      </c>
      <c r="AL77" s="387">
        <f>+AP77*12</f>
        <v>147840</v>
      </c>
      <c r="AM77" s="387">
        <f t="shared" si="65"/>
        <v>3520</v>
      </c>
      <c r="AN77" s="387">
        <f t="shared" si="66"/>
        <v>3520</v>
      </c>
      <c r="AO77" s="387">
        <v>14080</v>
      </c>
      <c r="AP77" s="387">
        <v>12320</v>
      </c>
      <c r="AQ77" s="387">
        <v>0</v>
      </c>
      <c r="AR77" s="387">
        <v>0</v>
      </c>
      <c r="AS77" s="387">
        <v>0</v>
      </c>
      <c r="AT77" s="387">
        <v>0</v>
      </c>
      <c r="AU77" s="391">
        <f>+G77+I77+K77+M77+O77+Q77+S77+AN77+AI77+U77+W77+Y77+AA77+AC77+AE77+AG77+AM77+AO77+AQ77+AR77+AS77+AT77+AK77+AP77</f>
        <v>41999.72</v>
      </c>
    </row>
    <row r="78" spans="2:47" ht="15.75" thickBot="1" x14ac:dyDescent="0.3">
      <c r="B78" s="508">
        <f t="shared" si="8"/>
        <v>59</v>
      </c>
      <c r="C78" s="518"/>
      <c r="D78" s="427" t="s">
        <v>38</v>
      </c>
      <c r="E78" s="428">
        <v>78.25</v>
      </c>
      <c r="F78" s="429">
        <v>1</v>
      </c>
      <c r="G78" s="489">
        <f t="shared" si="60"/>
        <v>2425.75</v>
      </c>
      <c r="H78" s="429">
        <v>1</v>
      </c>
      <c r="I78" s="489">
        <f t="shared" si="34"/>
        <v>2191</v>
      </c>
      <c r="J78" s="429"/>
      <c r="K78" s="486"/>
      <c r="L78" s="429"/>
      <c r="M78" s="486"/>
      <c r="N78" s="429"/>
      <c r="O78" s="486"/>
      <c r="P78" s="429"/>
      <c r="Q78" s="486"/>
      <c r="R78" s="429"/>
      <c r="S78" s="486"/>
      <c r="T78" s="429"/>
      <c r="U78" s="486"/>
      <c r="V78" s="429"/>
      <c r="W78" s="486"/>
      <c r="X78" s="429"/>
      <c r="Y78" s="486"/>
      <c r="Z78" s="429"/>
      <c r="AA78" s="486"/>
      <c r="AB78" s="429"/>
      <c r="AC78" s="504"/>
      <c r="AD78" s="432"/>
      <c r="AE78" s="413"/>
      <c r="AF78" s="387"/>
      <c r="AG78" s="413"/>
      <c r="AH78" s="387"/>
      <c r="AI78" s="413"/>
      <c r="AJ78" s="387"/>
      <c r="AK78" s="387"/>
      <c r="AL78" s="387"/>
      <c r="AM78" s="387"/>
      <c r="AN78" s="387"/>
      <c r="AO78" s="387"/>
      <c r="AP78" s="387"/>
      <c r="AQ78" s="387"/>
      <c r="AR78" s="387"/>
      <c r="AS78" s="387"/>
      <c r="AT78" s="387"/>
      <c r="AU78" s="391"/>
    </row>
    <row r="79" spans="2:47" ht="15.75" thickBot="1" x14ac:dyDescent="0.3">
      <c r="B79" s="508">
        <f t="shared" si="8"/>
        <v>60</v>
      </c>
      <c r="C79" s="518"/>
      <c r="D79" s="427" t="s">
        <v>30</v>
      </c>
      <c r="E79" s="428">
        <v>72.540000000000006</v>
      </c>
      <c r="F79" s="429">
        <v>3</v>
      </c>
      <c r="G79" s="489">
        <f t="shared" si="60"/>
        <v>6746.22</v>
      </c>
      <c r="H79" s="429">
        <v>3</v>
      </c>
      <c r="I79" s="489">
        <f t="shared" si="34"/>
        <v>6093.3600000000006</v>
      </c>
      <c r="J79" s="429"/>
      <c r="K79" s="486"/>
      <c r="L79" s="429"/>
      <c r="M79" s="486"/>
      <c r="N79" s="429"/>
      <c r="O79" s="486"/>
      <c r="P79" s="429"/>
      <c r="Q79" s="486"/>
      <c r="R79" s="429"/>
      <c r="S79" s="486"/>
      <c r="T79" s="429"/>
      <c r="U79" s="486"/>
      <c r="V79" s="429"/>
      <c r="W79" s="486"/>
      <c r="X79" s="429"/>
      <c r="Y79" s="486"/>
      <c r="Z79" s="429"/>
      <c r="AA79" s="486"/>
      <c r="AB79" s="429"/>
      <c r="AC79" s="504"/>
      <c r="AD79" s="432"/>
      <c r="AE79" s="413"/>
      <c r="AF79" s="387"/>
      <c r="AG79" s="413"/>
      <c r="AH79" s="387"/>
      <c r="AI79" s="413"/>
      <c r="AJ79" s="387"/>
      <c r="AK79" s="387"/>
      <c r="AL79" s="387"/>
      <c r="AM79" s="387"/>
      <c r="AN79" s="387"/>
      <c r="AO79" s="387"/>
      <c r="AP79" s="387"/>
      <c r="AQ79" s="387"/>
      <c r="AR79" s="387"/>
      <c r="AS79" s="387"/>
      <c r="AT79" s="387"/>
      <c r="AU79" s="391"/>
    </row>
    <row r="80" spans="2:47" ht="15.75" thickBot="1" x14ac:dyDescent="0.3">
      <c r="B80" s="508">
        <f t="shared" si="8"/>
        <v>61</v>
      </c>
      <c r="C80" s="518"/>
      <c r="D80" s="427" t="s">
        <v>68</v>
      </c>
      <c r="E80" s="428">
        <v>71.400000000000006</v>
      </c>
      <c r="F80" s="429">
        <v>4</v>
      </c>
      <c r="G80" s="489">
        <f t="shared" si="60"/>
        <v>8853.6</v>
      </c>
      <c r="H80" s="429">
        <v>4</v>
      </c>
      <c r="I80" s="489">
        <f t="shared" si="34"/>
        <v>7996.8000000000011</v>
      </c>
      <c r="J80" s="429"/>
      <c r="K80" s="486"/>
      <c r="L80" s="429"/>
      <c r="M80" s="486"/>
      <c r="N80" s="429"/>
      <c r="O80" s="486"/>
      <c r="P80" s="429"/>
      <c r="Q80" s="486"/>
      <c r="R80" s="429"/>
      <c r="S80" s="486"/>
      <c r="T80" s="429"/>
      <c r="U80" s="486"/>
      <c r="V80" s="429"/>
      <c r="W80" s="486"/>
      <c r="X80" s="429"/>
      <c r="Y80" s="486"/>
      <c r="Z80" s="429"/>
      <c r="AA80" s="486"/>
      <c r="AB80" s="429"/>
      <c r="AC80" s="504"/>
      <c r="AD80" s="432">
        <f t="shared" ref="AD80:AD81" si="67">+AE80*12</f>
        <v>1200</v>
      </c>
      <c r="AE80" s="413">
        <v>100</v>
      </c>
      <c r="AF80" s="387">
        <f t="shared" ref="AF80:AF81" si="68">+AG80*12</f>
        <v>1200</v>
      </c>
      <c r="AG80" s="413">
        <v>100</v>
      </c>
      <c r="AH80" s="387">
        <f t="shared" ref="AH80:AH81" si="69">+AI80*12</f>
        <v>1200</v>
      </c>
      <c r="AI80" s="413">
        <v>100</v>
      </c>
      <c r="AJ80" s="387">
        <f t="shared" ref="AJ80:AJ81" si="70">+AK80*12</f>
        <v>1200</v>
      </c>
      <c r="AK80" s="387">
        <v>100</v>
      </c>
      <c r="AL80" s="387">
        <f t="shared" ref="AL80:AL81" si="71">+AP80*12</f>
        <v>42240</v>
      </c>
      <c r="AM80" s="387">
        <f t="shared" ref="AM80:AM81" si="72">1760*F80</f>
        <v>7040</v>
      </c>
      <c r="AN80" s="387">
        <f t="shared" ref="AN80:AN81" si="73">1760*H80</f>
        <v>7040</v>
      </c>
      <c r="AO80" s="387">
        <v>3520</v>
      </c>
      <c r="AP80" s="387">
        <v>3520</v>
      </c>
      <c r="AQ80" s="387">
        <v>0</v>
      </c>
      <c r="AR80" s="387">
        <v>0</v>
      </c>
      <c r="AS80" s="387">
        <v>0</v>
      </c>
      <c r="AT80" s="387">
        <v>0</v>
      </c>
      <c r="AU80" s="391">
        <f t="shared" ref="AU80:AU81" si="74">+G80+I80+K80+M80+O80+Q80+S80+AN80+AI80+U80+W80+Y80+AA80+AC80+AE80+AG80+AM80+AO80+AQ80+AR80+AS80+AT80+AK80+AP80</f>
        <v>38370.400000000001</v>
      </c>
    </row>
    <row r="81" spans="2:49" ht="15.75" thickBot="1" x14ac:dyDescent="0.3">
      <c r="B81" s="508">
        <f t="shared" si="8"/>
        <v>62</v>
      </c>
      <c r="C81" s="519"/>
      <c r="D81" s="436" t="s">
        <v>36</v>
      </c>
      <c r="E81" s="437">
        <v>80.86</v>
      </c>
      <c r="F81" s="438">
        <v>5</v>
      </c>
      <c r="G81" s="487">
        <f t="shared" ref="G81" si="75">+E81*F81*31</f>
        <v>12533.300000000001</v>
      </c>
      <c r="H81" s="438">
        <v>5</v>
      </c>
      <c r="I81" s="487">
        <f t="shared" si="34"/>
        <v>11320.4</v>
      </c>
      <c r="J81" s="438"/>
      <c r="K81" s="487"/>
      <c r="L81" s="438"/>
      <c r="M81" s="487"/>
      <c r="N81" s="438"/>
      <c r="O81" s="487"/>
      <c r="P81" s="438"/>
      <c r="Q81" s="487"/>
      <c r="R81" s="438"/>
      <c r="S81" s="487"/>
      <c r="T81" s="438"/>
      <c r="U81" s="487"/>
      <c r="V81" s="438"/>
      <c r="W81" s="487"/>
      <c r="X81" s="438"/>
      <c r="Y81" s="487"/>
      <c r="Z81" s="438"/>
      <c r="AA81" s="487"/>
      <c r="AB81" s="438"/>
      <c r="AC81" s="505"/>
      <c r="AD81" s="432">
        <f t="shared" si="67"/>
        <v>1800</v>
      </c>
      <c r="AE81" s="413">
        <v>150</v>
      </c>
      <c r="AF81" s="387">
        <f t="shared" si="68"/>
        <v>1800</v>
      </c>
      <c r="AG81" s="413">
        <v>150</v>
      </c>
      <c r="AH81" s="387">
        <f t="shared" si="69"/>
        <v>1712.88</v>
      </c>
      <c r="AI81" s="413">
        <v>142.74</v>
      </c>
      <c r="AJ81" s="387">
        <f t="shared" si="70"/>
        <v>900</v>
      </c>
      <c r="AK81" s="387">
        <v>75</v>
      </c>
      <c r="AL81" s="387">
        <f t="shared" si="71"/>
        <v>24410.322580645163</v>
      </c>
      <c r="AM81" s="387">
        <f t="shared" si="72"/>
        <v>8800</v>
      </c>
      <c r="AN81" s="387">
        <f t="shared" si="73"/>
        <v>8800</v>
      </c>
      <c r="AO81" s="387">
        <v>3349.68</v>
      </c>
      <c r="AP81" s="387">
        <v>2034.1935483870968</v>
      </c>
      <c r="AQ81" s="387">
        <v>0</v>
      </c>
      <c r="AR81" s="387">
        <v>0</v>
      </c>
      <c r="AS81" s="387">
        <v>0</v>
      </c>
      <c r="AT81" s="387">
        <v>0</v>
      </c>
      <c r="AU81" s="391">
        <f t="shared" si="74"/>
        <v>47355.313548387101</v>
      </c>
    </row>
    <row r="82" spans="2:49" ht="15" customHeight="1" thickBot="1" x14ac:dyDescent="0.3">
      <c r="B82" s="508">
        <f t="shared" si="8"/>
        <v>63</v>
      </c>
      <c r="C82" s="521" t="s">
        <v>80</v>
      </c>
      <c r="D82" s="468" t="s">
        <v>31</v>
      </c>
      <c r="E82" s="469">
        <v>71.400000000000006</v>
      </c>
      <c r="F82" s="403">
        <v>128</v>
      </c>
      <c r="G82" s="488">
        <f t="shared" si="60"/>
        <v>283315.20000000001</v>
      </c>
      <c r="H82" s="403">
        <v>128</v>
      </c>
      <c r="I82" s="488">
        <f t="shared" si="34"/>
        <v>255897.60000000003</v>
      </c>
      <c r="J82" s="403"/>
      <c r="K82" s="485"/>
      <c r="L82" s="403"/>
      <c r="M82" s="485"/>
      <c r="N82" s="403"/>
      <c r="O82" s="485"/>
      <c r="P82" s="403"/>
      <c r="Q82" s="485"/>
      <c r="R82" s="403"/>
      <c r="S82" s="485"/>
      <c r="T82" s="403"/>
      <c r="U82" s="485"/>
      <c r="V82" s="403"/>
      <c r="W82" s="485"/>
      <c r="X82" s="403"/>
      <c r="Y82" s="485"/>
      <c r="Z82" s="405"/>
      <c r="AA82" s="485"/>
      <c r="AB82" s="405"/>
      <c r="AC82" s="503"/>
      <c r="AD82" s="432"/>
      <c r="AE82" s="387"/>
      <c r="AF82" s="387"/>
      <c r="AG82" s="387"/>
      <c r="AH82" s="387"/>
      <c r="AI82" s="387"/>
      <c r="AJ82" s="387"/>
      <c r="AK82" s="387"/>
      <c r="AL82" s="387"/>
      <c r="AM82" s="387"/>
      <c r="AN82" s="387"/>
      <c r="AO82" s="387"/>
      <c r="AP82" s="387"/>
      <c r="AQ82" s="387"/>
      <c r="AR82" s="387"/>
      <c r="AS82" s="387"/>
      <c r="AT82" s="387"/>
      <c r="AU82" s="391"/>
      <c r="AW82" s="389"/>
    </row>
    <row r="83" spans="2:49" ht="15" customHeight="1" thickBot="1" x14ac:dyDescent="0.3">
      <c r="B83" s="508">
        <f t="shared" si="8"/>
        <v>64</v>
      </c>
      <c r="C83" s="522"/>
      <c r="D83" s="511" t="s">
        <v>31</v>
      </c>
      <c r="E83" s="492">
        <v>71.400000000000006</v>
      </c>
      <c r="F83" s="493">
        <v>1</v>
      </c>
      <c r="G83" s="490">
        <v>0</v>
      </c>
      <c r="H83" s="493">
        <v>1</v>
      </c>
      <c r="I83" s="490">
        <f t="shared" si="34"/>
        <v>1999.2000000000003</v>
      </c>
      <c r="J83" s="493"/>
      <c r="K83" s="494"/>
      <c r="L83" s="493"/>
      <c r="M83" s="494"/>
      <c r="N83" s="493"/>
      <c r="O83" s="494"/>
      <c r="P83" s="493"/>
      <c r="Q83" s="494"/>
      <c r="R83" s="493"/>
      <c r="S83" s="494"/>
      <c r="T83" s="493"/>
      <c r="U83" s="494"/>
      <c r="V83" s="493"/>
      <c r="W83" s="494"/>
      <c r="X83" s="493"/>
      <c r="Y83" s="494"/>
      <c r="Z83" s="495"/>
      <c r="AA83" s="494"/>
      <c r="AB83" s="495"/>
      <c r="AC83" s="506"/>
      <c r="AD83" s="432"/>
      <c r="AE83" s="387"/>
      <c r="AF83" s="387"/>
      <c r="AG83" s="387"/>
      <c r="AH83" s="387"/>
      <c r="AI83" s="387"/>
      <c r="AJ83" s="387"/>
      <c r="AK83" s="387"/>
      <c r="AL83" s="387"/>
      <c r="AM83" s="387"/>
      <c r="AN83" s="387"/>
      <c r="AO83" s="387"/>
      <c r="AP83" s="387"/>
      <c r="AQ83" s="387"/>
      <c r="AR83" s="387"/>
      <c r="AS83" s="387"/>
      <c r="AT83" s="387"/>
      <c r="AU83" s="391"/>
      <c r="AW83" s="389"/>
    </row>
    <row r="84" spans="2:49" ht="15" customHeight="1" thickBot="1" x14ac:dyDescent="0.3">
      <c r="B84" s="508">
        <f t="shared" si="8"/>
        <v>65</v>
      </c>
      <c r="C84" s="523" t="s">
        <v>69</v>
      </c>
      <c r="D84" s="468" t="s">
        <v>136</v>
      </c>
      <c r="E84" s="469">
        <v>72.540000000000006</v>
      </c>
      <c r="F84" s="403">
        <v>28</v>
      </c>
      <c r="G84" s="488">
        <f t="shared" si="60"/>
        <v>62964.72</v>
      </c>
      <c r="H84" s="403">
        <v>28</v>
      </c>
      <c r="I84" s="488">
        <f t="shared" si="34"/>
        <v>56871.360000000001</v>
      </c>
      <c r="J84" s="403"/>
      <c r="K84" s="485"/>
      <c r="L84" s="403"/>
      <c r="M84" s="485"/>
      <c r="N84" s="403"/>
      <c r="O84" s="485"/>
      <c r="P84" s="403"/>
      <c r="Q84" s="485"/>
      <c r="R84" s="403"/>
      <c r="S84" s="485"/>
      <c r="T84" s="403"/>
      <c r="U84" s="485"/>
      <c r="V84" s="403"/>
      <c r="W84" s="485"/>
      <c r="X84" s="403"/>
      <c r="Y84" s="485"/>
      <c r="Z84" s="405"/>
      <c r="AA84" s="485"/>
      <c r="AB84" s="405"/>
      <c r="AC84" s="503"/>
      <c r="AD84" s="432"/>
      <c r="AE84" s="387"/>
      <c r="AF84" s="387"/>
      <c r="AG84" s="387"/>
      <c r="AH84" s="387"/>
      <c r="AI84" s="387"/>
      <c r="AJ84" s="387"/>
      <c r="AK84" s="387"/>
      <c r="AL84" s="387"/>
      <c r="AM84" s="387"/>
      <c r="AN84" s="387"/>
      <c r="AO84" s="387"/>
      <c r="AP84" s="387"/>
      <c r="AQ84" s="387"/>
      <c r="AR84" s="387"/>
      <c r="AS84" s="387"/>
      <c r="AT84" s="387"/>
      <c r="AU84" s="391"/>
      <c r="AW84" s="389"/>
    </row>
    <row r="85" spans="2:49" ht="15" customHeight="1" thickBot="1" x14ac:dyDescent="0.3">
      <c r="B85" s="508">
        <f t="shared" si="8"/>
        <v>66</v>
      </c>
      <c r="C85" s="524"/>
      <c r="D85" s="408" t="s">
        <v>136</v>
      </c>
      <c r="E85" s="412">
        <v>72.540000000000006</v>
      </c>
      <c r="F85" s="410">
        <v>1</v>
      </c>
      <c r="G85" s="489">
        <v>0</v>
      </c>
      <c r="H85" s="410">
        <v>1</v>
      </c>
      <c r="I85" s="489">
        <f>+H85*E85*25</f>
        <v>1813.5000000000002</v>
      </c>
      <c r="J85" s="410"/>
      <c r="K85" s="486"/>
      <c r="L85" s="410"/>
      <c r="M85" s="486"/>
      <c r="N85" s="410"/>
      <c r="O85" s="486"/>
      <c r="P85" s="410"/>
      <c r="Q85" s="486"/>
      <c r="R85" s="410"/>
      <c r="S85" s="486"/>
      <c r="T85" s="410"/>
      <c r="U85" s="486"/>
      <c r="V85" s="410"/>
      <c r="W85" s="486"/>
      <c r="X85" s="410"/>
      <c r="Y85" s="486"/>
      <c r="Z85" s="388"/>
      <c r="AA85" s="486"/>
      <c r="AB85" s="388"/>
      <c r="AC85" s="504"/>
      <c r="AD85" s="432"/>
      <c r="AE85" s="387"/>
      <c r="AF85" s="387"/>
      <c r="AG85" s="387"/>
      <c r="AH85" s="387"/>
      <c r="AI85" s="387"/>
      <c r="AJ85" s="387"/>
      <c r="AK85" s="387"/>
      <c r="AL85" s="387"/>
      <c r="AM85" s="387"/>
      <c r="AN85" s="387"/>
      <c r="AO85" s="387"/>
      <c r="AP85" s="387"/>
      <c r="AQ85" s="387"/>
      <c r="AR85" s="387"/>
      <c r="AS85" s="387"/>
      <c r="AT85" s="387"/>
      <c r="AU85" s="391"/>
      <c r="AW85" s="389"/>
    </row>
    <row r="86" spans="2:49" ht="15.75" thickBot="1" x14ac:dyDescent="0.3">
      <c r="B86" s="508">
        <f t="shared" si="8"/>
        <v>67</v>
      </c>
      <c r="C86" s="524"/>
      <c r="D86" s="408" t="s">
        <v>70</v>
      </c>
      <c r="E86" s="412">
        <v>73.59</v>
      </c>
      <c r="F86" s="410">
        <v>1</v>
      </c>
      <c r="G86" s="489">
        <f t="shared" si="60"/>
        <v>2281.29</v>
      </c>
      <c r="H86" s="410">
        <v>1</v>
      </c>
      <c r="I86" s="489">
        <f t="shared" si="34"/>
        <v>2060.52</v>
      </c>
      <c r="J86" s="410"/>
      <c r="K86" s="486"/>
      <c r="L86" s="410"/>
      <c r="M86" s="486"/>
      <c r="N86" s="410"/>
      <c r="O86" s="486"/>
      <c r="P86" s="410"/>
      <c r="Q86" s="486"/>
      <c r="R86" s="410"/>
      <c r="S86" s="486"/>
      <c r="T86" s="410"/>
      <c r="U86" s="486"/>
      <c r="V86" s="410"/>
      <c r="W86" s="486"/>
      <c r="X86" s="410"/>
      <c r="Y86" s="486"/>
      <c r="Z86" s="388"/>
      <c r="AA86" s="486"/>
      <c r="AB86" s="388"/>
      <c r="AC86" s="504"/>
      <c r="AD86" s="432">
        <f t="shared" si="1"/>
        <v>2400</v>
      </c>
      <c r="AE86" s="387">
        <v>200</v>
      </c>
      <c r="AF86" s="387">
        <f t="shared" si="2"/>
        <v>2400</v>
      </c>
      <c r="AG86" s="387">
        <v>200</v>
      </c>
      <c r="AH86" s="387">
        <f t="shared" si="3"/>
        <v>2400</v>
      </c>
      <c r="AI86" s="387">
        <v>200</v>
      </c>
      <c r="AJ86" s="387">
        <f t="shared" si="18"/>
        <v>0</v>
      </c>
      <c r="AK86" s="387"/>
      <c r="AL86" s="387">
        <f t="shared" si="52"/>
        <v>0</v>
      </c>
      <c r="AM86" s="387">
        <f t="shared" si="49"/>
        <v>1760</v>
      </c>
      <c r="AN86" s="387">
        <f t="shared" si="51"/>
        <v>1760</v>
      </c>
      <c r="AO86" s="387">
        <f>1760*H86</f>
        <v>1760</v>
      </c>
      <c r="AP86" s="387"/>
      <c r="AQ86" s="387">
        <v>0</v>
      </c>
      <c r="AR86" s="387">
        <v>0</v>
      </c>
      <c r="AS86" s="387">
        <v>0</v>
      </c>
      <c r="AT86" s="387">
        <v>0</v>
      </c>
      <c r="AU86" s="391">
        <f t="shared" si="53"/>
        <v>10221.81</v>
      </c>
      <c r="AW86" s="389"/>
    </row>
    <row r="87" spans="2:49" ht="15.75" thickBot="1" x14ac:dyDescent="0.3">
      <c r="B87" s="508">
        <f t="shared" si="8"/>
        <v>68</v>
      </c>
      <c r="C87" s="524"/>
      <c r="D87" s="408" t="s">
        <v>58</v>
      </c>
      <c r="E87" s="412">
        <v>77.59</v>
      </c>
      <c r="F87" s="410">
        <v>13</v>
      </c>
      <c r="G87" s="489">
        <f t="shared" si="60"/>
        <v>31268.770000000004</v>
      </c>
      <c r="H87" s="410">
        <v>13</v>
      </c>
      <c r="I87" s="489">
        <f t="shared" si="34"/>
        <v>28242.760000000002</v>
      </c>
      <c r="J87" s="410"/>
      <c r="K87" s="486"/>
      <c r="L87" s="410"/>
      <c r="M87" s="486"/>
      <c r="N87" s="410"/>
      <c r="O87" s="486"/>
      <c r="P87" s="410"/>
      <c r="Q87" s="486"/>
      <c r="R87" s="410"/>
      <c r="S87" s="486"/>
      <c r="T87" s="410"/>
      <c r="U87" s="486"/>
      <c r="V87" s="410"/>
      <c r="W87" s="486"/>
      <c r="X87" s="410"/>
      <c r="Y87" s="486"/>
      <c r="Z87" s="388"/>
      <c r="AA87" s="486"/>
      <c r="AB87" s="388"/>
      <c r="AC87" s="504"/>
      <c r="AD87" s="432">
        <f t="shared" si="1"/>
        <v>900</v>
      </c>
      <c r="AE87" s="387">
        <v>75</v>
      </c>
      <c r="AF87" s="387">
        <f t="shared" si="2"/>
        <v>900</v>
      </c>
      <c r="AG87" s="387">
        <v>75</v>
      </c>
      <c r="AH87" s="387">
        <f t="shared" si="3"/>
        <v>900</v>
      </c>
      <c r="AI87" s="387">
        <v>75</v>
      </c>
      <c r="AJ87" s="387">
        <f t="shared" si="18"/>
        <v>900</v>
      </c>
      <c r="AK87" s="387">
        <v>75</v>
      </c>
      <c r="AL87" s="387">
        <f t="shared" si="52"/>
        <v>21120</v>
      </c>
      <c r="AM87" s="387">
        <f>1760*1</f>
        <v>1760</v>
      </c>
      <c r="AN87" s="387">
        <f t="shared" si="51"/>
        <v>22880</v>
      </c>
      <c r="AO87" s="387">
        <f>1760*1</f>
        <v>1760</v>
      </c>
      <c r="AP87" s="387">
        <v>1760</v>
      </c>
      <c r="AQ87" s="387">
        <v>0</v>
      </c>
      <c r="AR87" s="387">
        <v>0</v>
      </c>
      <c r="AS87" s="387">
        <v>0</v>
      </c>
      <c r="AT87" s="387">
        <v>0</v>
      </c>
      <c r="AU87" s="391">
        <f t="shared" si="53"/>
        <v>87971.53</v>
      </c>
      <c r="AW87" s="389"/>
    </row>
    <row r="88" spans="2:49" ht="15.75" thickBot="1" x14ac:dyDescent="0.3">
      <c r="B88" s="508">
        <f t="shared" si="8"/>
        <v>69</v>
      </c>
      <c r="C88" s="524"/>
      <c r="D88" s="408" t="s">
        <v>71</v>
      </c>
      <c r="E88" s="412">
        <v>71.400000000000006</v>
      </c>
      <c r="F88" s="410">
        <v>22</v>
      </c>
      <c r="G88" s="489">
        <f t="shared" si="60"/>
        <v>48694.8</v>
      </c>
      <c r="H88" s="410">
        <v>22</v>
      </c>
      <c r="I88" s="489">
        <f t="shared" si="34"/>
        <v>43982.400000000009</v>
      </c>
      <c r="J88" s="410"/>
      <c r="K88" s="486"/>
      <c r="L88" s="410"/>
      <c r="M88" s="486"/>
      <c r="N88" s="410"/>
      <c r="O88" s="486"/>
      <c r="P88" s="410"/>
      <c r="Q88" s="486"/>
      <c r="R88" s="410"/>
      <c r="S88" s="486"/>
      <c r="T88" s="410"/>
      <c r="U88" s="486"/>
      <c r="V88" s="410"/>
      <c r="W88" s="486"/>
      <c r="X88" s="410"/>
      <c r="Y88" s="486"/>
      <c r="Z88" s="388"/>
      <c r="AA88" s="486"/>
      <c r="AB88" s="388"/>
      <c r="AC88" s="504"/>
      <c r="AD88" s="432"/>
      <c r="AE88" s="387"/>
      <c r="AF88" s="387"/>
      <c r="AG88" s="387"/>
      <c r="AH88" s="387"/>
      <c r="AI88" s="387"/>
      <c r="AJ88" s="387"/>
      <c r="AK88" s="387"/>
      <c r="AL88" s="387">
        <f t="shared" si="52"/>
        <v>126720</v>
      </c>
      <c r="AM88" s="387"/>
      <c r="AN88" s="387"/>
      <c r="AO88" s="387">
        <v>15462.84</v>
      </c>
      <c r="AP88" s="387">
        <v>10560</v>
      </c>
      <c r="AQ88" s="387"/>
      <c r="AR88" s="387"/>
      <c r="AS88" s="387"/>
      <c r="AT88" s="387"/>
      <c r="AU88" s="391">
        <f t="shared" si="53"/>
        <v>118700.04000000001</v>
      </c>
      <c r="AW88" s="389"/>
    </row>
    <row r="89" spans="2:49" ht="15.75" thickBot="1" x14ac:dyDescent="0.3">
      <c r="B89" s="508">
        <f t="shared" si="8"/>
        <v>70</v>
      </c>
      <c r="C89" s="524"/>
      <c r="D89" s="408" t="s">
        <v>47</v>
      </c>
      <c r="E89" s="412">
        <v>71.400000000000006</v>
      </c>
      <c r="F89" s="410">
        <v>1</v>
      </c>
      <c r="G89" s="489">
        <f t="shared" si="60"/>
        <v>2213.4</v>
      </c>
      <c r="H89" s="410">
        <v>1</v>
      </c>
      <c r="I89" s="489">
        <f t="shared" si="34"/>
        <v>1999.2000000000003</v>
      </c>
      <c r="J89" s="410"/>
      <c r="K89" s="486"/>
      <c r="L89" s="410"/>
      <c r="M89" s="486"/>
      <c r="N89" s="410"/>
      <c r="O89" s="486"/>
      <c r="P89" s="410"/>
      <c r="Q89" s="486"/>
      <c r="R89" s="410"/>
      <c r="S89" s="486"/>
      <c r="T89" s="410"/>
      <c r="U89" s="486"/>
      <c r="V89" s="410"/>
      <c r="W89" s="486"/>
      <c r="X89" s="410"/>
      <c r="Y89" s="486"/>
      <c r="Z89" s="388"/>
      <c r="AA89" s="486"/>
      <c r="AB89" s="388"/>
      <c r="AC89" s="504"/>
      <c r="AD89" s="432"/>
      <c r="AE89" s="387"/>
      <c r="AF89" s="387"/>
      <c r="AG89" s="387"/>
      <c r="AH89" s="387"/>
      <c r="AI89" s="387"/>
      <c r="AJ89" s="387"/>
      <c r="AK89" s="387"/>
      <c r="AL89" s="387"/>
      <c r="AM89" s="387"/>
      <c r="AN89" s="387"/>
      <c r="AO89" s="387"/>
      <c r="AP89" s="387"/>
      <c r="AQ89" s="387"/>
      <c r="AR89" s="387"/>
      <c r="AS89" s="387"/>
      <c r="AT89" s="387"/>
      <c r="AU89" s="391"/>
      <c r="AW89" s="389"/>
    </row>
    <row r="90" spans="2:49" ht="15.75" thickBot="1" x14ac:dyDescent="0.3">
      <c r="B90" s="508">
        <f t="shared" ref="B90:B103" si="76">+B89+1</f>
        <v>71</v>
      </c>
      <c r="C90" s="524"/>
      <c r="D90" s="408" t="s">
        <v>72</v>
      </c>
      <c r="E90" s="412">
        <v>71.400000000000006</v>
      </c>
      <c r="F90" s="410">
        <v>1</v>
      </c>
      <c r="G90" s="489">
        <f t="shared" si="60"/>
        <v>2213.4</v>
      </c>
      <c r="H90" s="410">
        <v>1</v>
      </c>
      <c r="I90" s="489">
        <f t="shared" si="34"/>
        <v>1999.2000000000003</v>
      </c>
      <c r="J90" s="410"/>
      <c r="K90" s="486"/>
      <c r="L90" s="410"/>
      <c r="M90" s="486"/>
      <c r="N90" s="410"/>
      <c r="O90" s="486"/>
      <c r="P90" s="410"/>
      <c r="Q90" s="486"/>
      <c r="R90" s="410"/>
      <c r="S90" s="486"/>
      <c r="T90" s="410"/>
      <c r="U90" s="486"/>
      <c r="V90" s="410"/>
      <c r="W90" s="486"/>
      <c r="X90" s="410"/>
      <c r="Y90" s="486"/>
      <c r="Z90" s="388"/>
      <c r="AA90" s="486"/>
      <c r="AB90" s="388"/>
      <c r="AC90" s="504"/>
      <c r="AD90" s="432"/>
      <c r="AE90" s="387"/>
      <c r="AF90" s="387"/>
      <c r="AG90" s="387"/>
      <c r="AH90" s="387"/>
      <c r="AI90" s="387"/>
      <c r="AJ90" s="387"/>
      <c r="AK90" s="387"/>
      <c r="AL90" s="387"/>
      <c r="AM90" s="387"/>
      <c r="AN90" s="387"/>
      <c r="AO90" s="387"/>
      <c r="AP90" s="387"/>
      <c r="AQ90" s="387"/>
      <c r="AR90" s="387"/>
      <c r="AS90" s="387"/>
      <c r="AT90" s="387"/>
      <c r="AU90" s="391"/>
      <c r="AW90" s="389"/>
    </row>
    <row r="91" spans="2:49" ht="15.75" thickBot="1" x14ac:dyDescent="0.3">
      <c r="B91" s="508">
        <f t="shared" si="76"/>
        <v>72</v>
      </c>
      <c r="C91" s="524"/>
      <c r="D91" s="408" t="s">
        <v>73</v>
      </c>
      <c r="E91" s="412">
        <v>71.400000000000006</v>
      </c>
      <c r="F91" s="410">
        <v>1</v>
      </c>
      <c r="G91" s="489">
        <f t="shared" si="60"/>
        <v>2213.4</v>
      </c>
      <c r="H91" s="410">
        <v>1</v>
      </c>
      <c r="I91" s="489">
        <f t="shared" si="34"/>
        <v>1999.2000000000003</v>
      </c>
      <c r="J91" s="410"/>
      <c r="K91" s="486"/>
      <c r="L91" s="410"/>
      <c r="M91" s="486"/>
      <c r="N91" s="410"/>
      <c r="O91" s="486"/>
      <c r="P91" s="410"/>
      <c r="Q91" s="486"/>
      <c r="R91" s="410"/>
      <c r="S91" s="486"/>
      <c r="T91" s="410"/>
      <c r="U91" s="486"/>
      <c r="V91" s="410"/>
      <c r="W91" s="486"/>
      <c r="X91" s="410"/>
      <c r="Y91" s="486"/>
      <c r="Z91" s="388"/>
      <c r="AA91" s="486"/>
      <c r="AB91" s="388"/>
      <c r="AC91" s="504"/>
      <c r="AD91" s="432">
        <f t="shared" si="1"/>
        <v>19200</v>
      </c>
      <c r="AE91" s="387">
        <v>1600</v>
      </c>
      <c r="AF91" s="387">
        <f t="shared" si="2"/>
        <v>19200</v>
      </c>
      <c r="AG91" s="387">
        <v>1600</v>
      </c>
      <c r="AH91" s="387">
        <f t="shared" si="3"/>
        <v>19200</v>
      </c>
      <c r="AI91" s="387">
        <v>1600</v>
      </c>
      <c r="AJ91" s="387">
        <f t="shared" ref="AJ91:AJ102" si="77">+AK91*12</f>
        <v>22161.290322580644</v>
      </c>
      <c r="AK91" s="387">
        <v>1846.7741935483871</v>
      </c>
      <c r="AL91" s="387">
        <f>+AP91*12</f>
        <v>617740.64516129042</v>
      </c>
      <c r="AM91" s="387">
        <f>1760*26</f>
        <v>45760</v>
      </c>
      <c r="AN91" s="387">
        <f>1760*26+500</f>
        <v>46260</v>
      </c>
      <c r="AO91" s="387">
        <f>1760*26+250</f>
        <v>46010</v>
      </c>
      <c r="AP91" s="387">
        <v>51478.387096774197</v>
      </c>
      <c r="AQ91" s="387">
        <v>0</v>
      </c>
      <c r="AR91" s="387">
        <v>0</v>
      </c>
      <c r="AS91" s="387">
        <v>0</v>
      </c>
      <c r="AT91" s="387">
        <v>0</v>
      </c>
      <c r="AU91" s="391">
        <f>+G91+I91+K91+M91+O91+Q91+S91+AN91+AI91+U91+W91+Y91+AA91+AC91+AE91+AG91+AM91+AO91+AQ91+AR91+AS91+AT91+AK91+AP91</f>
        <v>200367.76129032258</v>
      </c>
      <c r="AW91" s="389"/>
    </row>
    <row r="92" spans="2:49" ht="15.75" thickBot="1" x14ac:dyDescent="0.3">
      <c r="B92" s="508">
        <f t="shared" si="76"/>
        <v>73</v>
      </c>
      <c r="C92" s="524"/>
      <c r="D92" s="408" t="s">
        <v>34</v>
      </c>
      <c r="E92" s="412">
        <v>71.400000000000006</v>
      </c>
      <c r="F92" s="410">
        <v>5</v>
      </c>
      <c r="G92" s="489">
        <f t="shared" si="60"/>
        <v>11067</v>
      </c>
      <c r="H92" s="410">
        <v>5</v>
      </c>
      <c r="I92" s="489">
        <f t="shared" si="34"/>
        <v>9996</v>
      </c>
      <c r="J92" s="410"/>
      <c r="K92" s="486"/>
      <c r="L92" s="410"/>
      <c r="M92" s="486"/>
      <c r="N92" s="410"/>
      <c r="O92" s="486"/>
      <c r="P92" s="410"/>
      <c r="Q92" s="486"/>
      <c r="R92" s="410"/>
      <c r="S92" s="486"/>
      <c r="T92" s="410"/>
      <c r="U92" s="486"/>
      <c r="V92" s="410"/>
      <c r="W92" s="486"/>
      <c r="X92" s="410"/>
      <c r="Y92" s="486"/>
      <c r="Z92" s="388"/>
      <c r="AA92" s="486"/>
      <c r="AB92" s="388"/>
      <c r="AC92" s="504"/>
      <c r="AD92" s="432"/>
      <c r="AE92" s="387"/>
      <c r="AF92" s="387"/>
      <c r="AG92" s="387"/>
      <c r="AH92" s="387"/>
      <c r="AI92" s="387"/>
      <c r="AJ92" s="387"/>
      <c r="AK92" s="387"/>
      <c r="AL92" s="387"/>
      <c r="AM92" s="387"/>
      <c r="AN92" s="387"/>
      <c r="AO92" s="387"/>
      <c r="AP92" s="387"/>
      <c r="AQ92" s="387"/>
      <c r="AR92" s="387"/>
      <c r="AS92" s="387"/>
      <c r="AT92" s="387"/>
      <c r="AU92" s="391"/>
      <c r="AW92" s="389"/>
    </row>
    <row r="93" spans="2:49" ht="15.75" thickBot="1" x14ac:dyDescent="0.3">
      <c r="B93" s="508">
        <f t="shared" si="76"/>
        <v>74</v>
      </c>
      <c r="C93" s="524"/>
      <c r="D93" s="408" t="s">
        <v>148</v>
      </c>
      <c r="E93" s="412">
        <v>72.540000000000006</v>
      </c>
      <c r="F93" s="410">
        <v>3</v>
      </c>
      <c r="G93" s="489">
        <f t="shared" si="60"/>
        <v>6746.22</v>
      </c>
      <c r="H93" s="410">
        <v>3</v>
      </c>
      <c r="I93" s="489">
        <f t="shared" si="34"/>
        <v>6093.3600000000006</v>
      </c>
      <c r="J93" s="410"/>
      <c r="K93" s="486"/>
      <c r="L93" s="410"/>
      <c r="M93" s="486"/>
      <c r="N93" s="410"/>
      <c r="O93" s="486"/>
      <c r="P93" s="410"/>
      <c r="Q93" s="486"/>
      <c r="R93" s="410"/>
      <c r="S93" s="486"/>
      <c r="T93" s="410"/>
      <c r="U93" s="486"/>
      <c r="V93" s="410"/>
      <c r="W93" s="486"/>
      <c r="X93" s="410"/>
      <c r="Y93" s="486"/>
      <c r="Z93" s="388"/>
      <c r="AA93" s="486"/>
      <c r="AB93" s="388"/>
      <c r="AC93" s="504"/>
      <c r="AD93" s="432">
        <f t="shared" si="1"/>
        <v>0</v>
      </c>
      <c r="AE93" s="387"/>
      <c r="AF93" s="387">
        <f t="shared" si="2"/>
        <v>0</v>
      </c>
      <c r="AG93" s="387"/>
      <c r="AH93" s="387">
        <f t="shared" si="3"/>
        <v>0</v>
      </c>
      <c r="AI93" s="387"/>
      <c r="AJ93" s="387">
        <f t="shared" si="77"/>
        <v>0</v>
      </c>
      <c r="AK93" s="387"/>
      <c r="AL93" s="387">
        <f>+AP93*12</f>
        <v>21120</v>
      </c>
      <c r="AM93" s="387">
        <f t="shared" ref="AM93:AM102" si="78">1760*F93</f>
        <v>5280</v>
      </c>
      <c r="AN93" s="387">
        <f t="shared" ref="AN93:AN102" si="79">1760*H93</f>
        <v>5280</v>
      </c>
      <c r="AO93" s="387">
        <f t="shared" ref="AO93:AO102" si="80">1760*H93</f>
        <v>5280</v>
      </c>
      <c r="AP93" s="387">
        <v>1760</v>
      </c>
      <c r="AQ93" s="387">
        <v>0</v>
      </c>
      <c r="AR93" s="387">
        <v>0</v>
      </c>
      <c r="AS93" s="387">
        <v>0</v>
      </c>
      <c r="AT93" s="387">
        <v>0</v>
      </c>
      <c r="AU93" s="391">
        <f>+G93+I93+K93+M93+O93+Q93+S93+AN93+AI93+U93+W93+Y93+AA93+AC93+AE93+AG93+AM93+AO93+AQ93+AR93+AS93+AT93+AK93+AP93</f>
        <v>30439.58</v>
      </c>
      <c r="AW93" s="389"/>
    </row>
    <row r="94" spans="2:49" ht="15.75" thickBot="1" x14ac:dyDescent="0.3">
      <c r="B94" s="508">
        <f t="shared" si="76"/>
        <v>75</v>
      </c>
      <c r="C94" s="524"/>
      <c r="D94" s="408" t="s">
        <v>60</v>
      </c>
      <c r="E94" s="412">
        <v>77.59</v>
      </c>
      <c r="F94" s="410">
        <v>1</v>
      </c>
      <c r="G94" s="489">
        <f t="shared" si="60"/>
        <v>2405.29</v>
      </c>
      <c r="H94" s="410">
        <v>1</v>
      </c>
      <c r="I94" s="489">
        <f t="shared" si="34"/>
        <v>2172.52</v>
      </c>
      <c r="J94" s="410"/>
      <c r="K94" s="486"/>
      <c r="L94" s="410"/>
      <c r="M94" s="486"/>
      <c r="N94" s="410"/>
      <c r="O94" s="486"/>
      <c r="P94" s="410"/>
      <c r="Q94" s="486"/>
      <c r="R94" s="410"/>
      <c r="S94" s="486"/>
      <c r="T94" s="410"/>
      <c r="U94" s="486"/>
      <c r="V94" s="410"/>
      <c r="W94" s="486"/>
      <c r="X94" s="410"/>
      <c r="Y94" s="486"/>
      <c r="Z94" s="388"/>
      <c r="AA94" s="486"/>
      <c r="AB94" s="388"/>
      <c r="AC94" s="504"/>
      <c r="AD94" s="432">
        <f t="shared" si="1"/>
        <v>900</v>
      </c>
      <c r="AE94" s="387">
        <v>75</v>
      </c>
      <c r="AF94" s="387">
        <f t="shared" si="2"/>
        <v>900</v>
      </c>
      <c r="AG94" s="387">
        <v>75</v>
      </c>
      <c r="AH94" s="387">
        <f t="shared" si="3"/>
        <v>900</v>
      </c>
      <c r="AI94" s="387">
        <v>75</v>
      </c>
      <c r="AJ94" s="387">
        <f t="shared" si="77"/>
        <v>900</v>
      </c>
      <c r="AK94" s="387">
        <v>75</v>
      </c>
      <c r="AL94" s="387">
        <f>+AP94*12</f>
        <v>21120</v>
      </c>
      <c r="AM94" s="387">
        <f t="shared" si="78"/>
        <v>1760</v>
      </c>
      <c r="AN94" s="387">
        <f t="shared" si="79"/>
        <v>1760</v>
      </c>
      <c r="AO94" s="387">
        <f t="shared" si="80"/>
        <v>1760</v>
      </c>
      <c r="AP94" s="387">
        <v>1760</v>
      </c>
      <c r="AQ94" s="387">
        <v>0</v>
      </c>
      <c r="AR94" s="387">
        <v>0</v>
      </c>
      <c r="AS94" s="387">
        <v>0</v>
      </c>
      <c r="AT94" s="387">
        <v>0</v>
      </c>
      <c r="AU94" s="391">
        <f>+G94+I94+K94+M94+O94+Q94+S94+AN94+AI94+U94+W94+Y94+AA94+AC94+AE94+AG94+AM94+AO94+AQ94+AR94+AS94+AT94+AK94+AP94</f>
        <v>11917.81</v>
      </c>
      <c r="AW94" s="389"/>
    </row>
    <row r="95" spans="2:49" ht="15.75" thickBot="1" x14ac:dyDescent="0.3">
      <c r="B95" s="508">
        <f t="shared" si="76"/>
        <v>76</v>
      </c>
      <c r="C95" s="524"/>
      <c r="D95" s="408" t="s">
        <v>37</v>
      </c>
      <c r="E95" s="412">
        <v>71.400000000000006</v>
      </c>
      <c r="F95" s="410">
        <v>7</v>
      </c>
      <c r="G95" s="489">
        <f t="shared" si="60"/>
        <v>15493.800000000003</v>
      </c>
      <c r="H95" s="410">
        <v>7</v>
      </c>
      <c r="I95" s="489">
        <f t="shared" si="34"/>
        <v>13994.400000000001</v>
      </c>
      <c r="J95" s="410"/>
      <c r="K95" s="486"/>
      <c r="L95" s="410"/>
      <c r="M95" s="486"/>
      <c r="N95" s="410"/>
      <c r="O95" s="486"/>
      <c r="P95" s="410"/>
      <c r="Q95" s="486"/>
      <c r="R95" s="410"/>
      <c r="S95" s="486"/>
      <c r="T95" s="410"/>
      <c r="U95" s="486"/>
      <c r="V95" s="410"/>
      <c r="W95" s="486"/>
      <c r="X95" s="410"/>
      <c r="Y95" s="486"/>
      <c r="Z95" s="388"/>
      <c r="AA95" s="486"/>
      <c r="AB95" s="388"/>
      <c r="AC95" s="504"/>
      <c r="AD95" s="432">
        <f t="shared" si="1"/>
        <v>420</v>
      </c>
      <c r="AE95" s="387">
        <v>35</v>
      </c>
      <c r="AF95" s="387">
        <f t="shared" si="2"/>
        <v>420</v>
      </c>
      <c r="AG95" s="387">
        <v>35</v>
      </c>
      <c r="AH95" s="387">
        <f t="shared" si="3"/>
        <v>420</v>
      </c>
      <c r="AI95" s="387">
        <v>35</v>
      </c>
      <c r="AJ95" s="387">
        <f t="shared" si="77"/>
        <v>420</v>
      </c>
      <c r="AK95" s="387">
        <v>35</v>
      </c>
      <c r="AL95" s="387">
        <f>+AP95*12</f>
        <v>21120</v>
      </c>
      <c r="AM95" s="387">
        <f t="shared" si="78"/>
        <v>12320</v>
      </c>
      <c r="AN95" s="387">
        <f t="shared" si="79"/>
        <v>12320</v>
      </c>
      <c r="AO95" s="387">
        <f t="shared" si="80"/>
        <v>12320</v>
      </c>
      <c r="AP95" s="387">
        <v>1760</v>
      </c>
      <c r="AQ95" s="387">
        <v>0</v>
      </c>
      <c r="AR95" s="387">
        <v>0</v>
      </c>
      <c r="AS95" s="387">
        <v>0</v>
      </c>
      <c r="AT95" s="387">
        <v>0</v>
      </c>
      <c r="AU95" s="391">
        <f>+G95+I95+K95+M95+O95+Q95+S95+AN95+AI95+U95+W95+Y95+AA95+AC95+AE95+AG95+AM95+AO95+AQ95+AR95+AS95+AT95+AK95+AP95</f>
        <v>68348.200000000012</v>
      </c>
      <c r="AW95" s="389"/>
    </row>
    <row r="96" spans="2:49" ht="15.75" thickBot="1" x14ac:dyDescent="0.3">
      <c r="B96" s="508">
        <f t="shared" si="76"/>
        <v>77</v>
      </c>
      <c r="C96" s="524"/>
      <c r="D96" s="408" t="s">
        <v>61</v>
      </c>
      <c r="E96" s="412">
        <v>75.64</v>
      </c>
      <c r="F96" s="410">
        <v>1</v>
      </c>
      <c r="G96" s="489">
        <f t="shared" si="60"/>
        <v>2344.84</v>
      </c>
      <c r="H96" s="410">
        <v>1</v>
      </c>
      <c r="I96" s="489">
        <f t="shared" si="34"/>
        <v>2117.92</v>
      </c>
      <c r="J96" s="410"/>
      <c r="K96" s="486"/>
      <c r="L96" s="410"/>
      <c r="M96" s="486"/>
      <c r="N96" s="410"/>
      <c r="O96" s="486"/>
      <c r="P96" s="410"/>
      <c r="Q96" s="486"/>
      <c r="R96" s="410"/>
      <c r="S96" s="486"/>
      <c r="T96" s="410"/>
      <c r="U96" s="486"/>
      <c r="V96" s="410"/>
      <c r="W96" s="486"/>
      <c r="X96" s="410"/>
      <c r="Y96" s="486"/>
      <c r="Z96" s="388"/>
      <c r="AA96" s="486"/>
      <c r="AB96" s="388"/>
      <c r="AC96" s="504"/>
      <c r="AD96" s="432">
        <f t="shared" si="1"/>
        <v>2040</v>
      </c>
      <c r="AE96" s="387">
        <v>170</v>
      </c>
      <c r="AF96" s="387">
        <f t="shared" si="2"/>
        <v>2040</v>
      </c>
      <c r="AG96" s="387">
        <v>170</v>
      </c>
      <c r="AH96" s="387">
        <f t="shared" si="3"/>
        <v>2040</v>
      </c>
      <c r="AI96" s="387">
        <v>170</v>
      </c>
      <c r="AJ96" s="387">
        <f t="shared" si="77"/>
        <v>2040</v>
      </c>
      <c r="AK96" s="387">
        <v>170</v>
      </c>
      <c r="AL96" s="387">
        <f>+AP96*12</f>
        <v>105600</v>
      </c>
      <c r="AM96" s="387">
        <f t="shared" si="78"/>
        <v>1760</v>
      </c>
      <c r="AN96" s="387">
        <f t="shared" si="79"/>
        <v>1760</v>
      </c>
      <c r="AO96" s="387">
        <f t="shared" si="80"/>
        <v>1760</v>
      </c>
      <c r="AP96" s="387">
        <v>8800</v>
      </c>
      <c r="AQ96" s="387">
        <v>0</v>
      </c>
      <c r="AR96" s="387">
        <v>0</v>
      </c>
      <c r="AS96" s="387">
        <v>0</v>
      </c>
      <c r="AT96" s="387">
        <v>0</v>
      </c>
      <c r="AU96" s="391">
        <f>+G96+I96+K96+M96+O96+Q96+S96+AN96+AI96+U96+W96+Y96+AA96+AC96+AE96+AG96+AM96+AO96+AQ96+AR96+AS96+AT96+AK96+AP96</f>
        <v>19222.760000000002</v>
      </c>
      <c r="AW96" s="389"/>
    </row>
    <row r="97" spans="2:49" ht="15.75" thickBot="1" x14ac:dyDescent="0.3">
      <c r="B97" s="508">
        <f t="shared" si="76"/>
        <v>78</v>
      </c>
      <c r="C97" s="524"/>
      <c r="D97" s="408" t="s">
        <v>135</v>
      </c>
      <c r="E97" s="412">
        <v>75.64</v>
      </c>
      <c r="F97" s="410">
        <v>1</v>
      </c>
      <c r="G97" s="489">
        <f t="shared" si="60"/>
        <v>2344.84</v>
      </c>
      <c r="H97" s="410">
        <v>1</v>
      </c>
      <c r="I97" s="489">
        <f t="shared" ref="I97:I136" si="81">+H97*E97*28</f>
        <v>2117.92</v>
      </c>
      <c r="J97" s="410"/>
      <c r="K97" s="486"/>
      <c r="L97" s="410"/>
      <c r="M97" s="486"/>
      <c r="N97" s="410"/>
      <c r="O97" s="486"/>
      <c r="P97" s="410"/>
      <c r="Q97" s="486"/>
      <c r="R97" s="410"/>
      <c r="S97" s="486"/>
      <c r="T97" s="410"/>
      <c r="U97" s="486"/>
      <c r="V97" s="410"/>
      <c r="W97" s="486"/>
      <c r="X97" s="410"/>
      <c r="Y97" s="486"/>
      <c r="Z97" s="388"/>
      <c r="AA97" s="486"/>
      <c r="AB97" s="388"/>
      <c r="AC97" s="504"/>
      <c r="AD97" s="432"/>
      <c r="AE97" s="387"/>
      <c r="AF97" s="387"/>
      <c r="AG97" s="387"/>
      <c r="AH97" s="387"/>
      <c r="AI97" s="387"/>
      <c r="AJ97" s="387"/>
      <c r="AK97" s="387"/>
      <c r="AL97" s="387"/>
      <c r="AM97" s="387"/>
      <c r="AN97" s="387"/>
      <c r="AO97" s="387"/>
      <c r="AP97" s="387"/>
      <c r="AQ97" s="387"/>
      <c r="AR97" s="387"/>
      <c r="AS97" s="387"/>
      <c r="AT97" s="387"/>
      <c r="AU97" s="391"/>
      <c r="AW97" s="389"/>
    </row>
    <row r="98" spans="2:49" ht="15.75" thickBot="1" x14ac:dyDescent="0.3">
      <c r="B98" s="508">
        <f t="shared" si="76"/>
        <v>79</v>
      </c>
      <c r="C98" s="524"/>
      <c r="D98" s="408" t="s">
        <v>38</v>
      </c>
      <c r="E98" s="412">
        <v>78.25</v>
      </c>
      <c r="F98" s="410">
        <v>6</v>
      </c>
      <c r="G98" s="489">
        <f t="shared" si="60"/>
        <v>14554.5</v>
      </c>
      <c r="H98" s="410">
        <v>6</v>
      </c>
      <c r="I98" s="489">
        <f t="shared" si="81"/>
        <v>13146</v>
      </c>
      <c r="J98" s="410"/>
      <c r="K98" s="486"/>
      <c r="L98" s="410"/>
      <c r="M98" s="486"/>
      <c r="N98" s="410"/>
      <c r="O98" s="486"/>
      <c r="P98" s="410"/>
      <c r="Q98" s="486"/>
      <c r="R98" s="410"/>
      <c r="S98" s="486"/>
      <c r="T98" s="410"/>
      <c r="U98" s="486"/>
      <c r="V98" s="410"/>
      <c r="W98" s="486"/>
      <c r="X98" s="410"/>
      <c r="Y98" s="486"/>
      <c r="Z98" s="388"/>
      <c r="AA98" s="486"/>
      <c r="AB98" s="388"/>
      <c r="AC98" s="504"/>
      <c r="AD98" s="432"/>
      <c r="AE98" s="387"/>
      <c r="AF98" s="387"/>
      <c r="AG98" s="387"/>
      <c r="AH98" s="387"/>
      <c r="AI98" s="387"/>
      <c r="AJ98" s="387"/>
      <c r="AK98" s="387"/>
      <c r="AL98" s="387"/>
      <c r="AM98" s="387"/>
      <c r="AN98" s="387"/>
      <c r="AO98" s="387"/>
      <c r="AP98" s="387"/>
      <c r="AQ98" s="387"/>
      <c r="AR98" s="387"/>
      <c r="AS98" s="387"/>
      <c r="AT98" s="387"/>
      <c r="AU98" s="391"/>
      <c r="AW98" s="389"/>
    </row>
    <row r="99" spans="2:49" ht="15.75" thickBot="1" x14ac:dyDescent="0.3">
      <c r="B99" s="508">
        <f t="shared" si="76"/>
        <v>80</v>
      </c>
      <c r="C99" s="524"/>
      <c r="D99" s="408" t="s">
        <v>30</v>
      </c>
      <c r="E99" s="412">
        <v>72.540000000000006</v>
      </c>
      <c r="F99" s="410">
        <v>1</v>
      </c>
      <c r="G99" s="489">
        <f t="shared" si="60"/>
        <v>2248.7400000000002</v>
      </c>
      <c r="H99" s="410">
        <v>1</v>
      </c>
      <c r="I99" s="489">
        <f t="shared" si="81"/>
        <v>2031.1200000000001</v>
      </c>
      <c r="J99" s="410"/>
      <c r="K99" s="486"/>
      <c r="L99" s="410"/>
      <c r="M99" s="486"/>
      <c r="N99" s="410"/>
      <c r="O99" s="486"/>
      <c r="P99" s="410"/>
      <c r="Q99" s="486"/>
      <c r="R99" s="410"/>
      <c r="S99" s="486"/>
      <c r="T99" s="410"/>
      <c r="U99" s="486"/>
      <c r="V99" s="410"/>
      <c r="W99" s="486"/>
      <c r="X99" s="410"/>
      <c r="Y99" s="486"/>
      <c r="Z99" s="388"/>
      <c r="AA99" s="486"/>
      <c r="AB99" s="388"/>
      <c r="AC99" s="504"/>
      <c r="AD99" s="432">
        <f t="shared" si="1"/>
        <v>2220</v>
      </c>
      <c r="AE99" s="387">
        <v>185</v>
      </c>
      <c r="AF99" s="387">
        <f t="shared" si="2"/>
        <v>2220</v>
      </c>
      <c r="AG99" s="387">
        <v>185</v>
      </c>
      <c r="AH99" s="387">
        <f t="shared" si="3"/>
        <v>2220</v>
      </c>
      <c r="AI99" s="387">
        <v>185</v>
      </c>
      <c r="AJ99" s="387">
        <f t="shared" si="77"/>
        <v>2220</v>
      </c>
      <c r="AK99" s="387">
        <v>185</v>
      </c>
      <c r="AL99" s="387">
        <f>+AP99*12</f>
        <v>84480</v>
      </c>
      <c r="AM99" s="387">
        <f t="shared" si="78"/>
        <v>1760</v>
      </c>
      <c r="AN99" s="387">
        <f t="shared" si="79"/>
        <v>1760</v>
      </c>
      <c r="AO99" s="387">
        <f t="shared" si="80"/>
        <v>1760</v>
      </c>
      <c r="AP99" s="387">
        <v>7040</v>
      </c>
      <c r="AQ99" s="387">
        <v>0</v>
      </c>
      <c r="AR99" s="387">
        <v>0</v>
      </c>
      <c r="AS99" s="387">
        <v>0</v>
      </c>
      <c r="AT99" s="387">
        <v>0</v>
      </c>
      <c r="AU99" s="391">
        <f>+G99+I99+K99+M99+O99+Q99+S99+AN99+AI99+U99+W99+Y99+AA99+AC99+AE99+AG99+AM99+AO99+AQ99+AR99+AS99+AT99+AK99+AP99</f>
        <v>17339.86</v>
      </c>
      <c r="AW99" s="389"/>
    </row>
    <row r="100" spans="2:49" ht="15.75" thickBot="1" x14ac:dyDescent="0.3">
      <c r="B100" s="508">
        <f t="shared" si="76"/>
        <v>81</v>
      </c>
      <c r="C100" s="524"/>
      <c r="D100" s="408" t="s">
        <v>31</v>
      </c>
      <c r="E100" s="412">
        <v>71.400000000000006</v>
      </c>
      <c r="F100" s="410">
        <v>1</v>
      </c>
      <c r="G100" s="489">
        <f t="shared" si="60"/>
        <v>2213.4</v>
      </c>
      <c r="H100" s="410">
        <v>1</v>
      </c>
      <c r="I100" s="489">
        <f t="shared" si="81"/>
        <v>1999.2000000000003</v>
      </c>
      <c r="J100" s="410"/>
      <c r="K100" s="486"/>
      <c r="L100" s="410"/>
      <c r="M100" s="486"/>
      <c r="N100" s="410"/>
      <c r="O100" s="486"/>
      <c r="P100" s="410"/>
      <c r="Q100" s="486"/>
      <c r="R100" s="410"/>
      <c r="S100" s="486"/>
      <c r="T100" s="410"/>
      <c r="U100" s="486"/>
      <c r="V100" s="410"/>
      <c r="W100" s="486"/>
      <c r="X100" s="410"/>
      <c r="Y100" s="486"/>
      <c r="Z100" s="388"/>
      <c r="AA100" s="486"/>
      <c r="AB100" s="388"/>
      <c r="AC100" s="504"/>
      <c r="AD100" s="432">
        <f t="shared" si="1"/>
        <v>0</v>
      </c>
      <c r="AE100" s="387"/>
      <c r="AF100" s="387">
        <f t="shared" si="2"/>
        <v>0</v>
      </c>
      <c r="AG100" s="387"/>
      <c r="AH100" s="387">
        <f t="shared" si="3"/>
        <v>0</v>
      </c>
      <c r="AI100" s="387"/>
      <c r="AJ100" s="387">
        <f t="shared" si="77"/>
        <v>0</v>
      </c>
      <c r="AK100" s="387"/>
      <c r="AL100" s="387">
        <f>+AP100*12</f>
        <v>21120</v>
      </c>
      <c r="AM100" s="387">
        <f t="shared" si="78"/>
        <v>1760</v>
      </c>
      <c r="AN100" s="387">
        <f t="shared" si="79"/>
        <v>1760</v>
      </c>
      <c r="AO100" s="387">
        <f t="shared" si="80"/>
        <v>1760</v>
      </c>
      <c r="AP100" s="387">
        <v>1760</v>
      </c>
      <c r="AQ100" s="387">
        <v>0</v>
      </c>
      <c r="AR100" s="387">
        <v>0</v>
      </c>
      <c r="AS100" s="387">
        <v>0</v>
      </c>
      <c r="AT100" s="387">
        <v>0</v>
      </c>
      <c r="AU100" s="391">
        <f>+G100+I100+K100+M100+O100+Q100+S100+AN100+AI100+U100+W100+Y100+AA100+AC100+AE100+AG100+AM100+AO100+AQ100+AR100+AS100+AT100+AK100+AP100</f>
        <v>11252.6</v>
      </c>
      <c r="AW100" s="389"/>
    </row>
    <row r="101" spans="2:49" ht="15.75" thickBot="1" x14ac:dyDescent="0.3">
      <c r="B101" s="508">
        <f t="shared" si="76"/>
        <v>82</v>
      </c>
      <c r="C101" s="524"/>
      <c r="D101" s="408" t="s">
        <v>53</v>
      </c>
      <c r="E101" s="412">
        <v>71.400000000000006</v>
      </c>
      <c r="F101" s="410">
        <v>1</v>
      </c>
      <c r="G101" s="489">
        <f t="shared" si="60"/>
        <v>2213.4</v>
      </c>
      <c r="H101" s="410">
        <v>1</v>
      </c>
      <c r="I101" s="489">
        <f t="shared" si="81"/>
        <v>1999.2000000000003</v>
      </c>
      <c r="J101" s="410"/>
      <c r="K101" s="486"/>
      <c r="L101" s="410"/>
      <c r="M101" s="486"/>
      <c r="N101" s="410"/>
      <c r="O101" s="486"/>
      <c r="P101" s="410"/>
      <c r="Q101" s="486"/>
      <c r="R101" s="410"/>
      <c r="S101" s="486"/>
      <c r="T101" s="410"/>
      <c r="U101" s="486"/>
      <c r="V101" s="410"/>
      <c r="W101" s="486"/>
      <c r="X101" s="410"/>
      <c r="Y101" s="486"/>
      <c r="Z101" s="388"/>
      <c r="AA101" s="486"/>
      <c r="AB101" s="388"/>
      <c r="AC101" s="504"/>
      <c r="AD101" s="432">
        <f t="shared" si="1"/>
        <v>3420</v>
      </c>
      <c r="AE101" s="387">
        <v>285</v>
      </c>
      <c r="AF101" s="387">
        <f t="shared" si="2"/>
        <v>3420</v>
      </c>
      <c r="AG101" s="387">
        <v>285</v>
      </c>
      <c r="AH101" s="387">
        <f t="shared" si="3"/>
        <v>3420</v>
      </c>
      <c r="AI101" s="387">
        <v>285</v>
      </c>
      <c r="AJ101" s="387">
        <f t="shared" si="77"/>
        <v>3420</v>
      </c>
      <c r="AK101" s="387">
        <v>285</v>
      </c>
      <c r="AL101" s="387">
        <f>+AP101*12</f>
        <v>147840</v>
      </c>
      <c r="AM101" s="387">
        <f t="shared" si="78"/>
        <v>1760</v>
      </c>
      <c r="AN101" s="387">
        <f t="shared" si="79"/>
        <v>1760</v>
      </c>
      <c r="AO101" s="387">
        <f t="shared" si="80"/>
        <v>1760</v>
      </c>
      <c r="AP101" s="387">
        <v>12320</v>
      </c>
      <c r="AQ101" s="387">
        <v>0</v>
      </c>
      <c r="AR101" s="387">
        <v>0</v>
      </c>
      <c r="AS101" s="387">
        <v>0</v>
      </c>
      <c r="AT101" s="387">
        <v>0</v>
      </c>
      <c r="AU101" s="391">
        <f>+G101+I101+K101+M101+O101+Q101+S101+AN101+AI101+U101+W101+Y101+AA101+AC101+AE101+AG101+AM101+AO101+AQ101+AR101+AS101+AT101+AK101+AP101</f>
        <v>22952.6</v>
      </c>
      <c r="AW101" s="389"/>
    </row>
    <row r="102" spans="2:49" ht="15.75" thickBot="1" x14ac:dyDescent="0.3">
      <c r="B102" s="508">
        <f t="shared" si="76"/>
        <v>83</v>
      </c>
      <c r="C102" s="524"/>
      <c r="D102" s="408" t="s">
        <v>147</v>
      </c>
      <c r="E102" s="412">
        <v>75.64</v>
      </c>
      <c r="F102" s="410">
        <v>1</v>
      </c>
      <c r="G102" s="489">
        <f t="shared" si="60"/>
        <v>2344.84</v>
      </c>
      <c r="H102" s="410">
        <v>1</v>
      </c>
      <c r="I102" s="489">
        <f t="shared" si="81"/>
        <v>2117.92</v>
      </c>
      <c r="J102" s="410"/>
      <c r="K102" s="486"/>
      <c r="L102" s="410"/>
      <c r="M102" s="486"/>
      <c r="N102" s="410"/>
      <c r="O102" s="486"/>
      <c r="P102" s="410"/>
      <c r="Q102" s="486"/>
      <c r="R102" s="410"/>
      <c r="S102" s="486"/>
      <c r="T102" s="410"/>
      <c r="U102" s="486"/>
      <c r="V102" s="410"/>
      <c r="W102" s="486"/>
      <c r="X102" s="410"/>
      <c r="Y102" s="486"/>
      <c r="Z102" s="388"/>
      <c r="AA102" s="486"/>
      <c r="AB102" s="388"/>
      <c r="AC102" s="504"/>
      <c r="AD102" s="432">
        <f t="shared" si="1"/>
        <v>420</v>
      </c>
      <c r="AE102" s="387">
        <v>35</v>
      </c>
      <c r="AF102" s="387">
        <f t="shared" si="2"/>
        <v>420</v>
      </c>
      <c r="AG102" s="387">
        <v>35</v>
      </c>
      <c r="AH102" s="387">
        <f t="shared" si="3"/>
        <v>420</v>
      </c>
      <c r="AI102" s="387">
        <v>35</v>
      </c>
      <c r="AJ102" s="387">
        <f t="shared" si="77"/>
        <v>420</v>
      </c>
      <c r="AK102" s="387">
        <v>35</v>
      </c>
      <c r="AL102" s="387">
        <f>+AP102*12</f>
        <v>21120</v>
      </c>
      <c r="AM102" s="387">
        <f t="shared" si="78"/>
        <v>1760</v>
      </c>
      <c r="AN102" s="387">
        <f t="shared" si="79"/>
        <v>1760</v>
      </c>
      <c r="AO102" s="387">
        <f t="shared" si="80"/>
        <v>1760</v>
      </c>
      <c r="AP102" s="387">
        <v>1760</v>
      </c>
      <c r="AQ102" s="387">
        <v>0</v>
      </c>
      <c r="AR102" s="387">
        <v>0</v>
      </c>
      <c r="AS102" s="387">
        <v>0</v>
      </c>
      <c r="AT102" s="387">
        <v>0</v>
      </c>
      <c r="AU102" s="391">
        <f>+G102+I102+K102+M102+O102+Q102+S102+AN102+AI102+U102+W102+Y102+AA102+AC102+AE102+AG102+AM102+AO102+AQ102+AR102+AS102+AT102+AK102+AP102</f>
        <v>11642.76</v>
      </c>
      <c r="AW102" s="389"/>
    </row>
    <row r="103" spans="2:49" ht="15.75" thickBot="1" x14ac:dyDescent="0.3">
      <c r="B103" s="508">
        <f t="shared" si="76"/>
        <v>84</v>
      </c>
      <c r="C103" s="525"/>
      <c r="D103" s="443" t="s">
        <v>36</v>
      </c>
      <c r="E103" s="470">
        <v>80.86</v>
      </c>
      <c r="F103" s="440">
        <v>4</v>
      </c>
      <c r="G103" s="490">
        <f t="shared" si="60"/>
        <v>10026.64</v>
      </c>
      <c r="H103" s="440">
        <v>4</v>
      </c>
      <c r="I103" s="490">
        <f t="shared" si="81"/>
        <v>9056.32</v>
      </c>
      <c r="J103" s="440"/>
      <c r="K103" s="487"/>
      <c r="L103" s="440"/>
      <c r="M103" s="487"/>
      <c r="N103" s="440"/>
      <c r="O103" s="487"/>
      <c r="P103" s="440"/>
      <c r="Q103" s="487"/>
      <c r="R103" s="440"/>
      <c r="S103" s="487"/>
      <c r="T103" s="440"/>
      <c r="U103" s="487"/>
      <c r="V103" s="440"/>
      <c r="W103" s="487"/>
      <c r="X103" s="440"/>
      <c r="Y103" s="487"/>
      <c r="Z103" s="439"/>
      <c r="AA103" s="487"/>
      <c r="AB103" s="439"/>
      <c r="AC103" s="505"/>
      <c r="AD103" s="432"/>
      <c r="AE103" s="387"/>
      <c r="AF103" s="387"/>
      <c r="AG103" s="387"/>
      <c r="AH103" s="387"/>
      <c r="AI103" s="387"/>
      <c r="AJ103" s="387"/>
      <c r="AK103" s="387"/>
      <c r="AL103" s="387"/>
      <c r="AM103" s="387"/>
      <c r="AN103" s="387"/>
      <c r="AO103" s="387"/>
      <c r="AP103" s="387"/>
      <c r="AQ103" s="387"/>
      <c r="AR103" s="387"/>
      <c r="AS103" s="387"/>
      <c r="AT103" s="387"/>
      <c r="AU103" s="391"/>
      <c r="AW103" s="389"/>
    </row>
    <row r="104" spans="2:49" ht="15" customHeight="1" thickBot="1" x14ac:dyDescent="0.3">
      <c r="B104" s="529" t="s">
        <v>78</v>
      </c>
      <c r="C104" s="530"/>
      <c r="D104" s="530"/>
      <c r="E104" s="530"/>
      <c r="F104" s="530"/>
      <c r="G104" s="530"/>
      <c r="H104" s="530"/>
      <c r="I104" s="530"/>
      <c r="J104" s="530"/>
      <c r="K104" s="530"/>
      <c r="L104" s="530"/>
      <c r="M104" s="530"/>
      <c r="N104" s="530"/>
      <c r="O104" s="530"/>
      <c r="P104" s="530"/>
      <c r="Q104" s="530"/>
      <c r="R104" s="530"/>
      <c r="S104" s="530"/>
      <c r="T104" s="530"/>
      <c r="U104" s="530"/>
      <c r="V104" s="530"/>
      <c r="W104" s="530"/>
      <c r="X104" s="530"/>
      <c r="Y104" s="530"/>
      <c r="Z104" s="530"/>
      <c r="AA104" s="530"/>
      <c r="AB104" s="530"/>
      <c r="AC104" s="530"/>
      <c r="AD104" s="530"/>
      <c r="AE104" s="530"/>
      <c r="AF104" s="530"/>
      <c r="AG104" s="530"/>
      <c r="AH104" s="530"/>
      <c r="AI104" s="530"/>
      <c r="AJ104" s="530"/>
      <c r="AK104" s="530"/>
      <c r="AL104" s="530"/>
      <c r="AM104" s="530"/>
      <c r="AN104" s="530"/>
      <c r="AO104" s="530"/>
      <c r="AP104" s="530"/>
      <c r="AQ104" s="530"/>
      <c r="AR104" s="530"/>
      <c r="AS104" s="530"/>
      <c r="AT104" s="530"/>
      <c r="AU104" s="531"/>
    </row>
    <row r="105" spans="2:49" ht="15" customHeight="1" thickBot="1" x14ac:dyDescent="0.3">
      <c r="B105" s="510">
        <f>+B103+1</f>
        <v>85</v>
      </c>
      <c r="C105" s="517" t="s">
        <v>57</v>
      </c>
      <c r="D105" s="468" t="s">
        <v>43</v>
      </c>
      <c r="E105" s="469">
        <v>72.540000000000006</v>
      </c>
      <c r="F105" s="403">
        <v>6</v>
      </c>
      <c r="G105" s="488">
        <f t="shared" si="60"/>
        <v>13492.44</v>
      </c>
      <c r="H105" s="403">
        <v>6</v>
      </c>
      <c r="I105" s="488">
        <f>+H105*E105*28</f>
        <v>12186.720000000001</v>
      </c>
      <c r="J105" s="403"/>
      <c r="K105" s="485"/>
      <c r="L105" s="403"/>
      <c r="M105" s="485"/>
      <c r="N105" s="403"/>
      <c r="O105" s="485"/>
      <c r="P105" s="403"/>
      <c r="Q105" s="485"/>
      <c r="R105" s="403"/>
      <c r="S105" s="485"/>
      <c r="T105" s="403"/>
      <c r="U105" s="485"/>
      <c r="V105" s="403"/>
      <c r="W105" s="485"/>
      <c r="X105" s="403"/>
      <c r="Y105" s="485"/>
      <c r="Z105" s="405"/>
      <c r="AA105" s="485"/>
      <c r="AB105" s="405"/>
      <c r="AC105" s="503"/>
      <c r="AD105" s="432">
        <f t="shared" ref="AD105:AD124" si="82">+AE105*12</f>
        <v>2160</v>
      </c>
      <c r="AE105" s="413">
        <v>180</v>
      </c>
      <c r="AF105" s="387">
        <f t="shared" ref="AF105:AF124" si="83">+AG105*12</f>
        <v>2160</v>
      </c>
      <c r="AG105" s="413">
        <v>180</v>
      </c>
      <c r="AH105" s="387">
        <f t="shared" ref="AH105:AH124" si="84">+AI105*12</f>
        <v>2160</v>
      </c>
      <c r="AI105" s="413">
        <v>180</v>
      </c>
      <c r="AJ105" s="387">
        <f t="shared" ref="AJ105:AJ124" si="85">+AK105*12</f>
        <v>2160</v>
      </c>
      <c r="AK105" s="413">
        <v>180</v>
      </c>
      <c r="AL105" s="387">
        <f t="shared" ref="AL105:AL119" si="86">+AP105*12</f>
        <v>147840</v>
      </c>
      <c r="AM105" s="387">
        <f t="shared" ref="AM105:AM124" si="87">1760*F105</f>
        <v>10560</v>
      </c>
      <c r="AN105" s="387">
        <f t="shared" ref="AN105:AN111" si="88">1760*H105</f>
        <v>10560</v>
      </c>
      <c r="AO105" s="387">
        <f>1760*H105</f>
        <v>10560</v>
      </c>
      <c r="AP105" s="387">
        <v>12320</v>
      </c>
      <c r="AQ105" s="387">
        <v>0</v>
      </c>
      <c r="AR105" s="387">
        <v>0</v>
      </c>
      <c r="AS105" s="387">
        <v>0</v>
      </c>
      <c r="AT105" s="387">
        <v>0</v>
      </c>
      <c r="AU105" s="391">
        <f t="shared" ref="AU105:AU119" si="89">+G105+I105+K105+M105+O105+Q105+S105+AN105+AI105+U105+W105+Y105+AA105+AC105+AE105+AG105+AM105+AO105+AQ105+AR105+AS105+AT105+AK105+AP105</f>
        <v>70399.16</v>
      </c>
      <c r="AW105" s="425"/>
    </row>
    <row r="106" spans="2:49" ht="15.75" thickBot="1" x14ac:dyDescent="0.3">
      <c r="B106" s="508">
        <f t="shared" ref="B106:B124" si="90">+B105+1</f>
        <v>86</v>
      </c>
      <c r="C106" s="518"/>
      <c r="D106" s="408" t="s">
        <v>58</v>
      </c>
      <c r="E106" s="412">
        <v>77.59</v>
      </c>
      <c r="F106" s="410">
        <v>23</v>
      </c>
      <c r="G106" s="489">
        <f t="shared" si="60"/>
        <v>55321.670000000006</v>
      </c>
      <c r="H106" s="410">
        <v>23</v>
      </c>
      <c r="I106" s="489">
        <f t="shared" si="81"/>
        <v>49967.960000000006</v>
      </c>
      <c r="J106" s="410"/>
      <c r="K106" s="486"/>
      <c r="L106" s="410"/>
      <c r="M106" s="486"/>
      <c r="N106" s="410"/>
      <c r="O106" s="486"/>
      <c r="P106" s="410"/>
      <c r="Q106" s="486"/>
      <c r="R106" s="410"/>
      <c r="S106" s="486"/>
      <c r="T106" s="410"/>
      <c r="U106" s="486"/>
      <c r="V106" s="410"/>
      <c r="W106" s="486"/>
      <c r="X106" s="410"/>
      <c r="Y106" s="486"/>
      <c r="Z106" s="388"/>
      <c r="AA106" s="486"/>
      <c r="AB106" s="388"/>
      <c r="AC106" s="504"/>
      <c r="AD106" s="432">
        <f t="shared" si="82"/>
        <v>0</v>
      </c>
      <c r="AE106" s="413"/>
      <c r="AF106" s="387">
        <f t="shared" si="83"/>
        <v>0</v>
      </c>
      <c r="AG106" s="413"/>
      <c r="AH106" s="387">
        <f t="shared" si="84"/>
        <v>0</v>
      </c>
      <c r="AI106" s="413"/>
      <c r="AJ106" s="387">
        <f t="shared" si="85"/>
        <v>0</v>
      </c>
      <c r="AK106" s="413"/>
      <c r="AL106" s="387">
        <f t="shared" si="86"/>
        <v>413432.00000000006</v>
      </c>
      <c r="AM106" s="387">
        <f t="shared" si="87"/>
        <v>40480</v>
      </c>
      <c r="AN106" s="387">
        <f t="shared" si="88"/>
        <v>40480</v>
      </c>
      <c r="AO106" s="387">
        <f>35200+250</f>
        <v>35450</v>
      </c>
      <c r="AP106" s="387">
        <v>34452.666666666672</v>
      </c>
      <c r="AQ106" s="387">
        <v>0</v>
      </c>
      <c r="AR106" s="387">
        <v>0</v>
      </c>
      <c r="AS106" s="387">
        <v>0</v>
      </c>
      <c r="AT106" s="387">
        <v>0</v>
      </c>
      <c r="AU106" s="391">
        <f t="shared" si="89"/>
        <v>256152.29666666669</v>
      </c>
      <c r="AW106" s="76"/>
    </row>
    <row r="107" spans="2:49" ht="15.75" thickBot="1" x14ac:dyDescent="0.3">
      <c r="B107" s="508">
        <f t="shared" si="90"/>
        <v>87</v>
      </c>
      <c r="C107" s="518"/>
      <c r="D107" s="408" t="s">
        <v>34</v>
      </c>
      <c r="E107" s="412">
        <v>71.400000000000006</v>
      </c>
      <c r="F107" s="410">
        <v>26</v>
      </c>
      <c r="G107" s="489">
        <f t="shared" si="60"/>
        <v>57548.4</v>
      </c>
      <c r="H107" s="410">
        <v>26</v>
      </c>
      <c r="I107" s="489">
        <f t="shared" si="81"/>
        <v>51979.200000000004</v>
      </c>
      <c r="J107" s="410"/>
      <c r="K107" s="486"/>
      <c r="L107" s="410"/>
      <c r="M107" s="486"/>
      <c r="N107" s="410"/>
      <c r="O107" s="486"/>
      <c r="P107" s="410"/>
      <c r="Q107" s="486"/>
      <c r="R107" s="410"/>
      <c r="S107" s="486"/>
      <c r="T107" s="410"/>
      <c r="U107" s="486"/>
      <c r="V107" s="410"/>
      <c r="W107" s="486"/>
      <c r="X107" s="410"/>
      <c r="Y107" s="486"/>
      <c r="Z107" s="388"/>
      <c r="AA107" s="486"/>
      <c r="AB107" s="388"/>
      <c r="AC107" s="504"/>
      <c r="AD107" s="432">
        <f t="shared" si="82"/>
        <v>4260</v>
      </c>
      <c r="AE107" s="413">
        <v>355</v>
      </c>
      <c r="AF107" s="387">
        <f t="shared" si="83"/>
        <v>4260</v>
      </c>
      <c r="AG107" s="413">
        <v>355</v>
      </c>
      <c r="AH107" s="387">
        <f t="shared" si="84"/>
        <v>4260</v>
      </c>
      <c r="AI107" s="413">
        <v>355</v>
      </c>
      <c r="AJ107" s="387">
        <f t="shared" si="85"/>
        <v>4260</v>
      </c>
      <c r="AK107" s="413">
        <v>355</v>
      </c>
      <c r="AL107" s="387">
        <f t="shared" si="86"/>
        <v>781440</v>
      </c>
      <c r="AM107" s="387">
        <f t="shared" si="87"/>
        <v>45760</v>
      </c>
      <c r="AN107" s="387">
        <f t="shared" si="88"/>
        <v>45760</v>
      </c>
      <c r="AO107" s="387">
        <v>67163.87</v>
      </c>
      <c r="AP107" s="387">
        <v>65120</v>
      </c>
      <c r="AQ107" s="387">
        <v>0</v>
      </c>
      <c r="AR107" s="387">
        <v>0</v>
      </c>
      <c r="AS107" s="387">
        <v>0</v>
      </c>
      <c r="AT107" s="387">
        <v>0</v>
      </c>
      <c r="AU107" s="391">
        <f t="shared" si="89"/>
        <v>334751.46999999997</v>
      </c>
      <c r="AW107" s="76"/>
    </row>
    <row r="108" spans="2:49" ht="15.75" thickBot="1" x14ac:dyDescent="0.3">
      <c r="B108" s="508">
        <f t="shared" si="90"/>
        <v>88</v>
      </c>
      <c r="C108" s="518"/>
      <c r="D108" s="408" t="s">
        <v>34</v>
      </c>
      <c r="E108" s="412">
        <v>71.400000000000006</v>
      </c>
      <c r="F108" s="410">
        <v>1</v>
      </c>
      <c r="G108" s="489">
        <v>0</v>
      </c>
      <c r="H108" s="410">
        <v>1</v>
      </c>
      <c r="I108" s="489">
        <f t="shared" si="81"/>
        <v>1999.2000000000003</v>
      </c>
      <c r="J108" s="410"/>
      <c r="K108" s="486"/>
      <c r="L108" s="410"/>
      <c r="M108" s="486"/>
      <c r="N108" s="410"/>
      <c r="O108" s="486"/>
      <c r="P108" s="410"/>
      <c r="Q108" s="486"/>
      <c r="R108" s="410"/>
      <c r="S108" s="486"/>
      <c r="T108" s="410"/>
      <c r="U108" s="486"/>
      <c r="V108" s="410"/>
      <c r="W108" s="486"/>
      <c r="X108" s="410"/>
      <c r="Y108" s="486"/>
      <c r="Z108" s="388"/>
      <c r="AA108" s="486"/>
      <c r="AB108" s="388"/>
      <c r="AC108" s="504"/>
      <c r="AD108" s="432"/>
      <c r="AE108" s="413"/>
      <c r="AF108" s="387"/>
      <c r="AG108" s="413"/>
      <c r="AH108" s="387"/>
      <c r="AI108" s="413"/>
      <c r="AJ108" s="387"/>
      <c r="AK108" s="413"/>
      <c r="AL108" s="387"/>
      <c r="AM108" s="387"/>
      <c r="AN108" s="387"/>
      <c r="AO108" s="387"/>
      <c r="AP108" s="387"/>
      <c r="AQ108" s="387"/>
      <c r="AR108" s="387"/>
      <c r="AS108" s="387"/>
      <c r="AT108" s="387"/>
      <c r="AU108" s="391"/>
      <c r="AW108" s="76"/>
    </row>
    <row r="109" spans="2:49" ht="15.75" thickBot="1" x14ac:dyDescent="0.3">
      <c r="B109" s="513">
        <f t="shared" si="90"/>
        <v>89</v>
      </c>
      <c r="C109" s="518"/>
      <c r="D109" s="408" t="s">
        <v>34</v>
      </c>
      <c r="E109" s="412">
        <v>71.400000000000006</v>
      </c>
      <c r="F109" s="410">
        <v>1</v>
      </c>
      <c r="G109" s="489">
        <v>0</v>
      </c>
      <c r="H109" s="410">
        <v>1</v>
      </c>
      <c r="I109" s="489">
        <f>+H109*E109*3</f>
        <v>214.20000000000002</v>
      </c>
      <c r="J109" s="410"/>
      <c r="K109" s="486"/>
      <c r="L109" s="410"/>
      <c r="M109" s="486"/>
      <c r="N109" s="410"/>
      <c r="O109" s="486"/>
      <c r="P109" s="410"/>
      <c r="Q109" s="486"/>
      <c r="R109" s="410"/>
      <c r="S109" s="486"/>
      <c r="T109" s="410"/>
      <c r="U109" s="486"/>
      <c r="V109" s="410"/>
      <c r="W109" s="486"/>
      <c r="X109" s="410"/>
      <c r="Y109" s="486"/>
      <c r="Z109" s="388"/>
      <c r="AA109" s="486"/>
      <c r="AB109" s="388"/>
      <c r="AC109" s="504"/>
      <c r="AD109" s="432"/>
      <c r="AE109" s="413"/>
      <c r="AF109" s="387"/>
      <c r="AG109" s="413"/>
      <c r="AH109" s="387"/>
      <c r="AI109" s="413"/>
      <c r="AJ109" s="387"/>
      <c r="AK109" s="413"/>
      <c r="AL109" s="387"/>
      <c r="AM109" s="387"/>
      <c r="AN109" s="387"/>
      <c r="AO109" s="387"/>
      <c r="AP109" s="387"/>
      <c r="AQ109" s="387"/>
      <c r="AR109" s="387"/>
      <c r="AS109" s="387"/>
      <c r="AT109" s="387"/>
      <c r="AU109" s="391"/>
      <c r="AW109" s="76"/>
    </row>
    <row r="110" spans="2:49" ht="15.75" thickBot="1" x14ac:dyDescent="0.3">
      <c r="B110" s="513">
        <f>+B108+1</f>
        <v>89</v>
      </c>
      <c r="C110" s="518"/>
      <c r="D110" s="408" t="s">
        <v>34</v>
      </c>
      <c r="E110" s="412">
        <v>71.400000000000006</v>
      </c>
      <c r="F110" s="410">
        <v>1</v>
      </c>
      <c r="G110" s="489">
        <v>0</v>
      </c>
      <c r="H110" s="410">
        <v>1</v>
      </c>
      <c r="I110" s="489">
        <f>+H110*E110*44</f>
        <v>3141.6000000000004</v>
      </c>
      <c r="J110" s="410"/>
      <c r="K110" s="486"/>
      <c r="L110" s="410"/>
      <c r="M110" s="486"/>
      <c r="N110" s="410"/>
      <c r="O110" s="486"/>
      <c r="P110" s="410"/>
      <c r="Q110" s="486"/>
      <c r="R110" s="410"/>
      <c r="S110" s="486"/>
      <c r="T110" s="410"/>
      <c r="U110" s="486"/>
      <c r="V110" s="410"/>
      <c r="W110" s="486"/>
      <c r="X110" s="410"/>
      <c r="Y110" s="486"/>
      <c r="Z110" s="388"/>
      <c r="AA110" s="486"/>
      <c r="AB110" s="388"/>
      <c r="AC110" s="504"/>
      <c r="AD110" s="432"/>
      <c r="AE110" s="413"/>
      <c r="AF110" s="387"/>
      <c r="AG110" s="413"/>
      <c r="AH110" s="387"/>
      <c r="AI110" s="413"/>
      <c r="AJ110" s="387"/>
      <c r="AK110" s="413"/>
      <c r="AL110" s="387"/>
      <c r="AM110" s="387"/>
      <c r="AN110" s="387"/>
      <c r="AO110" s="387"/>
      <c r="AP110" s="387"/>
      <c r="AQ110" s="387"/>
      <c r="AR110" s="387"/>
      <c r="AS110" s="387"/>
      <c r="AT110" s="387"/>
      <c r="AU110" s="391"/>
      <c r="AW110" s="76"/>
    </row>
    <row r="111" spans="2:49" ht="15.75" thickBot="1" x14ac:dyDescent="0.3">
      <c r="B111" s="508">
        <f>+B108+1</f>
        <v>89</v>
      </c>
      <c r="C111" s="518"/>
      <c r="D111" s="408" t="s">
        <v>148</v>
      </c>
      <c r="E111" s="412">
        <v>72.540000000000006</v>
      </c>
      <c r="F111" s="410">
        <v>2</v>
      </c>
      <c r="G111" s="489">
        <f t="shared" si="60"/>
        <v>4497.4800000000005</v>
      </c>
      <c r="H111" s="410">
        <v>2</v>
      </c>
      <c r="I111" s="489">
        <f t="shared" si="81"/>
        <v>4062.2400000000002</v>
      </c>
      <c r="J111" s="410"/>
      <c r="K111" s="486"/>
      <c r="L111" s="410"/>
      <c r="M111" s="486"/>
      <c r="N111" s="410"/>
      <c r="O111" s="486"/>
      <c r="P111" s="410"/>
      <c r="Q111" s="486"/>
      <c r="R111" s="410"/>
      <c r="S111" s="486"/>
      <c r="T111" s="410"/>
      <c r="U111" s="486"/>
      <c r="V111" s="410"/>
      <c r="W111" s="486"/>
      <c r="X111" s="410"/>
      <c r="Y111" s="486"/>
      <c r="Z111" s="388"/>
      <c r="AA111" s="486"/>
      <c r="AB111" s="388"/>
      <c r="AC111" s="504"/>
      <c r="AD111" s="432">
        <f t="shared" si="82"/>
        <v>0</v>
      </c>
      <c r="AE111" s="413"/>
      <c r="AF111" s="387">
        <f t="shared" si="83"/>
        <v>0</v>
      </c>
      <c r="AG111" s="413"/>
      <c r="AH111" s="387">
        <f t="shared" si="84"/>
        <v>0</v>
      </c>
      <c r="AI111" s="413"/>
      <c r="AJ111" s="387">
        <f t="shared" si="85"/>
        <v>0</v>
      </c>
      <c r="AK111" s="413"/>
      <c r="AL111" s="387">
        <f t="shared" si="86"/>
        <v>147840</v>
      </c>
      <c r="AM111" s="387">
        <f t="shared" si="87"/>
        <v>3520</v>
      </c>
      <c r="AN111" s="387">
        <f t="shared" si="88"/>
        <v>3520</v>
      </c>
      <c r="AO111" s="387">
        <f>1760*H111</f>
        <v>3520</v>
      </c>
      <c r="AP111" s="387">
        <v>12320</v>
      </c>
      <c r="AQ111" s="387">
        <v>0</v>
      </c>
      <c r="AR111" s="387">
        <v>0</v>
      </c>
      <c r="AS111" s="387">
        <v>0</v>
      </c>
      <c r="AT111" s="387">
        <v>0</v>
      </c>
      <c r="AU111" s="391">
        <f t="shared" si="89"/>
        <v>31439.72</v>
      </c>
    </row>
    <row r="112" spans="2:49" ht="15.75" thickBot="1" x14ac:dyDescent="0.3">
      <c r="B112" s="508">
        <f t="shared" si="90"/>
        <v>90</v>
      </c>
      <c r="C112" s="518"/>
      <c r="D112" s="408" t="s">
        <v>60</v>
      </c>
      <c r="E112" s="412">
        <v>77.59</v>
      </c>
      <c r="F112" s="410">
        <v>10</v>
      </c>
      <c r="G112" s="489">
        <f t="shared" si="60"/>
        <v>24052.9</v>
      </c>
      <c r="H112" s="410">
        <v>10</v>
      </c>
      <c r="I112" s="489">
        <f t="shared" si="81"/>
        <v>21725.200000000004</v>
      </c>
      <c r="J112" s="410"/>
      <c r="K112" s="486"/>
      <c r="L112" s="410"/>
      <c r="M112" s="486"/>
      <c r="N112" s="410"/>
      <c r="O112" s="486"/>
      <c r="P112" s="410"/>
      <c r="Q112" s="486"/>
      <c r="R112" s="410"/>
      <c r="S112" s="486"/>
      <c r="T112" s="410"/>
      <c r="U112" s="486"/>
      <c r="V112" s="410"/>
      <c r="W112" s="486"/>
      <c r="X112" s="410"/>
      <c r="Y112" s="486"/>
      <c r="Z112" s="388"/>
      <c r="AA112" s="486"/>
      <c r="AB112" s="388"/>
      <c r="AC112" s="504"/>
      <c r="AD112" s="432">
        <f t="shared" si="82"/>
        <v>0</v>
      </c>
      <c r="AE112" s="413"/>
      <c r="AF112" s="387">
        <f t="shared" si="83"/>
        <v>0</v>
      </c>
      <c r="AG112" s="413"/>
      <c r="AH112" s="387">
        <f t="shared" si="84"/>
        <v>0</v>
      </c>
      <c r="AI112" s="413"/>
      <c r="AJ112" s="387">
        <f t="shared" si="85"/>
        <v>0</v>
      </c>
      <c r="AK112" s="413"/>
      <c r="AL112" s="387">
        <f t="shared" si="86"/>
        <v>63360</v>
      </c>
      <c r="AM112" s="387">
        <f t="shared" si="87"/>
        <v>17600</v>
      </c>
      <c r="AN112" s="387">
        <f t="shared" ref="AN112:AN123" si="91">1760*H112</f>
        <v>17600</v>
      </c>
      <c r="AO112" s="387">
        <f t="shared" ref="AO112:AO124" si="92">1760*H112</f>
        <v>17600</v>
      </c>
      <c r="AP112" s="387">
        <v>5280</v>
      </c>
      <c r="AQ112" s="387">
        <v>0</v>
      </c>
      <c r="AR112" s="387">
        <v>0</v>
      </c>
      <c r="AS112" s="387">
        <v>0</v>
      </c>
      <c r="AT112" s="387">
        <v>0</v>
      </c>
      <c r="AU112" s="391">
        <f t="shared" si="89"/>
        <v>103858.1</v>
      </c>
    </row>
    <row r="113" spans="2:49" ht="15.75" thickBot="1" x14ac:dyDescent="0.3">
      <c r="B113" s="508">
        <f t="shared" si="90"/>
        <v>91</v>
      </c>
      <c r="C113" s="518"/>
      <c r="D113" s="408" t="s">
        <v>37</v>
      </c>
      <c r="E113" s="412">
        <v>71.400000000000006</v>
      </c>
      <c r="F113" s="410">
        <v>17</v>
      </c>
      <c r="G113" s="489">
        <f t="shared" si="60"/>
        <v>37627.800000000003</v>
      </c>
      <c r="H113" s="410">
        <v>17</v>
      </c>
      <c r="I113" s="489">
        <f t="shared" si="81"/>
        <v>33986.400000000009</v>
      </c>
      <c r="J113" s="410"/>
      <c r="K113" s="486"/>
      <c r="L113" s="410"/>
      <c r="M113" s="486"/>
      <c r="N113" s="410"/>
      <c r="O113" s="486"/>
      <c r="P113" s="410"/>
      <c r="Q113" s="486"/>
      <c r="R113" s="410"/>
      <c r="S113" s="486"/>
      <c r="T113" s="410"/>
      <c r="U113" s="486"/>
      <c r="V113" s="410"/>
      <c r="W113" s="486"/>
      <c r="X113" s="410"/>
      <c r="Y113" s="486"/>
      <c r="Z113" s="388"/>
      <c r="AA113" s="486"/>
      <c r="AB113" s="388"/>
      <c r="AC113" s="504"/>
      <c r="AD113" s="432">
        <f t="shared" si="82"/>
        <v>0</v>
      </c>
      <c r="AE113" s="413">
        <v>0</v>
      </c>
      <c r="AF113" s="387">
        <f t="shared" si="83"/>
        <v>0</v>
      </c>
      <c r="AG113" s="413">
        <v>0</v>
      </c>
      <c r="AH113" s="387">
        <f t="shared" si="84"/>
        <v>0</v>
      </c>
      <c r="AI113" s="413">
        <v>0</v>
      </c>
      <c r="AJ113" s="387">
        <f t="shared" si="85"/>
        <v>0</v>
      </c>
      <c r="AK113" s="413">
        <v>0</v>
      </c>
      <c r="AL113" s="387">
        <f t="shared" si="86"/>
        <v>21120</v>
      </c>
      <c r="AM113" s="387">
        <f t="shared" si="87"/>
        <v>29920</v>
      </c>
      <c r="AN113" s="387">
        <f t="shared" si="91"/>
        <v>29920</v>
      </c>
      <c r="AO113" s="387">
        <f t="shared" si="92"/>
        <v>29920</v>
      </c>
      <c r="AP113" s="387">
        <v>1760</v>
      </c>
      <c r="AQ113" s="387">
        <v>0</v>
      </c>
      <c r="AR113" s="387">
        <v>0</v>
      </c>
      <c r="AS113" s="387">
        <v>0</v>
      </c>
      <c r="AT113" s="387">
        <v>0</v>
      </c>
      <c r="AU113" s="391">
        <f t="shared" si="89"/>
        <v>163134.20000000001</v>
      </c>
    </row>
    <row r="114" spans="2:49" ht="15.75" thickBot="1" x14ac:dyDescent="0.3">
      <c r="B114" s="513">
        <f t="shared" si="90"/>
        <v>92</v>
      </c>
      <c r="C114" s="518"/>
      <c r="D114" s="408" t="s">
        <v>37</v>
      </c>
      <c r="E114" s="412">
        <v>71.400000000000006</v>
      </c>
      <c r="F114" s="410">
        <v>1</v>
      </c>
      <c r="G114" s="489">
        <f t="shared" ref="G114" si="93">+F114*E114*31</f>
        <v>2213.4</v>
      </c>
      <c r="H114" s="410">
        <v>1</v>
      </c>
      <c r="I114" s="489">
        <f>+H114*E114*47</f>
        <v>3355.8</v>
      </c>
      <c r="J114" s="410"/>
      <c r="K114" s="486"/>
      <c r="L114" s="410"/>
      <c r="M114" s="486"/>
      <c r="N114" s="410"/>
      <c r="O114" s="486"/>
      <c r="P114" s="410"/>
      <c r="Q114" s="486"/>
      <c r="R114" s="410"/>
      <c r="S114" s="486"/>
      <c r="T114" s="410"/>
      <c r="U114" s="486"/>
      <c r="V114" s="410"/>
      <c r="W114" s="486"/>
      <c r="X114" s="410"/>
      <c r="Y114" s="486"/>
      <c r="Z114" s="388"/>
      <c r="AA114" s="486"/>
      <c r="AB114" s="388"/>
      <c r="AC114" s="504"/>
      <c r="AD114" s="432">
        <f t="shared" ref="AD114" si="94">+AE114*12</f>
        <v>0</v>
      </c>
      <c r="AE114" s="413">
        <v>0</v>
      </c>
      <c r="AF114" s="387">
        <f t="shared" ref="AF114" si="95">+AG114*12</f>
        <v>0</v>
      </c>
      <c r="AG114" s="413">
        <v>0</v>
      </c>
      <c r="AH114" s="387">
        <f t="shared" ref="AH114" si="96">+AI114*12</f>
        <v>0</v>
      </c>
      <c r="AI114" s="413">
        <v>0</v>
      </c>
      <c r="AJ114" s="387">
        <f t="shared" ref="AJ114" si="97">+AK114*12</f>
        <v>0</v>
      </c>
      <c r="AK114" s="413">
        <v>0</v>
      </c>
      <c r="AL114" s="387">
        <f t="shared" ref="AL114" si="98">+AP114*12</f>
        <v>21120</v>
      </c>
      <c r="AM114" s="387">
        <f t="shared" ref="AM114" si="99">1760*F114</f>
        <v>1760</v>
      </c>
      <c r="AN114" s="387">
        <f t="shared" ref="AN114" si="100">1760*H114</f>
        <v>1760</v>
      </c>
      <c r="AO114" s="387">
        <f t="shared" ref="AO114" si="101">1760*H114</f>
        <v>1760</v>
      </c>
      <c r="AP114" s="387">
        <v>1760</v>
      </c>
      <c r="AQ114" s="387">
        <v>0</v>
      </c>
      <c r="AR114" s="387">
        <v>0</v>
      </c>
      <c r="AS114" s="387">
        <v>0</v>
      </c>
      <c r="AT114" s="387">
        <v>0</v>
      </c>
      <c r="AU114" s="391">
        <f t="shared" ref="AU114" si="102">+G114+I114+K114+M114+O114+Q114+S114+AN114+AI114+U114+W114+Y114+AA114+AC114+AE114+AG114+AM114+AO114+AQ114+AR114+AS114+AT114+AK114+AP114</f>
        <v>12609.2</v>
      </c>
    </row>
    <row r="115" spans="2:49" ht="15.75" thickBot="1" x14ac:dyDescent="0.3">
      <c r="B115" s="508">
        <f>+B113+1</f>
        <v>92</v>
      </c>
      <c r="C115" s="518"/>
      <c r="D115" s="408" t="s">
        <v>37</v>
      </c>
      <c r="E115" s="412">
        <v>71.400000000000006</v>
      </c>
      <c r="F115" s="410">
        <v>1</v>
      </c>
      <c r="G115" s="489">
        <v>0</v>
      </c>
      <c r="H115" s="410">
        <v>1</v>
      </c>
      <c r="I115" s="489">
        <v>0</v>
      </c>
      <c r="J115" s="410"/>
      <c r="K115" s="486"/>
      <c r="L115" s="410"/>
      <c r="M115" s="486"/>
      <c r="N115" s="410"/>
      <c r="O115" s="486"/>
      <c r="P115" s="410"/>
      <c r="Q115" s="486"/>
      <c r="R115" s="410"/>
      <c r="S115" s="486"/>
      <c r="T115" s="410"/>
      <c r="U115" s="486"/>
      <c r="V115" s="410"/>
      <c r="W115" s="486"/>
      <c r="X115" s="410"/>
      <c r="Y115" s="486"/>
      <c r="Z115" s="388"/>
      <c r="AA115" s="486"/>
      <c r="AB115" s="388"/>
      <c r="AC115" s="504"/>
      <c r="AD115" s="432"/>
      <c r="AE115" s="413"/>
      <c r="AF115" s="387"/>
      <c r="AG115" s="413"/>
      <c r="AH115" s="387"/>
      <c r="AI115" s="413"/>
      <c r="AJ115" s="387"/>
      <c r="AK115" s="413"/>
      <c r="AL115" s="387"/>
      <c r="AM115" s="387">
        <f t="shared" si="87"/>
        <v>1760</v>
      </c>
      <c r="AN115" s="387"/>
      <c r="AO115" s="387"/>
      <c r="AP115" s="387"/>
      <c r="AQ115" s="387"/>
      <c r="AR115" s="387"/>
      <c r="AS115" s="387"/>
      <c r="AT115" s="387"/>
      <c r="AU115" s="391"/>
    </row>
    <row r="116" spans="2:49" ht="15.75" thickBot="1" x14ac:dyDescent="0.3">
      <c r="B116" s="508">
        <f t="shared" si="90"/>
        <v>93</v>
      </c>
      <c r="C116" s="518"/>
      <c r="D116" s="408" t="s">
        <v>74</v>
      </c>
      <c r="E116" s="412">
        <v>73.59</v>
      </c>
      <c r="F116" s="410">
        <v>1</v>
      </c>
      <c r="G116" s="489">
        <f t="shared" si="60"/>
        <v>2281.29</v>
      </c>
      <c r="H116" s="410">
        <v>1</v>
      </c>
      <c r="I116" s="489">
        <f t="shared" si="81"/>
        <v>2060.52</v>
      </c>
      <c r="J116" s="410"/>
      <c r="K116" s="486"/>
      <c r="L116" s="410"/>
      <c r="M116" s="486"/>
      <c r="N116" s="410"/>
      <c r="O116" s="486"/>
      <c r="P116" s="410"/>
      <c r="Q116" s="486"/>
      <c r="R116" s="410"/>
      <c r="S116" s="486"/>
      <c r="T116" s="410"/>
      <c r="U116" s="486"/>
      <c r="V116" s="410"/>
      <c r="W116" s="486"/>
      <c r="X116" s="410"/>
      <c r="Y116" s="486"/>
      <c r="Z116" s="388"/>
      <c r="AA116" s="486"/>
      <c r="AB116" s="388"/>
      <c r="AC116" s="504"/>
      <c r="AD116" s="432"/>
      <c r="AE116" s="413"/>
      <c r="AF116" s="387"/>
      <c r="AG116" s="413"/>
      <c r="AH116" s="387"/>
      <c r="AI116" s="413"/>
      <c r="AJ116" s="387"/>
      <c r="AK116" s="413"/>
      <c r="AL116" s="387"/>
      <c r="AM116" s="387"/>
      <c r="AN116" s="387"/>
      <c r="AO116" s="387"/>
      <c r="AP116" s="387"/>
      <c r="AQ116" s="387"/>
      <c r="AR116" s="387"/>
      <c r="AS116" s="387"/>
      <c r="AT116" s="387"/>
      <c r="AU116" s="391"/>
    </row>
    <row r="117" spans="2:49" ht="15.75" thickBot="1" x14ac:dyDescent="0.3">
      <c r="B117" s="508">
        <f t="shared" si="90"/>
        <v>94</v>
      </c>
      <c r="C117" s="518"/>
      <c r="D117" s="408" t="s">
        <v>61</v>
      </c>
      <c r="E117" s="412">
        <v>75.64</v>
      </c>
      <c r="F117" s="410">
        <v>2</v>
      </c>
      <c r="G117" s="489">
        <f t="shared" si="60"/>
        <v>4689.68</v>
      </c>
      <c r="H117" s="410">
        <v>2</v>
      </c>
      <c r="I117" s="489">
        <f t="shared" si="81"/>
        <v>4235.84</v>
      </c>
      <c r="J117" s="410"/>
      <c r="K117" s="486"/>
      <c r="L117" s="410"/>
      <c r="M117" s="486"/>
      <c r="N117" s="410"/>
      <c r="O117" s="486"/>
      <c r="P117" s="410"/>
      <c r="Q117" s="486"/>
      <c r="R117" s="410"/>
      <c r="S117" s="486"/>
      <c r="T117" s="410"/>
      <c r="U117" s="486"/>
      <c r="V117" s="410"/>
      <c r="W117" s="486"/>
      <c r="X117" s="410"/>
      <c r="Y117" s="486"/>
      <c r="Z117" s="388"/>
      <c r="AA117" s="486"/>
      <c r="AB117" s="388"/>
      <c r="AC117" s="504"/>
      <c r="AD117" s="432">
        <f t="shared" si="82"/>
        <v>0</v>
      </c>
      <c r="AE117" s="413"/>
      <c r="AF117" s="387">
        <f t="shared" si="83"/>
        <v>0</v>
      </c>
      <c r="AG117" s="413"/>
      <c r="AH117" s="387">
        <f t="shared" si="84"/>
        <v>0</v>
      </c>
      <c r="AI117" s="413"/>
      <c r="AJ117" s="387">
        <f t="shared" si="85"/>
        <v>0</v>
      </c>
      <c r="AK117" s="413"/>
      <c r="AL117" s="387">
        <f t="shared" si="86"/>
        <v>21120</v>
      </c>
      <c r="AM117" s="387">
        <f t="shared" si="87"/>
        <v>3520</v>
      </c>
      <c r="AN117" s="387">
        <f t="shared" si="91"/>
        <v>3520</v>
      </c>
      <c r="AO117" s="387">
        <f t="shared" si="92"/>
        <v>3520</v>
      </c>
      <c r="AP117" s="387">
        <v>1760</v>
      </c>
      <c r="AQ117" s="387">
        <v>0</v>
      </c>
      <c r="AR117" s="387">
        <v>0</v>
      </c>
      <c r="AS117" s="387">
        <v>0</v>
      </c>
      <c r="AT117" s="387">
        <v>0</v>
      </c>
      <c r="AU117" s="391">
        <f t="shared" si="89"/>
        <v>21245.52</v>
      </c>
    </row>
    <row r="118" spans="2:49" ht="15.75" thickBot="1" x14ac:dyDescent="0.3">
      <c r="B118" s="508">
        <f t="shared" si="90"/>
        <v>95</v>
      </c>
      <c r="C118" s="518"/>
      <c r="D118" s="408" t="s">
        <v>134</v>
      </c>
      <c r="E118" s="412">
        <v>75.64</v>
      </c>
      <c r="F118" s="410">
        <v>1</v>
      </c>
      <c r="G118" s="489">
        <f t="shared" si="60"/>
        <v>2344.84</v>
      </c>
      <c r="H118" s="410">
        <v>1</v>
      </c>
      <c r="I118" s="489">
        <f t="shared" si="81"/>
        <v>2117.92</v>
      </c>
      <c r="J118" s="410"/>
      <c r="K118" s="486"/>
      <c r="L118" s="410"/>
      <c r="M118" s="486"/>
      <c r="N118" s="410"/>
      <c r="O118" s="486"/>
      <c r="P118" s="410"/>
      <c r="Q118" s="486"/>
      <c r="R118" s="410"/>
      <c r="S118" s="486"/>
      <c r="T118" s="410"/>
      <c r="U118" s="486"/>
      <c r="V118" s="410"/>
      <c r="W118" s="486"/>
      <c r="X118" s="410"/>
      <c r="Y118" s="486"/>
      <c r="Z118" s="388"/>
      <c r="AA118" s="486"/>
      <c r="AB118" s="388"/>
      <c r="AC118" s="504"/>
      <c r="AD118" s="432">
        <f t="shared" si="82"/>
        <v>0</v>
      </c>
      <c r="AE118" s="413"/>
      <c r="AF118" s="387">
        <f t="shared" si="83"/>
        <v>0</v>
      </c>
      <c r="AG118" s="413"/>
      <c r="AH118" s="387">
        <f t="shared" si="84"/>
        <v>0</v>
      </c>
      <c r="AI118" s="413"/>
      <c r="AJ118" s="387">
        <f t="shared" si="85"/>
        <v>0</v>
      </c>
      <c r="AK118" s="413"/>
      <c r="AL118" s="387">
        <f t="shared" si="86"/>
        <v>21120</v>
      </c>
      <c r="AM118" s="387">
        <f t="shared" si="87"/>
        <v>1760</v>
      </c>
      <c r="AN118" s="387">
        <f t="shared" si="91"/>
        <v>1760</v>
      </c>
      <c r="AO118" s="387">
        <f t="shared" si="92"/>
        <v>1760</v>
      </c>
      <c r="AP118" s="387">
        <v>1760</v>
      </c>
      <c r="AQ118" s="387">
        <v>0</v>
      </c>
      <c r="AR118" s="387">
        <v>0</v>
      </c>
      <c r="AS118" s="387">
        <v>0</v>
      </c>
      <c r="AT118" s="387">
        <v>0</v>
      </c>
      <c r="AU118" s="391">
        <f t="shared" si="89"/>
        <v>11502.76</v>
      </c>
    </row>
    <row r="119" spans="2:49" ht="15.75" thickBot="1" x14ac:dyDescent="0.3">
      <c r="B119" s="508">
        <f t="shared" si="90"/>
        <v>96</v>
      </c>
      <c r="C119" s="518"/>
      <c r="D119" s="408" t="s">
        <v>135</v>
      </c>
      <c r="E119" s="412">
        <v>75.64</v>
      </c>
      <c r="F119" s="410">
        <v>1</v>
      </c>
      <c r="G119" s="489">
        <f t="shared" si="60"/>
        <v>2344.84</v>
      </c>
      <c r="H119" s="410">
        <v>1</v>
      </c>
      <c r="I119" s="489">
        <f t="shared" si="81"/>
        <v>2117.92</v>
      </c>
      <c r="J119" s="410"/>
      <c r="K119" s="486"/>
      <c r="L119" s="410"/>
      <c r="M119" s="486"/>
      <c r="N119" s="410"/>
      <c r="O119" s="486"/>
      <c r="P119" s="410"/>
      <c r="Q119" s="486"/>
      <c r="R119" s="410"/>
      <c r="S119" s="486"/>
      <c r="T119" s="410"/>
      <c r="U119" s="486"/>
      <c r="V119" s="410"/>
      <c r="W119" s="486"/>
      <c r="X119" s="410"/>
      <c r="Y119" s="486"/>
      <c r="Z119" s="388"/>
      <c r="AA119" s="486"/>
      <c r="AB119" s="388"/>
      <c r="AC119" s="504"/>
      <c r="AD119" s="432">
        <f t="shared" si="82"/>
        <v>1440</v>
      </c>
      <c r="AE119" s="413">
        <v>120</v>
      </c>
      <c r="AF119" s="387">
        <f t="shared" si="83"/>
        <v>1440</v>
      </c>
      <c r="AG119" s="413">
        <v>120</v>
      </c>
      <c r="AH119" s="387">
        <f t="shared" si="84"/>
        <v>1440</v>
      </c>
      <c r="AI119" s="413">
        <v>120</v>
      </c>
      <c r="AJ119" s="387">
        <f t="shared" si="85"/>
        <v>1440</v>
      </c>
      <c r="AK119" s="413">
        <v>120</v>
      </c>
      <c r="AL119" s="387">
        <f t="shared" si="86"/>
        <v>63360</v>
      </c>
      <c r="AM119" s="387">
        <f t="shared" si="87"/>
        <v>1760</v>
      </c>
      <c r="AN119" s="387">
        <f t="shared" si="91"/>
        <v>1760</v>
      </c>
      <c r="AO119" s="387">
        <f t="shared" si="92"/>
        <v>1760</v>
      </c>
      <c r="AP119" s="387">
        <v>5280</v>
      </c>
      <c r="AQ119" s="387">
        <v>0</v>
      </c>
      <c r="AR119" s="387">
        <v>0</v>
      </c>
      <c r="AS119" s="387">
        <v>0</v>
      </c>
      <c r="AT119" s="387">
        <v>0</v>
      </c>
      <c r="AU119" s="391">
        <f t="shared" si="89"/>
        <v>15502.76</v>
      </c>
      <c r="AW119" s="76"/>
    </row>
    <row r="120" spans="2:49" ht="15.75" thickBot="1" x14ac:dyDescent="0.3">
      <c r="B120" s="508">
        <f t="shared" si="90"/>
        <v>97</v>
      </c>
      <c r="C120" s="518"/>
      <c r="D120" s="408" t="s">
        <v>63</v>
      </c>
      <c r="E120" s="412">
        <v>71.400000000000006</v>
      </c>
      <c r="F120" s="410">
        <v>3</v>
      </c>
      <c r="G120" s="489">
        <f t="shared" si="60"/>
        <v>6640.2000000000007</v>
      </c>
      <c r="H120" s="410">
        <v>3</v>
      </c>
      <c r="I120" s="489">
        <f t="shared" si="81"/>
        <v>5997.6</v>
      </c>
      <c r="J120" s="410"/>
      <c r="K120" s="486"/>
      <c r="L120" s="410"/>
      <c r="M120" s="486"/>
      <c r="N120" s="410"/>
      <c r="O120" s="486"/>
      <c r="P120" s="410"/>
      <c r="Q120" s="486"/>
      <c r="R120" s="410"/>
      <c r="S120" s="486"/>
      <c r="T120" s="410"/>
      <c r="U120" s="486"/>
      <c r="V120" s="410"/>
      <c r="W120" s="486"/>
      <c r="X120" s="410"/>
      <c r="Y120" s="486"/>
      <c r="Z120" s="388"/>
      <c r="AA120" s="486"/>
      <c r="AB120" s="388"/>
      <c r="AC120" s="504"/>
      <c r="AD120" s="432"/>
      <c r="AE120" s="413"/>
      <c r="AF120" s="387"/>
      <c r="AG120" s="413"/>
      <c r="AH120" s="387"/>
      <c r="AI120" s="413"/>
      <c r="AJ120" s="387"/>
      <c r="AK120" s="413"/>
      <c r="AL120" s="387"/>
      <c r="AM120" s="387"/>
      <c r="AN120" s="387"/>
      <c r="AO120" s="387"/>
      <c r="AP120" s="387"/>
      <c r="AQ120" s="387"/>
      <c r="AR120" s="387"/>
      <c r="AS120" s="387"/>
      <c r="AT120" s="387"/>
      <c r="AU120" s="391"/>
    </row>
    <row r="121" spans="2:49" ht="15.75" thickBot="1" x14ac:dyDescent="0.3">
      <c r="B121" s="508">
        <f t="shared" si="90"/>
        <v>98</v>
      </c>
      <c r="C121" s="518"/>
      <c r="D121" s="408" t="s">
        <v>38</v>
      </c>
      <c r="E121" s="412">
        <v>78.25</v>
      </c>
      <c r="F121" s="410">
        <v>2</v>
      </c>
      <c r="G121" s="489">
        <f t="shared" si="60"/>
        <v>4851.5</v>
      </c>
      <c r="H121" s="410">
        <v>2</v>
      </c>
      <c r="I121" s="489">
        <f t="shared" si="81"/>
        <v>4382</v>
      </c>
      <c r="J121" s="410"/>
      <c r="K121" s="486"/>
      <c r="L121" s="410"/>
      <c r="M121" s="486"/>
      <c r="N121" s="410"/>
      <c r="O121" s="486"/>
      <c r="P121" s="410"/>
      <c r="Q121" s="486"/>
      <c r="R121" s="410"/>
      <c r="S121" s="486"/>
      <c r="T121" s="410"/>
      <c r="U121" s="486"/>
      <c r="V121" s="410"/>
      <c r="W121" s="486"/>
      <c r="X121" s="410"/>
      <c r="Y121" s="486"/>
      <c r="Z121" s="388"/>
      <c r="AA121" s="486"/>
      <c r="AB121" s="388"/>
      <c r="AC121" s="504"/>
      <c r="AD121" s="432">
        <f t="shared" si="82"/>
        <v>1320</v>
      </c>
      <c r="AE121" s="413">
        <v>110</v>
      </c>
      <c r="AF121" s="387">
        <f t="shared" si="83"/>
        <v>1320</v>
      </c>
      <c r="AG121" s="413">
        <v>110</v>
      </c>
      <c r="AH121" s="387">
        <f t="shared" si="84"/>
        <v>1320</v>
      </c>
      <c r="AI121" s="413">
        <v>110</v>
      </c>
      <c r="AJ121" s="387">
        <f t="shared" si="85"/>
        <v>1320</v>
      </c>
      <c r="AK121" s="413">
        <v>110</v>
      </c>
      <c r="AL121" s="387">
        <f t="shared" ref="AL121:AL124" si="103">+AP121*12</f>
        <v>42240</v>
      </c>
      <c r="AM121" s="387">
        <f t="shared" si="87"/>
        <v>3520</v>
      </c>
      <c r="AN121" s="387">
        <f t="shared" si="91"/>
        <v>3520</v>
      </c>
      <c r="AO121" s="387">
        <f t="shared" si="92"/>
        <v>3520</v>
      </c>
      <c r="AP121" s="387">
        <v>3520</v>
      </c>
      <c r="AQ121" s="387">
        <v>0</v>
      </c>
      <c r="AR121" s="387">
        <v>0</v>
      </c>
      <c r="AS121" s="387">
        <v>0</v>
      </c>
      <c r="AT121" s="387">
        <v>0</v>
      </c>
      <c r="AU121" s="391">
        <f t="shared" ref="AU121:AU124" si="104">+G121+I121+K121+M121+O121+Q121+S121+AN121+AI121+U121+W121+Y121+AA121+AC121+AE121+AG121+AM121+AO121+AQ121+AR121+AS121+AT121+AK121+AP121</f>
        <v>23753.5</v>
      </c>
    </row>
    <row r="122" spans="2:49" ht="15.75" thickBot="1" x14ac:dyDescent="0.3">
      <c r="B122" s="508">
        <f t="shared" si="90"/>
        <v>99</v>
      </c>
      <c r="C122" s="518"/>
      <c r="D122" s="408" t="s">
        <v>31</v>
      </c>
      <c r="E122" s="412">
        <v>71.400000000000006</v>
      </c>
      <c r="F122" s="410">
        <v>1</v>
      </c>
      <c r="G122" s="489">
        <f t="shared" si="60"/>
        <v>2213.4</v>
      </c>
      <c r="H122" s="410">
        <v>1</v>
      </c>
      <c r="I122" s="489">
        <f t="shared" si="81"/>
        <v>1999.2000000000003</v>
      </c>
      <c r="J122" s="410"/>
      <c r="K122" s="486"/>
      <c r="L122" s="410"/>
      <c r="M122" s="486"/>
      <c r="N122" s="410"/>
      <c r="O122" s="486"/>
      <c r="P122" s="410"/>
      <c r="Q122" s="486"/>
      <c r="R122" s="410"/>
      <c r="S122" s="486"/>
      <c r="T122" s="410"/>
      <c r="U122" s="486"/>
      <c r="V122" s="410"/>
      <c r="W122" s="486"/>
      <c r="X122" s="410"/>
      <c r="Y122" s="486"/>
      <c r="Z122" s="388"/>
      <c r="AA122" s="486"/>
      <c r="AB122" s="388"/>
      <c r="AC122" s="504"/>
      <c r="AD122" s="432">
        <f t="shared" si="82"/>
        <v>0</v>
      </c>
      <c r="AE122" s="413"/>
      <c r="AF122" s="387">
        <f t="shared" si="83"/>
        <v>0</v>
      </c>
      <c r="AG122" s="413"/>
      <c r="AH122" s="387">
        <f t="shared" si="84"/>
        <v>0</v>
      </c>
      <c r="AI122" s="413"/>
      <c r="AJ122" s="387">
        <f t="shared" si="85"/>
        <v>0</v>
      </c>
      <c r="AK122" s="413"/>
      <c r="AL122" s="387">
        <f t="shared" si="103"/>
        <v>21120</v>
      </c>
      <c r="AM122" s="387">
        <f t="shared" si="87"/>
        <v>1760</v>
      </c>
      <c r="AN122" s="387">
        <f t="shared" si="91"/>
        <v>1760</v>
      </c>
      <c r="AO122" s="387">
        <f t="shared" si="92"/>
        <v>1760</v>
      </c>
      <c r="AP122" s="387">
        <v>1760</v>
      </c>
      <c r="AQ122" s="387">
        <v>0</v>
      </c>
      <c r="AR122" s="387">
        <v>0</v>
      </c>
      <c r="AS122" s="387">
        <v>0</v>
      </c>
      <c r="AT122" s="387">
        <v>0</v>
      </c>
      <c r="AU122" s="391">
        <f t="shared" si="104"/>
        <v>11252.6</v>
      </c>
    </row>
    <row r="123" spans="2:49" ht="15.75" thickBot="1" x14ac:dyDescent="0.3">
      <c r="B123" s="508">
        <f t="shared" si="90"/>
        <v>100</v>
      </c>
      <c r="C123" s="518"/>
      <c r="D123" s="408" t="s">
        <v>53</v>
      </c>
      <c r="E123" s="412">
        <v>71.400000000000006</v>
      </c>
      <c r="F123" s="410">
        <v>7</v>
      </c>
      <c r="G123" s="489">
        <f t="shared" si="60"/>
        <v>15493.800000000003</v>
      </c>
      <c r="H123" s="410">
        <v>7</v>
      </c>
      <c r="I123" s="489">
        <f t="shared" si="81"/>
        <v>13994.400000000001</v>
      </c>
      <c r="J123" s="410"/>
      <c r="K123" s="486"/>
      <c r="L123" s="410"/>
      <c r="M123" s="486"/>
      <c r="N123" s="410"/>
      <c r="O123" s="486"/>
      <c r="P123" s="410"/>
      <c r="Q123" s="486"/>
      <c r="R123" s="410"/>
      <c r="S123" s="486"/>
      <c r="T123" s="410"/>
      <c r="U123" s="486"/>
      <c r="V123" s="410"/>
      <c r="W123" s="486"/>
      <c r="X123" s="410"/>
      <c r="Y123" s="486"/>
      <c r="Z123" s="388"/>
      <c r="AA123" s="486"/>
      <c r="AB123" s="388"/>
      <c r="AC123" s="504"/>
      <c r="AD123" s="432">
        <f t="shared" si="82"/>
        <v>0</v>
      </c>
      <c r="AE123" s="413"/>
      <c r="AF123" s="387">
        <f t="shared" si="83"/>
        <v>0</v>
      </c>
      <c r="AG123" s="413"/>
      <c r="AH123" s="387">
        <f t="shared" si="84"/>
        <v>0</v>
      </c>
      <c r="AI123" s="413"/>
      <c r="AJ123" s="387">
        <f t="shared" si="85"/>
        <v>0</v>
      </c>
      <c r="AK123" s="413"/>
      <c r="AL123" s="387">
        <f t="shared" si="103"/>
        <v>21120</v>
      </c>
      <c r="AM123" s="387">
        <f t="shared" si="87"/>
        <v>12320</v>
      </c>
      <c r="AN123" s="387">
        <f t="shared" si="91"/>
        <v>12320</v>
      </c>
      <c r="AO123" s="387">
        <f t="shared" si="92"/>
        <v>12320</v>
      </c>
      <c r="AP123" s="387">
        <v>1760</v>
      </c>
      <c r="AQ123" s="387">
        <v>0</v>
      </c>
      <c r="AR123" s="387">
        <v>0</v>
      </c>
      <c r="AS123" s="387">
        <v>0</v>
      </c>
      <c r="AT123" s="387">
        <v>0</v>
      </c>
      <c r="AU123" s="391">
        <f t="shared" si="104"/>
        <v>68208.200000000012</v>
      </c>
    </row>
    <row r="124" spans="2:49" ht="15.75" thickBot="1" x14ac:dyDescent="0.3">
      <c r="B124" s="508">
        <f t="shared" si="90"/>
        <v>101</v>
      </c>
      <c r="C124" s="519"/>
      <c r="D124" s="443" t="s">
        <v>54</v>
      </c>
      <c r="E124" s="470">
        <v>72.540000000000006</v>
      </c>
      <c r="F124" s="440">
        <v>2</v>
      </c>
      <c r="G124" s="490">
        <f t="shared" si="60"/>
        <v>4497.4800000000005</v>
      </c>
      <c r="H124" s="440">
        <v>2</v>
      </c>
      <c r="I124" s="490">
        <f t="shared" si="81"/>
        <v>4062.2400000000002</v>
      </c>
      <c r="J124" s="440"/>
      <c r="K124" s="487"/>
      <c r="L124" s="440"/>
      <c r="M124" s="487"/>
      <c r="N124" s="440"/>
      <c r="O124" s="487"/>
      <c r="P124" s="440"/>
      <c r="Q124" s="487"/>
      <c r="R124" s="440"/>
      <c r="S124" s="487"/>
      <c r="T124" s="440"/>
      <c r="U124" s="487"/>
      <c r="V124" s="440"/>
      <c r="W124" s="487"/>
      <c r="X124" s="440"/>
      <c r="Y124" s="487"/>
      <c r="Z124" s="439"/>
      <c r="AA124" s="487"/>
      <c r="AB124" s="439"/>
      <c r="AC124" s="505"/>
      <c r="AD124" s="432">
        <f t="shared" si="82"/>
        <v>3900</v>
      </c>
      <c r="AE124" s="413">
        <v>325</v>
      </c>
      <c r="AF124" s="387">
        <f t="shared" si="83"/>
        <v>3900</v>
      </c>
      <c r="AG124" s="413">
        <v>325</v>
      </c>
      <c r="AH124" s="387">
        <f t="shared" si="84"/>
        <v>3900</v>
      </c>
      <c r="AI124" s="413">
        <v>325</v>
      </c>
      <c r="AJ124" s="387">
        <f t="shared" si="85"/>
        <v>3900</v>
      </c>
      <c r="AK124" s="413">
        <v>325</v>
      </c>
      <c r="AL124" s="387">
        <f t="shared" si="103"/>
        <v>295680</v>
      </c>
      <c r="AM124" s="387">
        <f t="shared" si="87"/>
        <v>3520</v>
      </c>
      <c r="AN124" s="387">
        <f>(1760*H124)+(1510/31*9)+(250/31*9)</f>
        <v>4030.9677419354839</v>
      </c>
      <c r="AO124" s="387">
        <f t="shared" si="92"/>
        <v>3520</v>
      </c>
      <c r="AP124" s="387">
        <v>24640</v>
      </c>
      <c r="AQ124" s="387">
        <v>0</v>
      </c>
      <c r="AR124" s="387">
        <v>0</v>
      </c>
      <c r="AS124" s="387">
        <v>0</v>
      </c>
      <c r="AT124" s="387">
        <v>0</v>
      </c>
      <c r="AU124" s="391">
        <f t="shared" si="104"/>
        <v>45570.687741935486</v>
      </c>
    </row>
    <row r="125" spans="2:49" ht="15" customHeight="1" thickBot="1" x14ac:dyDescent="0.3">
      <c r="B125" s="524" t="s">
        <v>88</v>
      </c>
      <c r="C125" s="532"/>
      <c r="D125" s="532"/>
      <c r="E125" s="532"/>
      <c r="F125" s="532"/>
      <c r="G125" s="532"/>
      <c r="H125" s="532"/>
      <c r="I125" s="532"/>
      <c r="J125" s="532"/>
      <c r="K125" s="532"/>
      <c r="L125" s="532"/>
      <c r="M125" s="532"/>
      <c r="N125" s="532"/>
      <c r="O125" s="532"/>
      <c r="P125" s="532"/>
      <c r="Q125" s="532"/>
      <c r="R125" s="532"/>
      <c r="S125" s="532"/>
      <c r="T125" s="532"/>
      <c r="U125" s="532"/>
      <c r="V125" s="532"/>
      <c r="W125" s="532"/>
      <c r="X125" s="532"/>
      <c r="Y125" s="532"/>
      <c r="Z125" s="532"/>
      <c r="AA125" s="532"/>
      <c r="AB125" s="532"/>
      <c r="AC125" s="532"/>
      <c r="AD125" s="533"/>
      <c r="AE125" s="533"/>
      <c r="AF125" s="533"/>
      <c r="AG125" s="533"/>
      <c r="AH125" s="533"/>
      <c r="AI125" s="533"/>
      <c r="AJ125" s="533"/>
      <c r="AK125" s="533"/>
      <c r="AL125" s="533"/>
      <c r="AM125" s="533"/>
      <c r="AN125" s="533"/>
      <c r="AO125" s="533"/>
      <c r="AP125" s="533"/>
      <c r="AQ125" s="533"/>
      <c r="AR125" s="533"/>
      <c r="AS125" s="533"/>
      <c r="AT125" s="533"/>
      <c r="AU125" s="534"/>
    </row>
    <row r="126" spans="2:49" ht="16.5" customHeight="1" thickBot="1" x14ac:dyDescent="0.3">
      <c r="B126" s="471">
        <f>+B124+1</f>
        <v>102</v>
      </c>
      <c r="C126" s="517" t="s">
        <v>44</v>
      </c>
      <c r="D126" s="433" t="s">
        <v>43</v>
      </c>
      <c r="E126" s="469">
        <v>72.540000000000006</v>
      </c>
      <c r="F126" s="403">
        <v>7</v>
      </c>
      <c r="G126" s="488">
        <f t="shared" si="60"/>
        <v>15741.18</v>
      </c>
      <c r="H126" s="403">
        <v>7</v>
      </c>
      <c r="I126" s="488">
        <f t="shared" si="81"/>
        <v>14217.84</v>
      </c>
      <c r="J126" s="403"/>
      <c r="K126" s="485"/>
      <c r="L126" s="403"/>
      <c r="M126" s="485"/>
      <c r="N126" s="403"/>
      <c r="O126" s="485"/>
      <c r="P126" s="403"/>
      <c r="Q126" s="485"/>
      <c r="R126" s="403"/>
      <c r="S126" s="485"/>
      <c r="T126" s="403"/>
      <c r="U126" s="485"/>
      <c r="V126" s="403"/>
      <c r="W126" s="485"/>
      <c r="X126" s="403"/>
      <c r="Y126" s="485"/>
      <c r="Z126" s="405"/>
      <c r="AA126" s="485"/>
      <c r="AB126" s="405"/>
      <c r="AC126" s="503"/>
      <c r="AD126" s="432">
        <f t="shared" ref="AD126:AD154" si="105">+AE126*12</f>
        <v>5100</v>
      </c>
      <c r="AE126" s="413">
        <v>425</v>
      </c>
      <c r="AF126" s="387">
        <f t="shared" ref="AF126:AF136" si="106">+AG126*12</f>
        <v>5100</v>
      </c>
      <c r="AG126" s="413">
        <v>425</v>
      </c>
      <c r="AH126" s="387">
        <f t="shared" ref="AH126:AH136" si="107">+AI126*12</f>
        <v>5100</v>
      </c>
      <c r="AI126" s="413">
        <v>425</v>
      </c>
      <c r="AJ126" s="387">
        <f t="shared" ref="AJ126:AJ136" si="108">+AK126*12</f>
        <v>5100</v>
      </c>
      <c r="AK126" s="413">
        <v>425</v>
      </c>
      <c r="AL126" s="387">
        <f>+AP126*12</f>
        <v>147840</v>
      </c>
      <c r="AM126" s="387">
        <f t="shared" ref="AM126:AM136" si="109">1760*F126</f>
        <v>12320</v>
      </c>
      <c r="AN126" s="387">
        <f t="shared" ref="AN126:AN136" si="110">1760*H126</f>
        <v>12320</v>
      </c>
      <c r="AO126" s="387">
        <v>12320</v>
      </c>
      <c r="AP126" s="387">
        <v>12320</v>
      </c>
      <c r="AQ126" s="387">
        <v>0</v>
      </c>
      <c r="AR126" s="387">
        <v>0</v>
      </c>
      <c r="AS126" s="387">
        <v>0</v>
      </c>
      <c r="AT126" s="387">
        <v>0</v>
      </c>
      <c r="AU126" s="391">
        <f>+G126+I126+K126+M126+O126+Q126+S126+AN126+AI126+U126+W126+Y126+AA126+AC126+AE126+AG126+AM126+AO126+AQ126+AR126+AS126+AT126+AK126+AP126</f>
        <v>80939.02</v>
      </c>
    </row>
    <row r="127" spans="2:49" ht="16.5" customHeight="1" thickBot="1" x14ac:dyDescent="0.3">
      <c r="B127" s="507">
        <f t="shared" ref="B127:B137" si="111">+B126+1</f>
        <v>103</v>
      </c>
      <c r="C127" s="518"/>
      <c r="D127" s="427" t="s">
        <v>46</v>
      </c>
      <c r="E127" s="412">
        <v>74.63</v>
      </c>
      <c r="F127" s="410">
        <v>1</v>
      </c>
      <c r="G127" s="489">
        <f t="shared" si="60"/>
        <v>2313.5299999999997</v>
      </c>
      <c r="H127" s="410">
        <v>1</v>
      </c>
      <c r="I127" s="489">
        <f t="shared" si="81"/>
        <v>2089.64</v>
      </c>
      <c r="J127" s="410"/>
      <c r="K127" s="486"/>
      <c r="L127" s="410"/>
      <c r="M127" s="486"/>
      <c r="N127" s="410"/>
      <c r="O127" s="486"/>
      <c r="P127" s="410"/>
      <c r="Q127" s="486"/>
      <c r="R127" s="410"/>
      <c r="S127" s="486"/>
      <c r="T127" s="410"/>
      <c r="U127" s="486"/>
      <c r="V127" s="410"/>
      <c r="W127" s="486"/>
      <c r="X127" s="410"/>
      <c r="Y127" s="486"/>
      <c r="Z127" s="388"/>
      <c r="AA127" s="486"/>
      <c r="AB127" s="388"/>
      <c r="AC127" s="504"/>
      <c r="AD127" s="432">
        <f t="shared" si="105"/>
        <v>6300</v>
      </c>
      <c r="AE127" s="413">
        <v>525</v>
      </c>
      <c r="AF127" s="387">
        <f t="shared" si="106"/>
        <v>6300</v>
      </c>
      <c r="AG127" s="413">
        <v>525</v>
      </c>
      <c r="AH127" s="387">
        <f t="shared" si="107"/>
        <v>6300</v>
      </c>
      <c r="AI127" s="413">
        <v>525</v>
      </c>
      <c r="AJ127" s="387">
        <f t="shared" si="108"/>
        <v>6300</v>
      </c>
      <c r="AK127" s="413">
        <v>525</v>
      </c>
      <c r="AL127" s="387">
        <f>+AP127*12</f>
        <v>147840</v>
      </c>
      <c r="AM127" s="387">
        <f t="shared" si="109"/>
        <v>1760</v>
      </c>
      <c r="AN127" s="387">
        <f t="shared" si="110"/>
        <v>1760</v>
      </c>
      <c r="AO127" s="387">
        <v>12320</v>
      </c>
      <c r="AP127" s="387">
        <v>12320</v>
      </c>
      <c r="AQ127" s="387">
        <v>0</v>
      </c>
      <c r="AR127" s="387">
        <v>0</v>
      </c>
      <c r="AS127" s="387">
        <v>0</v>
      </c>
      <c r="AT127" s="387">
        <v>0</v>
      </c>
      <c r="AU127" s="391">
        <f>+G127+I127+K127+M127+O127+Q127+S127+AN127+AI127+U127+W127+Y127+AA127+AC127+AE127+AG127+AM127+AO127+AQ127+AR127+AS127+AT127+AK127+AP127</f>
        <v>34663.17</v>
      </c>
    </row>
    <row r="128" spans="2:49" ht="16.5" customHeight="1" thickBot="1" x14ac:dyDescent="0.3">
      <c r="B128" s="507">
        <f t="shared" si="111"/>
        <v>104</v>
      </c>
      <c r="C128" s="518"/>
      <c r="D128" s="427" t="s">
        <v>71</v>
      </c>
      <c r="E128" s="412">
        <v>71.400000000000006</v>
      </c>
      <c r="F128" s="410">
        <v>7</v>
      </c>
      <c r="G128" s="489">
        <f t="shared" si="60"/>
        <v>15493.800000000003</v>
      </c>
      <c r="H128" s="410">
        <v>7</v>
      </c>
      <c r="I128" s="489">
        <f t="shared" si="81"/>
        <v>13994.400000000001</v>
      </c>
      <c r="J128" s="410"/>
      <c r="K128" s="486"/>
      <c r="L128" s="410"/>
      <c r="M128" s="486"/>
      <c r="N128" s="410"/>
      <c r="O128" s="486"/>
      <c r="P128" s="410"/>
      <c r="Q128" s="486"/>
      <c r="R128" s="410"/>
      <c r="S128" s="486"/>
      <c r="T128" s="410"/>
      <c r="U128" s="486"/>
      <c r="V128" s="410"/>
      <c r="W128" s="486"/>
      <c r="X128" s="410"/>
      <c r="Y128" s="486"/>
      <c r="Z128" s="388"/>
      <c r="AA128" s="486"/>
      <c r="AB128" s="388"/>
      <c r="AC128" s="504"/>
      <c r="AD128" s="432"/>
      <c r="AE128" s="413"/>
      <c r="AF128" s="387"/>
      <c r="AG128" s="413"/>
      <c r="AH128" s="387"/>
      <c r="AI128" s="413"/>
      <c r="AJ128" s="387"/>
      <c r="AK128" s="413"/>
      <c r="AL128" s="387"/>
      <c r="AM128" s="387"/>
      <c r="AN128" s="387"/>
      <c r="AO128" s="387"/>
      <c r="AP128" s="387"/>
      <c r="AQ128" s="387"/>
      <c r="AR128" s="387"/>
      <c r="AS128" s="387"/>
      <c r="AT128" s="387"/>
      <c r="AU128" s="391"/>
    </row>
    <row r="129" spans="2:49" ht="16.5" customHeight="1" thickBot="1" x14ac:dyDescent="0.3">
      <c r="B129" s="507">
        <f t="shared" si="111"/>
        <v>105</v>
      </c>
      <c r="C129" s="518"/>
      <c r="D129" s="427" t="s">
        <v>34</v>
      </c>
      <c r="E129" s="412">
        <v>71.400000000000006</v>
      </c>
      <c r="F129" s="410">
        <v>9</v>
      </c>
      <c r="G129" s="489">
        <f t="shared" si="60"/>
        <v>19920.600000000002</v>
      </c>
      <c r="H129" s="410">
        <v>9</v>
      </c>
      <c r="I129" s="489">
        <f t="shared" si="81"/>
        <v>17992.8</v>
      </c>
      <c r="J129" s="410"/>
      <c r="K129" s="486"/>
      <c r="L129" s="410"/>
      <c r="M129" s="486"/>
      <c r="N129" s="410"/>
      <c r="O129" s="486"/>
      <c r="P129" s="410"/>
      <c r="Q129" s="486"/>
      <c r="R129" s="410"/>
      <c r="S129" s="486"/>
      <c r="T129" s="410"/>
      <c r="U129" s="486"/>
      <c r="V129" s="410"/>
      <c r="W129" s="486"/>
      <c r="X129" s="410"/>
      <c r="Y129" s="486"/>
      <c r="Z129" s="388"/>
      <c r="AA129" s="486"/>
      <c r="AB129" s="388"/>
      <c r="AC129" s="504"/>
      <c r="AD129" s="432">
        <f t="shared" si="105"/>
        <v>0</v>
      </c>
      <c r="AE129" s="387">
        <v>0</v>
      </c>
      <c r="AF129" s="387">
        <f t="shared" si="106"/>
        <v>0</v>
      </c>
      <c r="AG129" s="387">
        <v>0</v>
      </c>
      <c r="AH129" s="387">
        <f t="shared" si="107"/>
        <v>0</v>
      </c>
      <c r="AI129" s="387">
        <v>0</v>
      </c>
      <c r="AJ129" s="387">
        <f t="shared" si="108"/>
        <v>0</v>
      </c>
      <c r="AK129" s="387"/>
      <c r="AL129" s="387">
        <f>+AP129*12</f>
        <v>0</v>
      </c>
      <c r="AM129" s="387">
        <f t="shared" si="109"/>
        <v>15840</v>
      </c>
      <c r="AN129" s="387">
        <f t="shared" si="110"/>
        <v>15840</v>
      </c>
      <c r="AO129" s="387">
        <v>1760</v>
      </c>
      <c r="AP129" s="387"/>
      <c r="AQ129" s="387">
        <v>0</v>
      </c>
      <c r="AR129" s="387">
        <v>0</v>
      </c>
      <c r="AS129" s="387">
        <v>0</v>
      </c>
      <c r="AT129" s="387">
        <v>0</v>
      </c>
      <c r="AU129" s="391">
        <f>+G129+I129+K129+M129+O129+Q129+S129+AN129+AI129+U129+W129+Y129+AA129+AC129+AE129+AG129+AM129+AO129+AQ129+AR129+AS129+AT129+AK129+AP129</f>
        <v>71353.399999999994</v>
      </c>
    </row>
    <row r="130" spans="2:49" ht="16.5" customHeight="1" thickBot="1" x14ac:dyDescent="0.3">
      <c r="B130" s="507">
        <f t="shared" si="111"/>
        <v>106</v>
      </c>
      <c r="C130" s="518"/>
      <c r="D130" s="427" t="s">
        <v>66</v>
      </c>
      <c r="E130" s="412">
        <v>73.59</v>
      </c>
      <c r="F130" s="410">
        <v>1</v>
      </c>
      <c r="G130" s="489">
        <f t="shared" si="60"/>
        <v>2281.29</v>
      </c>
      <c r="H130" s="410">
        <v>1</v>
      </c>
      <c r="I130" s="489">
        <f t="shared" si="81"/>
        <v>2060.52</v>
      </c>
      <c r="J130" s="410"/>
      <c r="K130" s="486"/>
      <c r="L130" s="410"/>
      <c r="M130" s="486"/>
      <c r="N130" s="410"/>
      <c r="O130" s="486"/>
      <c r="P130" s="410"/>
      <c r="Q130" s="486"/>
      <c r="R130" s="410"/>
      <c r="S130" s="486"/>
      <c r="T130" s="410"/>
      <c r="U130" s="486"/>
      <c r="V130" s="410"/>
      <c r="W130" s="486"/>
      <c r="X130" s="410"/>
      <c r="Y130" s="486"/>
      <c r="Z130" s="388"/>
      <c r="AA130" s="486"/>
      <c r="AB130" s="388"/>
      <c r="AC130" s="504"/>
      <c r="AD130" s="432"/>
      <c r="AE130" s="413"/>
      <c r="AF130" s="387"/>
      <c r="AG130" s="413"/>
      <c r="AH130" s="387"/>
      <c r="AI130" s="413"/>
      <c r="AJ130" s="387"/>
      <c r="AK130" s="413"/>
      <c r="AL130" s="387"/>
      <c r="AM130" s="387"/>
      <c r="AN130" s="387"/>
      <c r="AO130" s="387"/>
      <c r="AP130" s="387"/>
      <c r="AQ130" s="387"/>
      <c r="AR130" s="387"/>
      <c r="AS130" s="387"/>
      <c r="AT130" s="387"/>
      <c r="AU130" s="391"/>
    </row>
    <row r="131" spans="2:49" ht="16.5" customHeight="1" thickBot="1" x14ac:dyDescent="0.3">
      <c r="B131" s="507">
        <f t="shared" si="111"/>
        <v>107</v>
      </c>
      <c r="C131" s="518"/>
      <c r="D131" s="427" t="s">
        <v>51</v>
      </c>
      <c r="E131" s="412">
        <v>72.540000000000006</v>
      </c>
      <c r="F131" s="410">
        <v>1</v>
      </c>
      <c r="G131" s="489">
        <f t="shared" si="60"/>
        <v>2248.7400000000002</v>
      </c>
      <c r="H131" s="410">
        <v>1</v>
      </c>
      <c r="I131" s="489">
        <f t="shared" si="81"/>
        <v>2031.1200000000001</v>
      </c>
      <c r="J131" s="410"/>
      <c r="K131" s="486"/>
      <c r="L131" s="410"/>
      <c r="M131" s="486"/>
      <c r="N131" s="410"/>
      <c r="O131" s="486"/>
      <c r="P131" s="410"/>
      <c r="Q131" s="486"/>
      <c r="R131" s="410"/>
      <c r="S131" s="486"/>
      <c r="T131" s="410"/>
      <c r="U131" s="486"/>
      <c r="V131" s="410"/>
      <c r="W131" s="486"/>
      <c r="X131" s="410"/>
      <c r="Y131" s="486"/>
      <c r="Z131" s="388"/>
      <c r="AA131" s="486"/>
      <c r="AB131" s="388"/>
      <c r="AC131" s="504"/>
      <c r="AD131" s="432"/>
      <c r="AE131" s="413"/>
      <c r="AF131" s="387"/>
      <c r="AG131" s="413"/>
      <c r="AH131" s="387"/>
      <c r="AI131" s="413"/>
      <c r="AJ131" s="387"/>
      <c r="AK131" s="413"/>
      <c r="AL131" s="387"/>
      <c r="AM131" s="387"/>
      <c r="AN131" s="387"/>
      <c r="AO131" s="387"/>
      <c r="AP131" s="387"/>
      <c r="AQ131" s="387"/>
      <c r="AR131" s="387"/>
      <c r="AS131" s="387"/>
      <c r="AT131" s="387"/>
      <c r="AU131" s="391"/>
    </row>
    <row r="132" spans="2:49" ht="16.5" customHeight="1" thickBot="1" x14ac:dyDescent="0.3">
      <c r="B132" s="507">
        <f t="shared" si="111"/>
        <v>108</v>
      </c>
      <c r="C132" s="518"/>
      <c r="D132" s="427" t="s">
        <v>37</v>
      </c>
      <c r="E132" s="412">
        <v>71.400000000000006</v>
      </c>
      <c r="F132" s="410">
        <v>2</v>
      </c>
      <c r="G132" s="489">
        <f t="shared" si="60"/>
        <v>4426.8</v>
      </c>
      <c r="H132" s="410">
        <v>2</v>
      </c>
      <c r="I132" s="489">
        <f t="shared" si="81"/>
        <v>3998.4000000000005</v>
      </c>
      <c r="J132" s="410"/>
      <c r="K132" s="486"/>
      <c r="L132" s="410"/>
      <c r="M132" s="486"/>
      <c r="N132" s="410"/>
      <c r="O132" s="486"/>
      <c r="P132" s="410"/>
      <c r="Q132" s="486"/>
      <c r="R132" s="410"/>
      <c r="S132" s="486"/>
      <c r="T132" s="410"/>
      <c r="U132" s="486"/>
      <c r="V132" s="410"/>
      <c r="W132" s="486"/>
      <c r="X132" s="410"/>
      <c r="Y132" s="486"/>
      <c r="Z132" s="388"/>
      <c r="AA132" s="486"/>
      <c r="AB132" s="388"/>
      <c r="AC132" s="504"/>
      <c r="AD132" s="432"/>
      <c r="AE132" s="413"/>
      <c r="AF132" s="387"/>
      <c r="AG132" s="413"/>
      <c r="AH132" s="387"/>
      <c r="AI132" s="413"/>
      <c r="AJ132" s="387"/>
      <c r="AK132" s="413"/>
      <c r="AL132" s="387"/>
      <c r="AM132" s="387"/>
      <c r="AN132" s="387"/>
      <c r="AO132" s="387"/>
      <c r="AP132" s="387"/>
      <c r="AQ132" s="387"/>
      <c r="AR132" s="387"/>
      <c r="AS132" s="387"/>
      <c r="AT132" s="387"/>
      <c r="AU132" s="391"/>
    </row>
    <row r="133" spans="2:49" ht="16.5" customHeight="1" thickBot="1" x14ac:dyDescent="0.3">
      <c r="B133" s="507">
        <f t="shared" si="111"/>
        <v>109</v>
      </c>
      <c r="C133" s="518"/>
      <c r="D133" s="427" t="s">
        <v>38</v>
      </c>
      <c r="E133" s="412">
        <v>78.25</v>
      </c>
      <c r="F133" s="410">
        <v>1</v>
      </c>
      <c r="G133" s="489">
        <f t="shared" si="60"/>
        <v>2425.75</v>
      </c>
      <c r="H133" s="410">
        <v>1</v>
      </c>
      <c r="I133" s="489">
        <f t="shared" si="81"/>
        <v>2191</v>
      </c>
      <c r="J133" s="410"/>
      <c r="K133" s="486"/>
      <c r="L133" s="410"/>
      <c r="M133" s="486"/>
      <c r="N133" s="410"/>
      <c r="O133" s="486"/>
      <c r="P133" s="410"/>
      <c r="Q133" s="486"/>
      <c r="R133" s="410"/>
      <c r="S133" s="486"/>
      <c r="T133" s="410"/>
      <c r="U133" s="486"/>
      <c r="V133" s="410"/>
      <c r="W133" s="486"/>
      <c r="X133" s="410"/>
      <c r="Y133" s="486"/>
      <c r="Z133" s="388"/>
      <c r="AA133" s="486"/>
      <c r="AB133" s="388"/>
      <c r="AC133" s="504"/>
      <c r="AD133" s="432"/>
      <c r="AE133" s="413"/>
      <c r="AF133" s="387"/>
      <c r="AG133" s="413"/>
      <c r="AH133" s="387"/>
      <c r="AI133" s="413"/>
      <c r="AJ133" s="387"/>
      <c r="AK133" s="413"/>
      <c r="AL133" s="387"/>
      <c r="AM133" s="387"/>
      <c r="AN133" s="387"/>
      <c r="AO133" s="387"/>
      <c r="AP133" s="387"/>
      <c r="AQ133" s="387"/>
      <c r="AR133" s="387"/>
      <c r="AS133" s="387"/>
      <c r="AT133" s="387"/>
      <c r="AU133" s="391"/>
    </row>
    <row r="134" spans="2:49" ht="16.5" customHeight="1" thickBot="1" x14ac:dyDescent="0.3">
      <c r="B134" s="507">
        <f t="shared" si="111"/>
        <v>110</v>
      </c>
      <c r="C134" s="518"/>
      <c r="D134" s="427" t="s">
        <v>31</v>
      </c>
      <c r="E134" s="412">
        <v>71.400000000000006</v>
      </c>
      <c r="F134" s="410">
        <v>17</v>
      </c>
      <c r="G134" s="489">
        <f t="shared" si="60"/>
        <v>37627.800000000003</v>
      </c>
      <c r="H134" s="410">
        <v>17</v>
      </c>
      <c r="I134" s="489">
        <f t="shared" si="81"/>
        <v>33986.400000000009</v>
      </c>
      <c r="J134" s="410"/>
      <c r="K134" s="486"/>
      <c r="L134" s="410"/>
      <c r="M134" s="486"/>
      <c r="N134" s="410"/>
      <c r="O134" s="486"/>
      <c r="P134" s="410"/>
      <c r="Q134" s="486"/>
      <c r="R134" s="410"/>
      <c r="S134" s="486"/>
      <c r="T134" s="410"/>
      <c r="U134" s="486"/>
      <c r="V134" s="410"/>
      <c r="W134" s="486"/>
      <c r="X134" s="410"/>
      <c r="Y134" s="486"/>
      <c r="Z134" s="388"/>
      <c r="AA134" s="486"/>
      <c r="AB134" s="388"/>
      <c r="AC134" s="504"/>
      <c r="AD134" s="432"/>
      <c r="AE134" s="413"/>
      <c r="AF134" s="387"/>
      <c r="AG134" s="413"/>
      <c r="AH134" s="387"/>
      <c r="AI134" s="413"/>
      <c r="AJ134" s="387"/>
      <c r="AK134" s="413"/>
      <c r="AL134" s="387"/>
      <c r="AM134" s="387"/>
      <c r="AN134" s="387"/>
      <c r="AO134" s="387"/>
      <c r="AP134" s="387"/>
      <c r="AQ134" s="387"/>
      <c r="AR134" s="387"/>
      <c r="AS134" s="387"/>
      <c r="AT134" s="387"/>
      <c r="AU134" s="391"/>
    </row>
    <row r="135" spans="2:49" ht="16.5" customHeight="1" thickBot="1" x14ac:dyDescent="0.3">
      <c r="B135" s="512">
        <f>+B133+1</f>
        <v>110</v>
      </c>
      <c r="C135" s="535"/>
      <c r="D135" s="427" t="s">
        <v>53</v>
      </c>
      <c r="E135" s="412">
        <v>71.400000000000006</v>
      </c>
      <c r="F135" s="410">
        <v>1</v>
      </c>
      <c r="G135" s="489">
        <f t="shared" si="60"/>
        <v>2213.4</v>
      </c>
      <c r="H135" s="410">
        <v>1</v>
      </c>
      <c r="I135" s="489">
        <v>0</v>
      </c>
      <c r="J135" s="410"/>
      <c r="K135" s="486"/>
      <c r="L135" s="410"/>
      <c r="M135" s="486"/>
      <c r="N135" s="410"/>
      <c r="O135" s="486"/>
      <c r="P135" s="410"/>
      <c r="Q135" s="486"/>
      <c r="R135" s="410"/>
      <c r="S135" s="486"/>
      <c r="T135" s="410"/>
      <c r="U135" s="486"/>
      <c r="V135" s="410"/>
      <c r="W135" s="486"/>
      <c r="X135" s="410"/>
      <c r="Y135" s="486"/>
      <c r="Z135" s="388"/>
      <c r="AA135" s="486"/>
      <c r="AB135" s="388"/>
      <c r="AC135" s="504"/>
      <c r="AD135" s="432">
        <f t="shared" ref="AD135" si="112">+AE135*12</f>
        <v>900</v>
      </c>
      <c r="AE135" s="413">
        <v>75</v>
      </c>
      <c r="AF135" s="387">
        <f t="shared" ref="AF135" si="113">+AG135*12</f>
        <v>900</v>
      </c>
      <c r="AG135" s="413">
        <v>75</v>
      </c>
      <c r="AH135" s="387">
        <f t="shared" ref="AH135" si="114">+AI135*12</f>
        <v>900</v>
      </c>
      <c r="AI135" s="413">
        <v>75</v>
      </c>
      <c r="AJ135" s="387">
        <f t="shared" ref="AJ135" si="115">+AK135*12</f>
        <v>180</v>
      </c>
      <c r="AK135" s="413">
        <v>15</v>
      </c>
      <c r="AL135" s="387">
        <f>+AP135*12</f>
        <v>4224</v>
      </c>
      <c r="AM135" s="387">
        <f t="shared" ref="AM135" si="116">1760*F135</f>
        <v>1760</v>
      </c>
      <c r="AN135" s="387">
        <f t="shared" ref="AN135" si="117">1760*H135</f>
        <v>1760</v>
      </c>
      <c r="AO135" s="387">
        <v>1760</v>
      </c>
      <c r="AP135" s="387">
        <v>352</v>
      </c>
      <c r="AQ135" s="387">
        <v>0</v>
      </c>
      <c r="AR135" s="387">
        <v>0</v>
      </c>
      <c r="AS135" s="387">
        <v>0</v>
      </c>
      <c r="AT135" s="387">
        <v>0</v>
      </c>
      <c r="AU135" s="391">
        <f>+G135+I135+K135+M135+O135+Q135+S135+AN135+AI135+U135+W135+Y135+AA135+AC135+AE135+AG135+AM135+AO135+AQ135+AR135+AS135+AT135+AK135+AP135</f>
        <v>8085.4</v>
      </c>
    </row>
    <row r="136" spans="2:49" ht="16.5" customHeight="1" thickBot="1" x14ac:dyDescent="0.3">
      <c r="B136" s="507">
        <f>+B134+1</f>
        <v>111</v>
      </c>
      <c r="C136" s="519"/>
      <c r="D136" s="514" t="s">
        <v>53</v>
      </c>
      <c r="E136" s="492">
        <v>71.400000000000006</v>
      </c>
      <c r="F136" s="493">
        <v>70</v>
      </c>
      <c r="G136" s="515">
        <f t="shared" ref="G136" si="118">+F136*E136*31</f>
        <v>154938</v>
      </c>
      <c r="H136" s="493">
        <v>70</v>
      </c>
      <c r="I136" s="516">
        <f t="shared" si="81"/>
        <v>139944</v>
      </c>
      <c r="J136" s="493"/>
      <c r="K136" s="494"/>
      <c r="L136" s="493"/>
      <c r="M136" s="494"/>
      <c r="N136" s="493"/>
      <c r="O136" s="494"/>
      <c r="P136" s="493"/>
      <c r="Q136" s="494"/>
      <c r="R136" s="493"/>
      <c r="S136" s="494"/>
      <c r="T136" s="493"/>
      <c r="U136" s="494"/>
      <c r="V136" s="493"/>
      <c r="W136" s="494"/>
      <c r="X136" s="493"/>
      <c r="Y136" s="494"/>
      <c r="Z136" s="495"/>
      <c r="AA136" s="494"/>
      <c r="AB136" s="495"/>
      <c r="AC136" s="506"/>
      <c r="AD136" s="432">
        <f t="shared" si="105"/>
        <v>900</v>
      </c>
      <c r="AE136" s="413">
        <v>75</v>
      </c>
      <c r="AF136" s="387">
        <f t="shared" si="106"/>
        <v>900</v>
      </c>
      <c r="AG136" s="413">
        <v>75</v>
      </c>
      <c r="AH136" s="387">
        <f t="shared" si="107"/>
        <v>900</v>
      </c>
      <c r="AI136" s="413">
        <v>75</v>
      </c>
      <c r="AJ136" s="387">
        <f t="shared" si="108"/>
        <v>180</v>
      </c>
      <c r="AK136" s="413">
        <v>15</v>
      </c>
      <c r="AL136" s="387">
        <f>+AP136*12</f>
        <v>4224</v>
      </c>
      <c r="AM136" s="387">
        <f t="shared" si="109"/>
        <v>123200</v>
      </c>
      <c r="AN136" s="387">
        <f t="shared" si="110"/>
        <v>123200</v>
      </c>
      <c r="AO136" s="387">
        <v>1760</v>
      </c>
      <c r="AP136" s="387">
        <v>352</v>
      </c>
      <c r="AQ136" s="387">
        <v>0</v>
      </c>
      <c r="AR136" s="387">
        <v>0</v>
      </c>
      <c r="AS136" s="387">
        <v>0</v>
      </c>
      <c r="AT136" s="387">
        <v>0</v>
      </c>
      <c r="AU136" s="391">
        <f>+G136+I136+K136+M136+O136+Q136+S136+AN136+AI136+U136+W136+Y136+AA136+AC136+AE136+AG136+AM136+AO136+AQ136+AR136+AS136+AT136+AK136+AP136</f>
        <v>543634</v>
      </c>
    </row>
    <row r="137" spans="2:49" ht="15.75" thickBot="1" x14ac:dyDescent="0.3">
      <c r="B137" s="507">
        <f t="shared" si="111"/>
        <v>112</v>
      </c>
      <c r="C137" s="517" t="s">
        <v>80</v>
      </c>
      <c r="D137" s="468" t="s">
        <v>43</v>
      </c>
      <c r="E137" s="469">
        <v>72.540000000000006</v>
      </c>
      <c r="F137" s="403">
        <v>16</v>
      </c>
      <c r="G137" s="488">
        <f t="shared" si="60"/>
        <v>35979.840000000004</v>
      </c>
      <c r="H137" s="403">
        <v>16</v>
      </c>
      <c r="I137" s="485">
        <f t="shared" ref="I137:I154" si="119">+H137*E137*28</f>
        <v>32497.920000000002</v>
      </c>
      <c r="J137" s="403"/>
      <c r="K137" s="485"/>
      <c r="L137" s="403"/>
      <c r="M137" s="485"/>
      <c r="N137" s="403"/>
      <c r="O137" s="485"/>
      <c r="P137" s="403"/>
      <c r="Q137" s="485"/>
      <c r="R137" s="403"/>
      <c r="S137" s="485"/>
      <c r="T137" s="403"/>
      <c r="U137" s="485"/>
      <c r="V137" s="403"/>
      <c r="W137" s="485"/>
      <c r="X137" s="403"/>
      <c r="Y137" s="485"/>
      <c r="Z137" s="405"/>
      <c r="AA137" s="485"/>
      <c r="AB137" s="405"/>
      <c r="AC137" s="503"/>
      <c r="AD137" s="432">
        <f t="shared" si="105"/>
        <v>10800</v>
      </c>
      <c r="AE137" s="413">
        <v>900</v>
      </c>
      <c r="AF137" s="387">
        <f t="shared" ref="AF137:AF154" si="120">+AG137*12</f>
        <v>10800</v>
      </c>
      <c r="AG137" s="413">
        <v>900</v>
      </c>
      <c r="AH137" s="387">
        <f t="shared" ref="AH137:AH154" si="121">+AI137*12</f>
        <v>10800</v>
      </c>
      <c r="AI137" s="413">
        <v>900</v>
      </c>
      <c r="AJ137" s="387">
        <f t="shared" ref="AJ137:AJ139" si="122">+AK137*12</f>
        <v>10800</v>
      </c>
      <c r="AK137" s="413">
        <v>900</v>
      </c>
      <c r="AL137" s="387">
        <f t="shared" ref="AL137:AL150" si="123">+AP137*12</f>
        <v>359040</v>
      </c>
      <c r="AM137" s="387">
        <f>1760*F137</f>
        <v>28160</v>
      </c>
      <c r="AN137" s="387">
        <f>1760*H137</f>
        <v>28160</v>
      </c>
      <c r="AO137" s="387">
        <v>29920</v>
      </c>
      <c r="AP137" s="387">
        <v>29920</v>
      </c>
      <c r="AQ137" s="387">
        <v>0</v>
      </c>
      <c r="AR137" s="387">
        <v>0</v>
      </c>
      <c r="AS137" s="387">
        <v>0</v>
      </c>
      <c r="AT137" s="387">
        <v>0</v>
      </c>
      <c r="AU137" s="391">
        <f t="shared" ref="AU137:AU139" si="124">+G137+I137+K137+M137+O137+Q137+S137+AN137+AI137+U137+W137+Y137+AA137+AC137+AE137+AG137+AM137+AO137+AQ137+AR137+AS137+AT137+AK137+AP137</f>
        <v>188237.76</v>
      </c>
      <c r="AW137" s="76"/>
    </row>
    <row r="138" spans="2:49" ht="15.75" thickBot="1" x14ac:dyDescent="0.3">
      <c r="B138" s="471">
        <f>+B137+1</f>
        <v>113</v>
      </c>
      <c r="C138" s="518"/>
      <c r="D138" s="408" t="s">
        <v>43</v>
      </c>
      <c r="E138" s="412">
        <v>72.540000000000006</v>
      </c>
      <c r="F138" s="410">
        <v>1</v>
      </c>
      <c r="G138" s="489">
        <v>0</v>
      </c>
      <c r="H138" s="410">
        <v>1</v>
      </c>
      <c r="I138" s="486">
        <v>0</v>
      </c>
      <c r="J138" s="410"/>
      <c r="K138" s="486"/>
      <c r="L138" s="410"/>
      <c r="M138" s="486"/>
      <c r="N138" s="410"/>
      <c r="O138" s="486"/>
      <c r="P138" s="410"/>
      <c r="Q138" s="486"/>
      <c r="R138" s="410"/>
      <c r="S138" s="486"/>
      <c r="T138" s="410"/>
      <c r="U138" s="486"/>
      <c r="V138" s="410"/>
      <c r="W138" s="486"/>
      <c r="X138" s="410"/>
      <c r="Y138" s="486"/>
      <c r="Z138" s="388"/>
      <c r="AA138" s="486"/>
      <c r="AB138" s="388"/>
      <c r="AC138" s="504"/>
      <c r="AD138" s="432">
        <f t="shared" si="105"/>
        <v>9300</v>
      </c>
      <c r="AE138" s="413">
        <v>775</v>
      </c>
      <c r="AF138" s="387">
        <f t="shared" si="120"/>
        <v>9300</v>
      </c>
      <c r="AG138" s="413">
        <v>775</v>
      </c>
      <c r="AH138" s="387">
        <f t="shared" si="121"/>
        <v>9300</v>
      </c>
      <c r="AI138" s="413">
        <v>775</v>
      </c>
      <c r="AJ138" s="387">
        <f t="shared" si="122"/>
        <v>9300</v>
      </c>
      <c r="AK138" s="413">
        <v>775</v>
      </c>
      <c r="AL138" s="387">
        <f t="shared" si="123"/>
        <v>316800</v>
      </c>
      <c r="AM138" s="387">
        <f>1760*F138</f>
        <v>1760</v>
      </c>
      <c r="AN138" s="387">
        <f>1760*H138</f>
        <v>1760</v>
      </c>
      <c r="AO138" s="387">
        <v>26400</v>
      </c>
      <c r="AP138" s="387">
        <v>26400</v>
      </c>
      <c r="AQ138" s="387">
        <v>0</v>
      </c>
      <c r="AR138" s="387">
        <v>0</v>
      </c>
      <c r="AS138" s="387">
        <v>0</v>
      </c>
      <c r="AT138" s="387">
        <v>0</v>
      </c>
      <c r="AU138" s="391">
        <f t="shared" si="124"/>
        <v>59420</v>
      </c>
    </row>
    <row r="139" spans="2:49" ht="15.75" thickBot="1" x14ac:dyDescent="0.3">
      <c r="B139" s="471">
        <f t="shared" ref="B139:B154" si="125">+B138+1</f>
        <v>114</v>
      </c>
      <c r="C139" s="518"/>
      <c r="D139" s="408" t="s">
        <v>71</v>
      </c>
      <c r="E139" s="412">
        <v>71.400000000000006</v>
      </c>
      <c r="F139" s="410">
        <v>13</v>
      </c>
      <c r="G139" s="489">
        <f t="shared" si="60"/>
        <v>28774.2</v>
      </c>
      <c r="H139" s="410">
        <v>13</v>
      </c>
      <c r="I139" s="486">
        <f t="shared" si="119"/>
        <v>25989.600000000002</v>
      </c>
      <c r="J139" s="410"/>
      <c r="K139" s="486"/>
      <c r="L139" s="410"/>
      <c r="M139" s="486"/>
      <c r="N139" s="410"/>
      <c r="O139" s="486"/>
      <c r="P139" s="410"/>
      <c r="Q139" s="486"/>
      <c r="R139" s="410"/>
      <c r="S139" s="486"/>
      <c r="T139" s="410"/>
      <c r="U139" s="486"/>
      <c r="V139" s="410"/>
      <c r="W139" s="486"/>
      <c r="X139" s="410"/>
      <c r="Y139" s="486"/>
      <c r="Z139" s="388"/>
      <c r="AA139" s="486"/>
      <c r="AB139" s="388"/>
      <c r="AC139" s="504"/>
      <c r="AD139" s="432">
        <f t="shared" si="105"/>
        <v>0</v>
      </c>
      <c r="AE139" s="387">
        <v>0</v>
      </c>
      <c r="AF139" s="387">
        <f t="shared" si="120"/>
        <v>0</v>
      </c>
      <c r="AG139" s="387">
        <v>0</v>
      </c>
      <c r="AH139" s="387">
        <f t="shared" si="121"/>
        <v>0</v>
      </c>
      <c r="AI139" s="387">
        <v>0</v>
      </c>
      <c r="AJ139" s="387">
        <f t="shared" si="122"/>
        <v>0</v>
      </c>
      <c r="AK139" s="387">
        <v>0</v>
      </c>
      <c r="AL139" s="387">
        <f t="shared" si="123"/>
        <v>63360</v>
      </c>
      <c r="AM139" s="387">
        <f>1760*F139</f>
        <v>22880</v>
      </c>
      <c r="AN139" s="387">
        <f>1760*H139</f>
        <v>22880</v>
      </c>
      <c r="AO139" s="387">
        <v>5280</v>
      </c>
      <c r="AP139" s="387">
        <v>5280</v>
      </c>
      <c r="AQ139" s="387">
        <v>0</v>
      </c>
      <c r="AR139" s="387">
        <v>0</v>
      </c>
      <c r="AS139" s="387">
        <v>0</v>
      </c>
      <c r="AT139" s="387">
        <v>0</v>
      </c>
      <c r="AU139" s="391">
        <f t="shared" si="124"/>
        <v>111083.8</v>
      </c>
    </row>
    <row r="140" spans="2:49" ht="15.75" thickBot="1" x14ac:dyDescent="0.3">
      <c r="B140" s="471">
        <f t="shared" si="125"/>
        <v>115</v>
      </c>
      <c r="C140" s="518"/>
      <c r="D140" s="408" t="s">
        <v>47</v>
      </c>
      <c r="E140" s="412">
        <v>71.400000000000006</v>
      </c>
      <c r="F140" s="410">
        <v>3</v>
      </c>
      <c r="G140" s="489">
        <f t="shared" si="60"/>
        <v>6640.2000000000007</v>
      </c>
      <c r="H140" s="410">
        <v>3</v>
      </c>
      <c r="I140" s="486">
        <f t="shared" si="119"/>
        <v>5997.6</v>
      </c>
      <c r="J140" s="410"/>
      <c r="K140" s="486"/>
      <c r="L140" s="410"/>
      <c r="M140" s="486"/>
      <c r="N140" s="410"/>
      <c r="O140" s="486"/>
      <c r="P140" s="410"/>
      <c r="Q140" s="486"/>
      <c r="R140" s="410"/>
      <c r="S140" s="486"/>
      <c r="T140" s="410"/>
      <c r="U140" s="486"/>
      <c r="V140" s="410"/>
      <c r="W140" s="486"/>
      <c r="X140" s="410"/>
      <c r="Y140" s="486"/>
      <c r="Z140" s="388"/>
      <c r="AA140" s="486"/>
      <c r="AB140" s="388"/>
      <c r="AC140" s="504"/>
      <c r="AD140" s="432"/>
      <c r="AE140" s="387"/>
      <c r="AF140" s="387"/>
      <c r="AG140" s="387"/>
      <c r="AH140" s="387"/>
      <c r="AI140" s="387"/>
      <c r="AJ140" s="387"/>
      <c r="AK140" s="387"/>
      <c r="AL140" s="387">
        <f t="shared" si="123"/>
        <v>21120</v>
      </c>
      <c r="AM140" s="387"/>
      <c r="AN140" s="387"/>
      <c r="AO140" s="387">
        <v>1760</v>
      </c>
      <c r="AP140" s="387">
        <v>1760</v>
      </c>
      <c r="AQ140" s="387"/>
      <c r="AR140" s="387"/>
      <c r="AS140" s="387"/>
      <c r="AT140" s="387"/>
      <c r="AU140" s="391"/>
    </row>
    <row r="141" spans="2:49" ht="15.75" thickBot="1" x14ac:dyDescent="0.3">
      <c r="B141" s="471">
        <f t="shared" si="125"/>
        <v>116</v>
      </c>
      <c r="C141" s="518"/>
      <c r="D141" s="408" t="s">
        <v>72</v>
      </c>
      <c r="E141" s="412">
        <v>71.400000000000006</v>
      </c>
      <c r="F141" s="410">
        <v>1</v>
      </c>
      <c r="G141" s="489">
        <f t="shared" si="60"/>
        <v>2213.4</v>
      </c>
      <c r="H141" s="410">
        <v>1</v>
      </c>
      <c r="I141" s="486">
        <f t="shared" si="119"/>
        <v>1999.2000000000003</v>
      </c>
      <c r="J141" s="410"/>
      <c r="K141" s="486"/>
      <c r="L141" s="410"/>
      <c r="M141" s="486"/>
      <c r="N141" s="410"/>
      <c r="O141" s="486"/>
      <c r="P141" s="410"/>
      <c r="Q141" s="486"/>
      <c r="R141" s="410"/>
      <c r="S141" s="486"/>
      <c r="T141" s="410"/>
      <c r="U141" s="486"/>
      <c r="V141" s="410"/>
      <c r="W141" s="486"/>
      <c r="X141" s="410"/>
      <c r="Y141" s="486"/>
      <c r="Z141" s="388"/>
      <c r="AA141" s="486"/>
      <c r="AB141" s="388"/>
      <c r="AC141" s="504"/>
      <c r="AD141" s="432">
        <f t="shared" si="105"/>
        <v>600</v>
      </c>
      <c r="AE141" s="413">
        <v>50</v>
      </c>
      <c r="AF141" s="387">
        <f t="shared" si="120"/>
        <v>600</v>
      </c>
      <c r="AG141" s="413">
        <v>50</v>
      </c>
      <c r="AH141" s="387">
        <f t="shared" si="121"/>
        <v>600</v>
      </c>
      <c r="AI141" s="413">
        <v>50</v>
      </c>
      <c r="AJ141" s="387">
        <f t="shared" ref="AJ141:AJ154" si="126">+AK141*12</f>
        <v>600</v>
      </c>
      <c r="AK141" s="413">
        <v>50</v>
      </c>
      <c r="AL141" s="387">
        <f t="shared" si="123"/>
        <v>63360</v>
      </c>
      <c r="AM141" s="387">
        <f t="shared" ref="AM141:AM154" si="127">1760*F141</f>
        <v>1760</v>
      </c>
      <c r="AN141" s="387">
        <f t="shared" ref="AN141:AN154" si="128">1760*H141</f>
        <v>1760</v>
      </c>
      <c r="AO141" s="387">
        <v>5280</v>
      </c>
      <c r="AP141" s="387">
        <v>5280</v>
      </c>
      <c r="AQ141" s="387">
        <v>0</v>
      </c>
      <c r="AR141" s="387">
        <v>0</v>
      </c>
      <c r="AS141" s="387">
        <v>0</v>
      </c>
      <c r="AT141" s="387">
        <v>0</v>
      </c>
      <c r="AU141" s="391">
        <f t="shared" ref="AU141:AU150" si="129">+G141+I141+K141+M141+O141+Q141+S141+AN141+AI141+U141+W141+Y141+AA141+AC141+AE141+AG141+AM141+AO141+AQ141+AR141+AS141+AT141+AK141+AP141</f>
        <v>18492.599999999999</v>
      </c>
    </row>
    <row r="142" spans="2:49" ht="15.75" thickBot="1" x14ac:dyDescent="0.3">
      <c r="B142" s="471">
        <f t="shared" si="125"/>
        <v>117</v>
      </c>
      <c r="C142" s="518"/>
      <c r="D142" s="408" t="s">
        <v>82</v>
      </c>
      <c r="E142" s="412">
        <v>71.400000000000006</v>
      </c>
      <c r="F142" s="410">
        <v>3</v>
      </c>
      <c r="G142" s="489">
        <f t="shared" ref="G142:G154" si="130">+F142*E142*31</f>
        <v>6640.2000000000007</v>
      </c>
      <c r="H142" s="410">
        <v>3</v>
      </c>
      <c r="I142" s="486">
        <f t="shared" si="119"/>
        <v>5997.6</v>
      </c>
      <c r="J142" s="410"/>
      <c r="K142" s="486"/>
      <c r="L142" s="410"/>
      <c r="M142" s="486"/>
      <c r="N142" s="410"/>
      <c r="O142" s="486"/>
      <c r="P142" s="410"/>
      <c r="Q142" s="486"/>
      <c r="R142" s="410"/>
      <c r="S142" s="486"/>
      <c r="T142" s="410"/>
      <c r="U142" s="486"/>
      <c r="V142" s="410"/>
      <c r="W142" s="486"/>
      <c r="X142" s="410"/>
      <c r="Y142" s="486"/>
      <c r="Z142" s="388"/>
      <c r="AA142" s="486"/>
      <c r="AB142" s="388"/>
      <c r="AC142" s="504"/>
      <c r="AD142" s="432">
        <f t="shared" si="105"/>
        <v>0</v>
      </c>
      <c r="AE142" s="387">
        <v>0</v>
      </c>
      <c r="AF142" s="387">
        <f t="shared" si="120"/>
        <v>0</v>
      </c>
      <c r="AG142" s="387">
        <v>0</v>
      </c>
      <c r="AH142" s="387">
        <f t="shared" si="121"/>
        <v>0</v>
      </c>
      <c r="AI142" s="387">
        <v>0</v>
      </c>
      <c r="AJ142" s="387">
        <f t="shared" si="126"/>
        <v>0</v>
      </c>
      <c r="AK142" s="387"/>
      <c r="AL142" s="387">
        <f t="shared" si="123"/>
        <v>21120</v>
      </c>
      <c r="AM142" s="387">
        <f t="shared" si="127"/>
        <v>5280</v>
      </c>
      <c r="AN142" s="387">
        <f t="shared" si="128"/>
        <v>5280</v>
      </c>
      <c r="AO142" s="387">
        <v>1760</v>
      </c>
      <c r="AP142" s="387">
        <v>1760</v>
      </c>
      <c r="AQ142" s="387">
        <v>0</v>
      </c>
      <c r="AR142" s="387">
        <v>0</v>
      </c>
      <c r="AS142" s="387">
        <v>0</v>
      </c>
      <c r="AT142" s="387">
        <v>0</v>
      </c>
      <c r="AU142" s="391">
        <f t="shared" si="129"/>
        <v>26717.800000000003</v>
      </c>
    </row>
    <row r="143" spans="2:49" ht="15.75" thickBot="1" x14ac:dyDescent="0.3">
      <c r="B143" s="471">
        <f t="shared" si="125"/>
        <v>118</v>
      </c>
      <c r="C143" s="518"/>
      <c r="D143" s="408" t="s">
        <v>83</v>
      </c>
      <c r="E143" s="412">
        <v>75.64</v>
      </c>
      <c r="F143" s="410">
        <v>1</v>
      </c>
      <c r="G143" s="489">
        <f t="shared" si="130"/>
        <v>2344.84</v>
      </c>
      <c r="H143" s="410">
        <v>1</v>
      </c>
      <c r="I143" s="486">
        <f t="shared" si="119"/>
        <v>2117.92</v>
      </c>
      <c r="J143" s="410"/>
      <c r="K143" s="486"/>
      <c r="L143" s="410"/>
      <c r="M143" s="486"/>
      <c r="N143" s="410"/>
      <c r="O143" s="486"/>
      <c r="P143" s="410"/>
      <c r="Q143" s="486"/>
      <c r="R143" s="410"/>
      <c r="S143" s="486"/>
      <c r="T143" s="410"/>
      <c r="U143" s="486"/>
      <c r="V143" s="410"/>
      <c r="W143" s="486"/>
      <c r="X143" s="410"/>
      <c r="Y143" s="486"/>
      <c r="Z143" s="388"/>
      <c r="AA143" s="486"/>
      <c r="AB143" s="388"/>
      <c r="AC143" s="504"/>
      <c r="AD143" s="432">
        <f t="shared" si="105"/>
        <v>3120</v>
      </c>
      <c r="AE143" s="413">
        <v>260</v>
      </c>
      <c r="AF143" s="387">
        <f t="shared" si="120"/>
        <v>3120</v>
      </c>
      <c r="AG143" s="413">
        <v>260</v>
      </c>
      <c r="AH143" s="387">
        <f t="shared" si="121"/>
        <v>3120</v>
      </c>
      <c r="AI143" s="413">
        <v>260</v>
      </c>
      <c r="AJ143" s="387">
        <f t="shared" si="126"/>
        <v>3120</v>
      </c>
      <c r="AK143" s="413">
        <v>260</v>
      </c>
      <c r="AL143" s="387">
        <f t="shared" si="123"/>
        <v>422400</v>
      </c>
      <c r="AM143" s="387">
        <f t="shared" si="127"/>
        <v>1760</v>
      </c>
      <c r="AN143" s="387">
        <f t="shared" si="128"/>
        <v>1760</v>
      </c>
      <c r="AO143" s="387">
        <v>35200</v>
      </c>
      <c r="AP143" s="387">
        <v>35200</v>
      </c>
      <c r="AQ143" s="387">
        <v>0</v>
      </c>
      <c r="AR143" s="387">
        <v>0</v>
      </c>
      <c r="AS143" s="387">
        <v>0</v>
      </c>
      <c r="AT143" s="387">
        <v>0</v>
      </c>
      <c r="AU143" s="391">
        <f t="shared" si="129"/>
        <v>79422.760000000009</v>
      </c>
    </row>
    <row r="144" spans="2:49" ht="15.75" thickBot="1" x14ac:dyDescent="0.3">
      <c r="B144" s="471">
        <f t="shared" si="125"/>
        <v>119</v>
      </c>
      <c r="C144" s="518"/>
      <c r="D144" s="408" t="s">
        <v>34</v>
      </c>
      <c r="E144" s="412">
        <v>71.400000000000006</v>
      </c>
      <c r="F144" s="410">
        <v>22</v>
      </c>
      <c r="G144" s="489">
        <f t="shared" si="130"/>
        <v>48694.8</v>
      </c>
      <c r="H144" s="410">
        <v>22</v>
      </c>
      <c r="I144" s="486">
        <f t="shared" si="119"/>
        <v>43982.400000000009</v>
      </c>
      <c r="J144" s="410"/>
      <c r="K144" s="486"/>
      <c r="L144" s="410"/>
      <c r="M144" s="486"/>
      <c r="N144" s="410"/>
      <c r="O144" s="486"/>
      <c r="P144" s="410"/>
      <c r="Q144" s="486"/>
      <c r="R144" s="410"/>
      <c r="S144" s="486"/>
      <c r="T144" s="410"/>
      <c r="U144" s="486"/>
      <c r="V144" s="410"/>
      <c r="W144" s="486"/>
      <c r="X144" s="410"/>
      <c r="Y144" s="486"/>
      <c r="Z144" s="388"/>
      <c r="AA144" s="486"/>
      <c r="AB144" s="388"/>
      <c r="AC144" s="504"/>
      <c r="AD144" s="432"/>
      <c r="AE144" s="413"/>
      <c r="AF144" s="387"/>
      <c r="AG144" s="413"/>
      <c r="AH144" s="387"/>
      <c r="AI144" s="413"/>
      <c r="AJ144" s="387"/>
      <c r="AK144" s="413"/>
      <c r="AL144" s="387"/>
      <c r="AM144" s="387"/>
      <c r="AN144" s="387"/>
      <c r="AO144" s="387"/>
      <c r="AP144" s="387"/>
      <c r="AQ144" s="387"/>
      <c r="AR144" s="387"/>
      <c r="AS144" s="387"/>
      <c r="AT144" s="387"/>
      <c r="AU144" s="391"/>
    </row>
    <row r="145" spans="2:47" ht="15.75" thickBot="1" x14ac:dyDescent="0.3">
      <c r="B145" s="471">
        <f t="shared" si="125"/>
        <v>120</v>
      </c>
      <c r="C145" s="518"/>
      <c r="D145" s="408" t="s">
        <v>84</v>
      </c>
      <c r="E145" s="412">
        <v>76.59</v>
      </c>
      <c r="F145" s="410">
        <v>1</v>
      </c>
      <c r="G145" s="489">
        <f t="shared" si="130"/>
        <v>2374.29</v>
      </c>
      <c r="H145" s="410">
        <v>1</v>
      </c>
      <c r="I145" s="486">
        <f t="shared" si="119"/>
        <v>2144.52</v>
      </c>
      <c r="J145" s="410"/>
      <c r="K145" s="486"/>
      <c r="L145" s="410"/>
      <c r="M145" s="486"/>
      <c r="N145" s="410"/>
      <c r="O145" s="486"/>
      <c r="P145" s="410"/>
      <c r="Q145" s="486"/>
      <c r="R145" s="410"/>
      <c r="S145" s="486"/>
      <c r="T145" s="410"/>
      <c r="U145" s="486"/>
      <c r="V145" s="410"/>
      <c r="W145" s="486"/>
      <c r="X145" s="410"/>
      <c r="Y145" s="486"/>
      <c r="Z145" s="388"/>
      <c r="AA145" s="486"/>
      <c r="AB145" s="388"/>
      <c r="AC145" s="504"/>
      <c r="AD145" s="432">
        <f t="shared" si="105"/>
        <v>900</v>
      </c>
      <c r="AE145" s="413">
        <v>75</v>
      </c>
      <c r="AF145" s="387">
        <f t="shared" si="120"/>
        <v>900</v>
      </c>
      <c r="AG145" s="413">
        <v>75</v>
      </c>
      <c r="AH145" s="387">
        <f t="shared" si="121"/>
        <v>900</v>
      </c>
      <c r="AI145" s="413">
        <v>75</v>
      </c>
      <c r="AJ145" s="387">
        <f t="shared" si="126"/>
        <v>900</v>
      </c>
      <c r="AK145" s="413">
        <v>75</v>
      </c>
      <c r="AL145" s="387">
        <f t="shared" si="123"/>
        <v>21120</v>
      </c>
      <c r="AM145" s="387">
        <f t="shared" si="127"/>
        <v>1760</v>
      </c>
      <c r="AN145" s="387">
        <f t="shared" si="128"/>
        <v>1760</v>
      </c>
      <c r="AO145" s="387">
        <v>1760</v>
      </c>
      <c r="AP145" s="387">
        <v>1760</v>
      </c>
      <c r="AQ145" s="387">
        <v>0</v>
      </c>
      <c r="AR145" s="387">
        <v>0</v>
      </c>
      <c r="AS145" s="387">
        <v>0</v>
      </c>
      <c r="AT145" s="387">
        <v>0</v>
      </c>
      <c r="AU145" s="391">
        <f t="shared" si="129"/>
        <v>11858.81</v>
      </c>
    </row>
    <row r="146" spans="2:47" ht="15.75" thickBot="1" x14ac:dyDescent="0.3">
      <c r="B146" s="471">
        <f t="shared" si="125"/>
        <v>121</v>
      </c>
      <c r="C146" s="518"/>
      <c r="D146" s="408" t="s">
        <v>76</v>
      </c>
      <c r="E146" s="412">
        <v>72.540000000000006</v>
      </c>
      <c r="F146" s="410">
        <v>2</v>
      </c>
      <c r="G146" s="489">
        <f t="shared" si="130"/>
        <v>4497.4800000000005</v>
      </c>
      <c r="H146" s="410">
        <v>2</v>
      </c>
      <c r="I146" s="486">
        <f t="shared" si="119"/>
        <v>4062.2400000000002</v>
      </c>
      <c r="J146" s="410"/>
      <c r="K146" s="486"/>
      <c r="L146" s="410"/>
      <c r="M146" s="486"/>
      <c r="N146" s="410"/>
      <c r="O146" s="486"/>
      <c r="P146" s="410"/>
      <c r="Q146" s="486"/>
      <c r="R146" s="410"/>
      <c r="S146" s="486"/>
      <c r="T146" s="410"/>
      <c r="U146" s="486"/>
      <c r="V146" s="410"/>
      <c r="W146" s="486"/>
      <c r="X146" s="410"/>
      <c r="Y146" s="486"/>
      <c r="Z146" s="388"/>
      <c r="AA146" s="486"/>
      <c r="AB146" s="388"/>
      <c r="AC146" s="504"/>
      <c r="AD146" s="432">
        <f t="shared" si="105"/>
        <v>600</v>
      </c>
      <c r="AE146" s="413">
        <v>50</v>
      </c>
      <c r="AF146" s="387">
        <f t="shared" si="120"/>
        <v>600</v>
      </c>
      <c r="AG146" s="413">
        <v>50</v>
      </c>
      <c r="AH146" s="387">
        <f t="shared" si="121"/>
        <v>600</v>
      </c>
      <c r="AI146" s="413">
        <v>50</v>
      </c>
      <c r="AJ146" s="387">
        <f t="shared" si="126"/>
        <v>600</v>
      </c>
      <c r="AK146" s="413">
        <v>50</v>
      </c>
      <c r="AL146" s="387">
        <f t="shared" si="123"/>
        <v>42240</v>
      </c>
      <c r="AM146" s="387">
        <f t="shared" si="127"/>
        <v>3520</v>
      </c>
      <c r="AN146" s="387">
        <f t="shared" si="128"/>
        <v>3520</v>
      </c>
      <c r="AO146" s="387">
        <v>3520</v>
      </c>
      <c r="AP146" s="387">
        <v>3520</v>
      </c>
      <c r="AQ146" s="387">
        <v>0</v>
      </c>
      <c r="AR146" s="387">
        <v>0</v>
      </c>
      <c r="AS146" s="387">
        <v>0</v>
      </c>
      <c r="AT146" s="387">
        <v>0</v>
      </c>
      <c r="AU146" s="391">
        <f t="shared" si="129"/>
        <v>22839.72</v>
      </c>
    </row>
    <row r="147" spans="2:47" ht="15.75" thickBot="1" x14ac:dyDescent="0.3">
      <c r="B147" s="471">
        <f t="shared" si="125"/>
        <v>122</v>
      </c>
      <c r="C147" s="518"/>
      <c r="D147" s="408" t="s">
        <v>35</v>
      </c>
      <c r="E147" s="412">
        <v>72.540000000000006</v>
      </c>
      <c r="F147" s="410">
        <v>1</v>
      </c>
      <c r="G147" s="489">
        <f t="shared" si="130"/>
        <v>2248.7400000000002</v>
      </c>
      <c r="H147" s="410">
        <v>1</v>
      </c>
      <c r="I147" s="486">
        <f t="shared" si="119"/>
        <v>2031.1200000000001</v>
      </c>
      <c r="J147" s="410"/>
      <c r="K147" s="486"/>
      <c r="L147" s="410"/>
      <c r="M147" s="486"/>
      <c r="N147" s="410"/>
      <c r="O147" s="486"/>
      <c r="P147" s="410"/>
      <c r="Q147" s="486"/>
      <c r="R147" s="410"/>
      <c r="S147" s="486"/>
      <c r="T147" s="410"/>
      <c r="U147" s="486"/>
      <c r="V147" s="410"/>
      <c r="W147" s="486"/>
      <c r="X147" s="410"/>
      <c r="Y147" s="486"/>
      <c r="Z147" s="388"/>
      <c r="AA147" s="486"/>
      <c r="AB147" s="388"/>
      <c r="AC147" s="504"/>
      <c r="AD147" s="432">
        <f t="shared" si="105"/>
        <v>600</v>
      </c>
      <c r="AE147" s="413">
        <v>50</v>
      </c>
      <c r="AF147" s="387">
        <f t="shared" si="120"/>
        <v>600</v>
      </c>
      <c r="AG147" s="413">
        <v>50</v>
      </c>
      <c r="AH147" s="387">
        <f t="shared" si="121"/>
        <v>600</v>
      </c>
      <c r="AI147" s="413">
        <v>50</v>
      </c>
      <c r="AJ147" s="387">
        <f t="shared" si="126"/>
        <v>600</v>
      </c>
      <c r="AK147" s="413">
        <v>50</v>
      </c>
      <c r="AL147" s="387">
        <f t="shared" si="123"/>
        <v>21120</v>
      </c>
      <c r="AM147" s="387">
        <f t="shared" si="127"/>
        <v>1760</v>
      </c>
      <c r="AN147" s="387">
        <f t="shared" si="128"/>
        <v>1760</v>
      </c>
      <c r="AO147" s="387">
        <v>1760</v>
      </c>
      <c r="AP147" s="387">
        <v>1760</v>
      </c>
      <c r="AQ147" s="387">
        <v>0</v>
      </c>
      <c r="AR147" s="387">
        <v>0</v>
      </c>
      <c r="AS147" s="387">
        <v>0</v>
      </c>
      <c r="AT147" s="387">
        <v>0</v>
      </c>
      <c r="AU147" s="391">
        <f t="shared" si="129"/>
        <v>11519.86</v>
      </c>
    </row>
    <row r="148" spans="2:47" ht="15.75" thickBot="1" x14ac:dyDescent="0.3">
      <c r="B148" s="471">
        <f t="shared" si="125"/>
        <v>123</v>
      </c>
      <c r="C148" s="518"/>
      <c r="D148" s="408" t="s">
        <v>38</v>
      </c>
      <c r="E148" s="412">
        <v>78.25</v>
      </c>
      <c r="F148" s="410">
        <v>3</v>
      </c>
      <c r="G148" s="489">
        <f t="shared" si="130"/>
        <v>7277.25</v>
      </c>
      <c r="H148" s="410">
        <v>3</v>
      </c>
      <c r="I148" s="486">
        <f t="shared" si="119"/>
        <v>6573</v>
      </c>
      <c r="J148" s="410"/>
      <c r="K148" s="486"/>
      <c r="L148" s="410"/>
      <c r="M148" s="486"/>
      <c r="N148" s="410"/>
      <c r="O148" s="486"/>
      <c r="P148" s="410"/>
      <c r="Q148" s="486"/>
      <c r="R148" s="410"/>
      <c r="S148" s="486"/>
      <c r="T148" s="410"/>
      <c r="U148" s="486"/>
      <c r="V148" s="410"/>
      <c r="W148" s="486"/>
      <c r="X148" s="410"/>
      <c r="Y148" s="486"/>
      <c r="Z148" s="388"/>
      <c r="AA148" s="486"/>
      <c r="AB148" s="388"/>
      <c r="AC148" s="504"/>
      <c r="AD148" s="432">
        <f t="shared" si="105"/>
        <v>2700</v>
      </c>
      <c r="AE148" s="413">
        <v>225</v>
      </c>
      <c r="AF148" s="387">
        <f t="shared" si="120"/>
        <v>2700</v>
      </c>
      <c r="AG148" s="413">
        <v>225</v>
      </c>
      <c r="AH148" s="387">
        <f t="shared" si="121"/>
        <v>2700</v>
      </c>
      <c r="AI148" s="413">
        <v>225</v>
      </c>
      <c r="AJ148" s="387">
        <f t="shared" si="126"/>
        <v>2700</v>
      </c>
      <c r="AK148" s="413">
        <v>225</v>
      </c>
      <c r="AL148" s="387">
        <f t="shared" si="123"/>
        <v>84480</v>
      </c>
      <c r="AM148" s="387">
        <f t="shared" si="127"/>
        <v>5280</v>
      </c>
      <c r="AN148" s="387">
        <f t="shared" si="128"/>
        <v>5280</v>
      </c>
      <c r="AO148" s="387">
        <v>7040</v>
      </c>
      <c r="AP148" s="387">
        <v>7040</v>
      </c>
      <c r="AQ148" s="387">
        <v>0</v>
      </c>
      <c r="AR148" s="387">
        <v>0</v>
      </c>
      <c r="AS148" s="387">
        <v>0</v>
      </c>
      <c r="AT148" s="387">
        <v>0</v>
      </c>
      <c r="AU148" s="391">
        <f t="shared" si="129"/>
        <v>39390.25</v>
      </c>
    </row>
    <row r="149" spans="2:47" ht="15.75" thickBot="1" x14ac:dyDescent="0.3">
      <c r="B149" s="471">
        <f t="shared" si="125"/>
        <v>124</v>
      </c>
      <c r="C149" s="518"/>
      <c r="D149" s="408" t="s">
        <v>30</v>
      </c>
      <c r="E149" s="412">
        <v>72.540000000000006</v>
      </c>
      <c r="F149" s="410">
        <v>1</v>
      </c>
      <c r="G149" s="489">
        <f t="shared" si="130"/>
        <v>2248.7400000000002</v>
      </c>
      <c r="H149" s="410">
        <v>1</v>
      </c>
      <c r="I149" s="486">
        <f t="shared" si="119"/>
        <v>2031.1200000000001</v>
      </c>
      <c r="J149" s="410"/>
      <c r="K149" s="486"/>
      <c r="L149" s="410"/>
      <c r="M149" s="486"/>
      <c r="N149" s="410"/>
      <c r="O149" s="486"/>
      <c r="P149" s="410"/>
      <c r="Q149" s="486"/>
      <c r="R149" s="410"/>
      <c r="S149" s="486"/>
      <c r="T149" s="410"/>
      <c r="U149" s="486"/>
      <c r="V149" s="410"/>
      <c r="W149" s="486"/>
      <c r="X149" s="410"/>
      <c r="Y149" s="486"/>
      <c r="Z149" s="388"/>
      <c r="AA149" s="486"/>
      <c r="AB149" s="388"/>
      <c r="AC149" s="504"/>
      <c r="AD149" s="432">
        <f t="shared" si="105"/>
        <v>0</v>
      </c>
      <c r="AE149" s="387">
        <v>0</v>
      </c>
      <c r="AF149" s="387">
        <f t="shared" si="120"/>
        <v>0</v>
      </c>
      <c r="AG149" s="387">
        <v>0</v>
      </c>
      <c r="AH149" s="387">
        <f t="shared" si="121"/>
        <v>0</v>
      </c>
      <c r="AI149" s="387">
        <v>0</v>
      </c>
      <c r="AJ149" s="387">
        <f t="shared" si="126"/>
        <v>0</v>
      </c>
      <c r="AK149" s="387"/>
      <c r="AL149" s="387">
        <f t="shared" si="123"/>
        <v>21120</v>
      </c>
      <c r="AM149" s="387">
        <f t="shared" si="127"/>
        <v>1760</v>
      </c>
      <c r="AN149" s="387">
        <f t="shared" si="128"/>
        <v>1760</v>
      </c>
      <c r="AO149" s="387">
        <v>1760</v>
      </c>
      <c r="AP149" s="387">
        <v>1760</v>
      </c>
      <c r="AQ149" s="387">
        <v>0</v>
      </c>
      <c r="AR149" s="387">
        <v>0</v>
      </c>
      <c r="AS149" s="387">
        <v>0</v>
      </c>
      <c r="AT149" s="387">
        <v>0</v>
      </c>
      <c r="AU149" s="391">
        <f t="shared" si="129"/>
        <v>11319.86</v>
      </c>
    </row>
    <row r="150" spans="2:47" ht="15.75" thickBot="1" x14ac:dyDescent="0.3">
      <c r="B150" s="471">
        <f t="shared" si="125"/>
        <v>125</v>
      </c>
      <c r="C150" s="518"/>
      <c r="D150" s="408" t="s">
        <v>31</v>
      </c>
      <c r="E150" s="412">
        <v>71.400000000000006</v>
      </c>
      <c r="F150" s="410">
        <v>2</v>
      </c>
      <c r="G150" s="489">
        <f t="shared" si="130"/>
        <v>4426.8</v>
      </c>
      <c r="H150" s="410">
        <v>2</v>
      </c>
      <c r="I150" s="486">
        <f t="shared" si="119"/>
        <v>3998.4000000000005</v>
      </c>
      <c r="J150" s="410"/>
      <c r="K150" s="486"/>
      <c r="L150" s="410"/>
      <c r="M150" s="486"/>
      <c r="N150" s="410"/>
      <c r="O150" s="486"/>
      <c r="P150" s="410"/>
      <c r="Q150" s="486"/>
      <c r="R150" s="410"/>
      <c r="S150" s="486"/>
      <c r="T150" s="410"/>
      <c r="U150" s="486"/>
      <c r="V150" s="410"/>
      <c r="W150" s="486"/>
      <c r="X150" s="410"/>
      <c r="Y150" s="486"/>
      <c r="Z150" s="388"/>
      <c r="AA150" s="486"/>
      <c r="AB150" s="388"/>
      <c r="AC150" s="504"/>
      <c r="AD150" s="432">
        <f t="shared" si="105"/>
        <v>69600</v>
      </c>
      <c r="AE150" s="413">
        <v>5800</v>
      </c>
      <c r="AF150" s="387">
        <f t="shared" si="120"/>
        <v>69600</v>
      </c>
      <c r="AG150" s="413">
        <v>5800</v>
      </c>
      <c r="AH150" s="387">
        <f t="shared" si="121"/>
        <v>69000</v>
      </c>
      <c r="AI150" s="413">
        <v>5750</v>
      </c>
      <c r="AJ150" s="387">
        <f t="shared" si="126"/>
        <v>69000</v>
      </c>
      <c r="AK150" s="413">
        <v>5750</v>
      </c>
      <c r="AL150" s="387">
        <f t="shared" si="123"/>
        <v>4762895.1251612827</v>
      </c>
      <c r="AM150" s="387">
        <f t="shared" si="127"/>
        <v>3520</v>
      </c>
      <c r="AN150" s="387">
        <f t="shared" si="128"/>
        <v>3520</v>
      </c>
      <c r="AO150" s="387">
        <v>202400</v>
      </c>
      <c r="AP150" s="387">
        <v>396907.92709677352</v>
      </c>
      <c r="AQ150" s="387">
        <v>0</v>
      </c>
      <c r="AR150" s="387">
        <v>0</v>
      </c>
      <c r="AS150" s="387">
        <v>0</v>
      </c>
      <c r="AT150" s="387">
        <v>0</v>
      </c>
      <c r="AU150" s="391">
        <f t="shared" si="129"/>
        <v>637873.12709677359</v>
      </c>
    </row>
    <row r="151" spans="2:47" ht="15.75" thickBot="1" x14ac:dyDescent="0.3">
      <c r="B151" s="471">
        <f t="shared" si="125"/>
        <v>126</v>
      </c>
      <c r="C151" s="518"/>
      <c r="D151" s="408" t="s">
        <v>53</v>
      </c>
      <c r="E151" s="412">
        <v>71.400000000000006</v>
      </c>
      <c r="F151" s="410">
        <v>25</v>
      </c>
      <c r="G151" s="489">
        <f t="shared" si="130"/>
        <v>55335.000000000007</v>
      </c>
      <c r="H151" s="410">
        <v>25</v>
      </c>
      <c r="I151" s="486">
        <f t="shared" si="119"/>
        <v>49980.000000000007</v>
      </c>
      <c r="J151" s="410"/>
      <c r="K151" s="486"/>
      <c r="L151" s="410"/>
      <c r="M151" s="486"/>
      <c r="N151" s="410"/>
      <c r="O151" s="486"/>
      <c r="P151" s="410"/>
      <c r="Q151" s="486"/>
      <c r="R151" s="410"/>
      <c r="S151" s="486"/>
      <c r="T151" s="410"/>
      <c r="U151" s="486"/>
      <c r="V151" s="410"/>
      <c r="W151" s="486"/>
      <c r="X151" s="410"/>
      <c r="Y151" s="486"/>
      <c r="Z151" s="388"/>
      <c r="AA151" s="486"/>
      <c r="AB151" s="388"/>
      <c r="AC151" s="504"/>
      <c r="AD151" s="432"/>
      <c r="AE151" s="413"/>
      <c r="AF151" s="387"/>
      <c r="AG151" s="413"/>
      <c r="AH151" s="387"/>
      <c r="AI151" s="413"/>
      <c r="AJ151" s="387"/>
      <c r="AK151" s="413"/>
      <c r="AL151" s="387"/>
      <c r="AM151" s="387"/>
      <c r="AN151" s="387"/>
      <c r="AO151" s="387"/>
      <c r="AP151" s="387"/>
      <c r="AQ151" s="387"/>
      <c r="AR151" s="387"/>
      <c r="AS151" s="387"/>
      <c r="AT151" s="387"/>
      <c r="AU151" s="391"/>
    </row>
    <row r="152" spans="2:47" ht="15.75" thickBot="1" x14ac:dyDescent="0.3">
      <c r="B152" s="471">
        <f t="shared" si="125"/>
        <v>127</v>
      </c>
      <c r="C152" s="518"/>
      <c r="D152" s="408" t="s">
        <v>53</v>
      </c>
      <c r="E152" s="412">
        <v>71.400000000000006</v>
      </c>
      <c r="F152" s="410">
        <v>1</v>
      </c>
      <c r="G152" s="489">
        <v>0</v>
      </c>
      <c r="H152" s="410">
        <v>1</v>
      </c>
      <c r="I152" s="486">
        <v>0</v>
      </c>
      <c r="J152" s="410"/>
      <c r="K152" s="486"/>
      <c r="L152" s="410"/>
      <c r="M152" s="486"/>
      <c r="N152" s="410"/>
      <c r="O152" s="486"/>
      <c r="P152" s="410"/>
      <c r="Q152" s="486"/>
      <c r="R152" s="410"/>
      <c r="S152" s="486"/>
      <c r="T152" s="410"/>
      <c r="U152" s="486"/>
      <c r="V152" s="410"/>
      <c r="W152" s="486"/>
      <c r="X152" s="410"/>
      <c r="Y152" s="486"/>
      <c r="Z152" s="388"/>
      <c r="AA152" s="486"/>
      <c r="AB152" s="388"/>
      <c r="AC152" s="504"/>
      <c r="AD152" s="432"/>
      <c r="AE152" s="413"/>
      <c r="AF152" s="387"/>
      <c r="AG152" s="413"/>
      <c r="AH152" s="387"/>
      <c r="AI152" s="413"/>
      <c r="AJ152" s="387"/>
      <c r="AK152" s="413"/>
      <c r="AL152" s="387"/>
      <c r="AM152" s="387"/>
      <c r="AN152" s="387"/>
      <c r="AO152" s="387"/>
      <c r="AP152" s="387"/>
      <c r="AQ152" s="387"/>
      <c r="AR152" s="387"/>
      <c r="AS152" s="387"/>
      <c r="AT152" s="387"/>
      <c r="AU152" s="391"/>
    </row>
    <row r="153" spans="2:47" ht="15.75" thickBot="1" x14ac:dyDescent="0.3">
      <c r="B153" s="471">
        <f t="shared" si="125"/>
        <v>128</v>
      </c>
      <c r="C153" s="518"/>
      <c r="D153" s="408" t="s">
        <v>147</v>
      </c>
      <c r="E153" s="412">
        <v>75.64</v>
      </c>
      <c r="F153" s="410">
        <v>1</v>
      </c>
      <c r="G153" s="489">
        <f t="shared" si="130"/>
        <v>2344.84</v>
      </c>
      <c r="H153" s="410">
        <v>1</v>
      </c>
      <c r="I153" s="486">
        <f t="shared" si="119"/>
        <v>2117.92</v>
      </c>
      <c r="J153" s="410"/>
      <c r="K153" s="486"/>
      <c r="L153" s="410"/>
      <c r="M153" s="486"/>
      <c r="N153" s="410"/>
      <c r="O153" s="486"/>
      <c r="P153" s="410"/>
      <c r="Q153" s="486"/>
      <c r="R153" s="410"/>
      <c r="S153" s="486"/>
      <c r="T153" s="410"/>
      <c r="U153" s="486"/>
      <c r="V153" s="410"/>
      <c r="W153" s="486"/>
      <c r="X153" s="410"/>
      <c r="Y153" s="486"/>
      <c r="Z153" s="388"/>
      <c r="AA153" s="486"/>
      <c r="AB153" s="388"/>
      <c r="AC153" s="504"/>
      <c r="AD153" s="432"/>
      <c r="AE153" s="413"/>
      <c r="AF153" s="387"/>
      <c r="AG153" s="413"/>
      <c r="AH153" s="387"/>
      <c r="AI153" s="413"/>
      <c r="AJ153" s="387"/>
      <c r="AK153" s="413"/>
      <c r="AL153" s="387"/>
      <c r="AM153" s="387"/>
      <c r="AN153" s="387"/>
      <c r="AO153" s="387"/>
      <c r="AP153" s="387"/>
      <c r="AQ153" s="387"/>
      <c r="AR153" s="387"/>
      <c r="AS153" s="387"/>
      <c r="AT153" s="387"/>
      <c r="AU153" s="391"/>
    </row>
    <row r="154" spans="2:47" ht="15.75" thickBot="1" x14ac:dyDescent="0.3">
      <c r="B154" s="471">
        <f t="shared" si="125"/>
        <v>129</v>
      </c>
      <c r="C154" s="519"/>
      <c r="D154" s="443" t="s">
        <v>154</v>
      </c>
      <c r="E154" s="470">
        <v>78.25</v>
      </c>
      <c r="F154" s="440">
        <v>1</v>
      </c>
      <c r="G154" s="490">
        <f t="shared" si="130"/>
        <v>2425.75</v>
      </c>
      <c r="H154" s="440">
        <v>1</v>
      </c>
      <c r="I154" s="487">
        <f t="shared" si="119"/>
        <v>2191</v>
      </c>
      <c r="J154" s="440"/>
      <c r="K154" s="487"/>
      <c r="L154" s="440"/>
      <c r="M154" s="487"/>
      <c r="N154" s="440"/>
      <c r="O154" s="487"/>
      <c r="P154" s="440"/>
      <c r="Q154" s="487"/>
      <c r="R154" s="440"/>
      <c r="S154" s="487"/>
      <c r="T154" s="440"/>
      <c r="U154" s="487"/>
      <c r="V154" s="440"/>
      <c r="W154" s="487"/>
      <c r="X154" s="440"/>
      <c r="Y154" s="487"/>
      <c r="Z154" s="439"/>
      <c r="AA154" s="487"/>
      <c r="AB154" s="439"/>
      <c r="AC154" s="505"/>
      <c r="AD154" s="432">
        <f t="shared" si="105"/>
        <v>12420</v>
      </c>
      <c r="AE154" s="413">
        <v>1035</v>
      </c>
      <c r="AF154" s="387">
        <f t="shared" si="120"/>
        <v>12420</v>
      </c>
      <c r="AG154" s="413">
        <v>1035</v>
      </c>
      <c r="AH154" s="387">
        <f t="shared" si="121"/>
        <v>12420</v>
      </c>
      <c r="AI154" s="413">
        <v>1035</v>
      </c>
      <c r="AJ154" s="387">
        <f t="shared" si="126"/>
        <v>12420</v>
      </c>
      <c r="AK154" s="413">
        <v>1035</v>
      </c>
      <c r="AL154" s="387">
        <f>+AP154*12</f>
        <v>464640</v>
      </c>
      <c r="AM154" s="387">
        <f t="shared" si="127"/>
        <v>1760</v>
      </c>
      <c r="AN154" s="387">
        <f t="shared" si="128"/>
        <v>1760</v>
      </c>
      <c r="AO154" s="387">
        <v>38720</v>
      </c>
      <c r="AP154" s="387">
        <v>38720</v>
      </c>
      <c r="AQ154" s="387">
        <v>0</v>
      </c>
      <c r="AR154" s="387">
        <v>0</v>
      </c>
      <c r="AS154" s="387">
        <v>0</v>
      </c>
      <c r="AT154" s="387">
        <v>0</v>
      </c>
      <c r="AU154" s="391">
        <f>+G154+I154+K154+M154+O154+Q154+S154+AN154+AI154+U154+W154+Y154+AA154+AC154+AE154+AG154+AM154+AO154+AQ154+AR154+AS154+AT154+AK154+AP154</f>
        <v>89716.75</v>
      </c>
    </row>
    <row r="155" spans="2:47" ht="15" hidden="1" customHeight="1" thickBot="1" x14ac:dyDescent="0.3">
      <c r="B155" s="524" t="s">
        <v>79</v>
      </c>
      <c r="C155" s="532"/>
      <c r="D155" s="532"/>
      <c r="E155" s="532"/>
      <c r="F155" s="532"/>
      <c r="G155" s="532"/>
      <c r="H155" s="532"/>
      <c r="I155" s="532"/>
      <c r="J155" s="532"/>
      <c r="K155" s="532"/>
      <c r="L155" s="532"/>
      <c r="M155" s="532"/>
      <c r="N155" s="532"/>
      <c r="O155" s="532"/>
      <c r="P155" s="532"/>
      <c r="Q155" s="532"/>
      <c r="R155" s="532"/>
      <c r="S155" s="532"/>
      <c r="T155" s="532"/>
      <c r="U155" s="532"/>
      <c r="V155" s="532"/>
      <c r="W155" s="532"/>
      <c r="X155" s="532"/>
      <c r="Y155" s="532"/>
      <c r="Z155" s="532"/>
      <c r="AA155" s="532"/>
      <c r="AB155" s="532"/>
      <c r="AC155" s="532"/>
      <c r="AD155" s="533"/>
      <c r="AE155" s="533"/>
      <c r="AF155" s="533"/>
      <c r="AG155" s="533"/>
      <c r="AH155" s="533"/>
      <c r="AI155" s="533"/>
      <c r="AJ155" s="533"/>
      <c r="AK155" s="533"/>
      <c r="AL155" s="533"/>
      <c r="AM155" s="533"/>
      <c r="AN155" s="533"/>
      <c r="AO155" s="533"/>
      <c r="AP155" s="533"/>
      <c r="AQ155" s="533"/>
      <c r="AR155" s="533"/>
      <c r="AS155" s="533"/>
      <c r="AT155" s="533"/>
      <c r="AU155" s="534"/>
    </row>
    <row r="156" spans="2:47" ht="15.75" hidden="1" thickBot="1" x14ac:dyDescent="0.3">
      <c r="B156" s="471">
        <f>+B154+1</f>
        <v>130</v>
      </c>
      <c r="C156" s="544" t="s">
        <v>80</v>
      </c>
      <c r="D156" s="496"/>
      <c r="E156" s="469"/>
      <c r="F156" s="403"/>
      <c r="G156" s="485"/>
      <c r="H156" s="403"/>
      <c r="I156" s="485"/>
      <c r="J156" s="403"/>
      <c r="K156" s="485"/>
      <c r="L156" s="403"/>
      <c r="M156" s="485"/>
      <c r="N156" s="403"/>
      <c r="O156" s="485"/>
      <c r="P156" s="403"/>
      <c r="Q156" s="485"/>
      <c r="R156" s="403"/>
      <c r="S156" s="485"/>
      <c r="T156" s="403"/>
      <c r="U156" s="485"/>
      <c r="V156" s="403"/>
      <c r="W156" s="485"/>
      <c r="X156" s="403"/>
      <c r="Y156" s="485"/>
      <c r="Z156" s="405"/>
      <c r="AA156" s="485"/>
      <c r="AB156" s="405"/>
      <c r="AC156" s="503"/>
      <c r="AD156" s="432">
        <f t="shared" ref="AD156:AD158" si="131">+AE156*12</f>
        <v>10800</v>
      </c>
      <c r="AE156" s="413">
        <v>900</v>
      </c>
      <c r="AF156" s="387">
        <f t="shared" ref="AF156:AF158" si="132">+AG156*12</f>
        <v>10800</v>
      </c>
      <c r="AG156" s="413">
        <v>900</v>
      </c>
      <c r="AH156" s="387">
        <f t="shared" ref="AH156:AH158" si="133">+AI156*12</f>
        <v>10800</v>
      </c>
      <c r="AI156" s="413">
        <v>900</v>
      </c>
      <c r="AJ156" s="387">
        <f t="shared" ref="AJ156:AJ158" si="134">+AK156*12</f>
        <v>10800</v>
      </c>
      <c r="AK156" s="413">
        <v>900</v>
      </c>
      <c r="AL156" s="387">
        <f t="shared" ref="AL156:AL175" si="135">+AP156*12</f>
        <v>359040</v>
      </c>
      <c r="AM156" s="387">
        <f>1760*F156</f>
        <v>0</v>
      </c>
      <c r="AN156" s="387">
        <f>1760*H156</f>
        <v>0</v>
      </c>
      <c r="AO156" s="387">
        <v>29920</v>
      </c>
      <c r="AP156" s="387">
        <v>29920</v>
      </c>
      <c r="AQ156" s="387">
        <v>0</v>
      </c>
      <c r="AR156" s="387">
        <v>0</v>
      </c>
      <c r="AS156" s="387">
        <v>0</v>
      </c>
      <c r="AT156" s="387">
        <v>0</v>
      </c>
      <c r="AU156" s="391">
        <f>+G156+I156+K156+M156+O156+Q156+S156+AN156+AI156+U156+W156+Y156+AA156+AC156+AE156+AG156+AM156+AO156+AQ156+AR156+AS156+AT156+AK156+AP156</f>
        <v>63440</v>
      </c>
    </row>
    <row r="157" spans="2:47" ht="15.75" hidden="1" thickBot="1" x14ac:dyDescent="0.3">
      <c r="B157" s="471">
        <f>+B156+1</f>
        <v>131</v>
      </c>
      <c r="C157" s="545"/>
      <c r="D157" s="497"/>
      <c r="E157" s="412"/>
      <c r="F157" s="410"/>
      <c r="G157" s="486"/>
      <c r="H157" s="410"/>
      <c r="I157" s="486"/>
      <c r="J157" s="410"/>
      <c r="K157" s="486"/>
      <c r="L157" s="410"/>
      <c r="M157" s="486"/>
      <c r="N157" s="410"/>
      <c r="O157" s="486"/>
      <c r="P157" s="410"/>
      <c r="Q157" s="486"/>
      <c r="R157" s="410"/>
      <c r="S157" s="486"/>
      <c r="T157" s="410"/>
      <c r="U157" s="486"/>
      <c r="V157" s="410"/>
      <c r="W157" s="486"/>
      <c r="X157" s="410"/>
      <c r="Y157" s="486"/>
      <c r="Z157" s="388"/>
      <c r="AA157" s="486"/>
      <c r="AB157" s="388"/>
      <c r="AC157" s="504"/>
      <c r="AD157" s="432">
        <f t="shared" si="131"/>
        <v>9300</v>
      </c>
      <c r="AE157" s="413">
        <v>775</v>
      </c>
      <c r="AF157" s="387">
        <f t="shared" si="132"/>
        <v>9300</v>
      </c>
      <c r="AG157" s="413">
        <v>775</v>
      </c>
      <c r="AH157" s="387">
        <f t="shared" si="133"/>
        <v>9300</v>
      </c>
      <c r="AI157" s="413">
        <v>775</v>
      </c>
      <c r="AJ157" s="387">
        <f t="shared" si="134"/>
        <v>9300</v>
      </c>
      <c r="AK157" s="413">
        <v>775</v>
      </c>
      <c r="AL157" s="387">
        <f t="shared" si="135"/>
        <v>316800</v>
      </c>
      <c r="AM157" s="387">
        <f>1760*F157</f>
        <v>0</v>
      </c>
      <c r="AN157" s="387">
        <f>1760*H157</f>
        <v>0</v>
      </c>
      <c r="AO157" s="387">
        <v>26400</v>
      </c>
      <c r="AP157" s="387">
        <v>26400</v>
      </c>
      <c r="AQ157" s="387">
        <v>0</v>
      </c>
      <c r="AR157" s="387">
        <v>0</v>
      </c>
      <c r="AS157" s="387">
        <v>0</v>
      </c>
      <c r="AT157" s="387">
        <v>0</v>
      </c>
      <c r="AU157" s="391">
        <f>+G157+I157+K157+M157+O157+Q157+S157+AN157+AI157+U157+W157+Y157+AA157+AC157+AE157+AG157+AM157+AO157+AQ157+AR157+AS157+AT157+AK157+AP157</f>
        <v>55900</v>
      </c>
    </row>
    <row r="158" spans="2:47" ht="15.75" hidden="1" thickBot="1" x14ac:dyDescent="0.3">
      <c r="B158" s="471">
        <f t="shared" ref="B158:B175" si="136">+B157+1</f>
        <v>132</v>
      </c>
      <c r="C158" s="545"/>
      <c r="D158" s="497"/>
      <c r="E158" s="412"/>
      <c r="F158" s="410"/>
      <c r="G158" s="486"/>
      <c r="H158" s="410"/>
      <c r="I158" s="486"/>
      <c r="J158" s="410"/>
      <c r="K158" s="486"/>
      <c r="L158" s="410"/>
      <c r="M158" s="486"/>
      <c r="N158" s="410"/>
      <c r="O158" s="486"/>
      <c r="P158" s="410"/>
      <c r="Q158" s="486"/>
      <c r="R158" s="410"/>
      <c r="S158" s="486"/>
      <c r="T158" s="410"/>
      <c r="U158" s="486"/>
      <c r="V158" s="410"/>
      <c r="W158" s="486"/>
      <c r="X158" s="410"/>
      <c r="Y158" s="486"/>
      <c r="Z158" s="388"/>
      <c r="AA158" s="486"/>
      <c r="AB158" s="388"/>
      <c r="AC158" s="504"/>
      <c r="AD158" s="432">
        <f t="shared" si="131"/>
        <v>0</v>
      </c>
      <c r="AE158" s="387">
        <v>0</v>
      </c>
      <c r="AF158" s="387">
        <f t="shared" si="132"/>
        <v>0</v>
      </c>
      <c r="AG158" s="387">
        <v>0</v>
      </c>
      <c r="AH158" s="387">
        <f t="shared" si="133"/>
        <v>0</v>
      </c>
      <c r="AI158" s="387">
        <v>0</v>
      </c>
      <c r="AJ158" s="387">
        <f t="shared" si="134"/>
        <v>0</v>
      </c>
      <c r="AK158" s="387">
        <v>0</v>
      </c>
      <c r="AL158" s="387">
        <f t="shared" si="135"/>
        <v>63360</v>
      </c>
      <c r="AM158" s="387">
        <f>1760*F158</f>
        <v>0</v>
      </c>
      <c r="AN158" s="387">
        <f>1760*H158</f>
        <v>0</v>
      </c>
      <c r="AO158" s="387">
        <v>5280</v>
      </c>
      <c r="AP158" s="387">
        <v>5280</v>
      </c>
      <c r="AQ158" s="387">
        <v>0</v>
      </c>
      <c r="AR158" s="387">
        <v>0</v>
      </c>
      <c r="AS158" s="387">
        <v>0</v>
      </c>
      <c r="AT158" s="387">
        <v>0</v>
      </c>
      <c r="AU158" s="391">
        <f>+G158+I158+K158+M158+O158+Q158+S158+AN158+AI158+U158+W158+Y158+AA158+AC158+AE158+AG158+AM158+AO158+AQ158+AR158+AS158+AT158+AK158+AP158</f>
        <v>10560</v>
      </c>
    </row>
    <row r="159" spans="2:47" ht="15.75" hidden="1" thickBot="1" x14ac:dyDescent="0.3">
      <c r="B159" s="471">
        <f t="shared" si="136"/>
        <v>133</v>
      </c>
      <c r="C159" s="545"/>
      <c r="D159" s="497"/>
      <c r="E159" s="412"/>
      <c r="F159" s="410"/>
      <c r="G159" s="486"/>
      <c r="H159" s="410"/>
      <c r="I159" s="486"/>
      <c r="J159" s="410"/>
      <c r="K159" s="486"/>
      <c r="L159" s="410"/>
      <c r="M159" s="486"/>
      <c r="N159" s="410"/>
      <c r="O159" s="486"/>
      <c r="P159" s="410"/>
      <c r="Q159" s="486"/>
      <c r="R159" s="410"/>
      <c r="S159" s="486"/>
      <c r="T159" s="410"/>
      <c r="U159" s="486"/>
      <c r="V159" s="410"/>
      <c r="W159" s="486"/>
      <c r="X159" s="410"/>
      <c r="Y159" s="486"/>
      <c r="Z159" s="388"/>
      <c r="AA159" s="486"/>
      <c r="AB159" s="388"/>
      <c r="AC159" s="504"/>
      <c r="AD159" s="432"/>
      <c r="AE159" s="387"/>
      <c r="AF159" s="387"/>
      <c r="AG159" s="387"/>
      <c r="AH159" s="387"/>
      <c r="AI159" s="387"/>
      <c r="AJ159" s="387"/>
      <c r="AK159" s="387"/>
      <c r="AL159" s="387">
        <f t="shared" si="135"/>
        <v>21120</v>
      </c>
      <c r="AM159" s="387"/>
      <c r="AN159" s="387"/>
      <c r="AO159" s="387">
        <v>1760</v>
      </c>
      <c r="AP159" s="387">
        <v>1760</v>
      </c>
      <c r="AQ159" s="387"/>
      <c r="AR159" s="387"/>
      <c r="AS159" s="387"/>
      <c r="AT159" s="387"/>
      <c r="AU159" s="391"/>
    </row>
    <row r="160" spans="2:47" ht="15.75" hidden="1" thickBot="1" x14ac:dyDescent="0.3">
      <c r="B160" s="471">
        <f t="shared" si="136"/>
        <v>134</v>
      </c>
      <c r="C160" s="545"/>
      <c r="D160" s="497"/>
      <c r="E160" s="412"/>
      <c r="F160" s="410"/>
      <c r="G160" s="486"/>
      <c r="H160" s="410"/>
      <c r="I160" s="486"/>
      <c r="J160" s="410"/>
      <c r="K160" s="486"/>
      <c r="L160" s="410"/>
      <c r="M160" s="486"/>
      <c r="N160" s="410"/>
      <c r="O160" s="486"/>
      <c r="P160" s="410"/>
      <c r="Q160" s="486"/>
      <c r="R160" s="410"/>
      <c r="S160" s="486"/>
      <c r="T160" s="410"/>
      <c r="U160" s="486"/>
      <c r="V160" s="410"/>
      <c r="W160" s="486"/>
      <c r="X160" s="410"/>
      <c r="Y160" s="486"/>
      <c r="Z160" s="388"/>
      <c r="AA160" s="486"/>
      <c r="AB160" s="388"/>
      <c r="AC160" s="504"/>
      <c r="AD160" s="432">
        <f t="shared" ref="AD160:AD169" si="137">+AE160*12</f>
        <v>600</v>
      </c>
      <c r="AE160" s="413">
        <v>50</v>
      </c>
      <c r="AF160" s="387">
        <f t="shared" ref="AF160:AF169" si="138">+AG160*12</f>
        <v>600</v>
      </c>
      <c r="AG160" s="413">
        <v>50</v>
      </c>
      <c r="AH160" s="387">
        <f t="shared" ref="AH160:AH169" si="139">+AI160*12</f>
        <v>600</v>
      </c>
      <c r="AI160" s="413">
        <v>50</v>
      </c>
      <c r="AJ160" s="387">
        <f t="shared" ref="AJ160:AJ169" si="140">+AK160*12</f>
        <v>600</v>
      </c>
      <c r="AK160" s="413">
        <v>50</v>
      </c>
      <c r="AL160" s="387">
        <f t="shared" si="135"/>
        <v>63360</v>
      </c>
      <c r="AM160" s="387">
        <f t="shared" ref="AM160:AM169" si="141">1760*F160</f>
        <v>0</v>
      </c>
      <c r="AN160" s="387">
        <f t="shared" ref="AN160:AN169" si="142">1760*H160</f>
        <v>0</v>
      </c>
      <c r="AO160" s="387">
        <v>5280</v>
      </c>
      <c r="AP160" s="387">
        <v>5280</v>
      </c>
      <c r="AQ160" s="387">
        <v>0</v>
      </c>
      <c r="AR160" s="387">
        <v>0</v>
      </c>
      <c r="AS160" s="387">
        <v>0</v>
      </c>
      <c r="AT160" s="387">
        <v>0</v>
      </c>
      <c r="AU160" s="391">
        <f t="shared" ref="AU160:AU169" si="143">+G160+I160+K160+M160+O160+Q160+S160+AN160+AI160+U160+W160+Y160+AA160+AC160+AE160+AG160+AM160+AO160+AQ160+AR160+AS160+AT160+AK160+AP160</f>
        <v>10760</v>
      </c>
    </row>
    <row r="161" spans="2:47" ht="15.75" hidden="1" thickBot="1" x14ac:dyDescent="0.3">
      <c r="B161" s="471">
        <f>+B160+1</f>
        <v>135</v>
      </c>
      <c r="C161" s="545"/>
      <c r="D161" s="497"/>
      <c r="E161" s="412"/>
      <c r="F161" s="410"/>
      <c r="G161" s="486"/>
      <c r="H161" s="410"/>
      <c r="I161" s="486"/>
      <c r="J161" s="410"/>
      <c r="K161" s="486"/>
      <c r="L161" s="410"/>
      <c r="M161" s="486"/>
      <c r="N161" s="410"/>
      <c r="O161" s="486"/>
      <c r="P161" s="410"/>
      <c r="Q161" s="486"/>
      <c r="R161" s="410"/>
      <c r="S161" s="486"/>
      <c r="T161" s="410"/>
      <c r="U161" s="486"/>
      <c r="V161" s="410"/>
      <c r="W161" s="486"/>
      <c r="X161" s="410"/>
      <c r="Y161" s="486"/>
      <c r="Z161" s="388"/>
      <c r="AA161" s="486"/>
      <c r="AB161" s="388"/>
      <c r="AC161" s="504"/>
      <c r="AD161" s="432">
        <f t="shared" si="137"/>
        <v>0</v>
      </c>
      <c r="AE161" s="387">
        <v>0</v>
      </c>
      <c r="AF161" s="387">
        <f t="shared" si="138"/>
        <v>0</v>
      </c>
      <c r="AG161" s="387">
        <v>0</v>
      </c>
      <c r="AH161" s="387">
        <f t="shared" si="139"/>
        <v>0</v>
      </c>
      <c r="AI161" s="387">
        <v>0</v>
      </c>
      <c r="AJ161" s="387">
        <f t="shared" si="140"/>
        <v>0</v>
      </c>
      <c r="AK161" s="387"/>
      <c r="AL161" s="387">
        <f t="shared" si="135"/>
        <v>21120</v>
      </c>
      <c r="AM161" s="387">
        <f t="shared" si="141"/>
        <v>0</v>
      </c>
      <c r="AN161" s="387">
        <f t="shared" si="142"/>
        <v>0</v>
      </c>
      <c r="AO161" s="387">
        <v>1760</v>
      </c>
      <c r="AP161" s="387">
        <v>1760</v>
      </c>
      <c r="AQ161" s="387">
        <v>0</v>
      </c>
      <c r="AR161" s="387">
        <v>0</v>
      </c>
      <c r="AS161" s="387">
        <v>0</v>
      </c>
      <c r="AT161" s="387">
        <v>0</v>
      </c>
      <c r="AU161" s="391">
        <f t="shared" si="143"/>
        <v>3520</v>
      </c>
    </row>
    <row r="162" spans="2:47" ht="15.75" hidden="1" thickBot="1" x14ac:dyDescent="0.3">
      <c r="B162" s="471">
        <f t="shared" si="136"/>
        <v>136</v>
      </c>
      <c r="C162" s="545"/>
      <c r="D162" s="497"/>
      <c r="E162" s="412"/>
      <c r="F162" s="410"/>
      <c r="G162" s="486"/>
      <c r="H162" s="410"/>
      <c r="I162" s="486"/>
      <c r="J162" s="410"/>
      <c r="K162" s="486"/>
      <c r="L162" s="410"/>
      <c r="M162" s="486"/>
      <c r="N162" s="410"/>
      <c r="O162" s="486"/>
      <c r="P162" s="410"/>
      <c r="Q162" s="486"/>
      <c r="R162" s="410"/>
      <c r="S162" s="486"/>
      <c r="T162" s="410"/>
      <c r="U162" s="486"/>
      <c r="V162" s="410"/>
      <c r="W162" s="486"/>
      <c r="X162" s="410"/>
      <c r="Y162" s="486"/>
      <c r="Z162" s="388"/>
      <c r="AA162" s="486"/>
      <c r="AB162" s="388"/>
      <c r="AC162" s="504"/>
      <c r="AD162" s="432">
        <f t="shared" si="137"/>
        <v>3120</v>
      </c>
      <c r="AE162" s="413">
        <v>260</v>
      </c>
      <c r="AF162" s="387">
        <f t="shared" si="138"/>
        <v>3120</v>
      </c>
      <c r="AG162" s="413">
        <v>260</v>
      </c>
      <c r="AH162" s="387">
        <f t="shared" si="139"/>
        <v>3120</v>
      </c>
      <c r="AI162" s="413">
        <v>260</v>
      </c>
      <c r="AJ162" s="387">
        <f t="shared" si="140"/>
        <v>3120</v>
      </c>
      <c r="AK162" s="413">
        <v>260</v>
      </c>
      <c r="AL162" s="387">
        <f t="shared" si="135"/>
        <v>422400</v>
      </c>
      <c r="AM162" s="387">
        <f t="shared" si="141"/>
        <v>0</v>
      </c>
      <c r="AN162" s="387">
        <f t="shared" si="142"/>
        <v>0</v>
      </c>
      <c r="AO162" s="387">
        <v>35200</v>
      </c>
      <c r="AP162" s="387">
        <v>35200</v>
      </c>
      <c r="AQ162" s="387">
        <v>0</v>
      </c>
      <c r="AR162" s="387">
        <v>0</v>
      </c>
      <c r="AS162" s="387">
        <v>0</v>
      </c>
      <c r="AT162" s="387">
        <v>0</v>
      </c>
      <c r="AU162" s="391">
        <f t="shared" si="143"/>
        <v>71440</v>
      </c>
    </row>
    <row r="163" spans="2:47" ht="15.75" hidden="1" thickBot="1" x14ac:dyDescent="0.3">
      <c r="B163" s="471">
        <f t="shared" si="136"/>
        <v>137</v>
      </c>
      <c r="C163" s="545"/>
      <c r="D163" s="497"/>
      <c r="E163" s="412"/>
      <c r="F163" s="410"/>
      <c r="G163" s="486"/>
      <c r="H163" s="410"/>
      <c r="I163" s="486"/>
      <c r="J163" s="410"/>
      <c r="K163" s="486"/>
      <c r="L163" s="410"/>
      <c r="M163" s="486"/>
      <c r="N163" s="410"/>
      <c r="O163" s="486"/>
      <c r="P163" s="410"/>
      <c r="Q163" s="486"/>
      <c r="R163" s="410"/>
      <c r="S163" s="486"/>
      <c r="T163" s="410"/>
      <c r="U163" s="486"/>
      <c r="V163" s="410"/>
      <c r="W163" s="486"/>
      <c r="X163" s="410"/>
      <c r="Y163" s="486"/>
      <c r="Z163" s="388"/>
      <c r="AA163" s="486"/>
      <c r="AB163" s="388"/>
      <c r="AC163" s="504"/>
      <c r="AD163" s="432">
        <f t="shared" si="137"/>
        <v>900</v>
      </c>
      <c r="AE163" s="413">
        <v>75</v>
      </c>
      <c r="AF163" s="387">
        <f t="shared" si="138"/>
        <v>900</v>
      </c>
      <c r="AG163" s="413">
        <v>75</v>
      </c>
      <c r="AH163" s="387">
        <f t="shared" si="139"/>
        <v>900</v>
      </c>
      <c r="AI163" s="413">
        <v>75</v>
      </c>
      <c r="AJ163" s="387">
        <f t="shared" si="140"/>
        <v>900</v>
      </c>
      <c r="AK163" s="413">
        <v>75</v>
      </c>
      <c r="AL163" s="387">
        <f t="shared" si="135"/>
        <v>21120</v>
      </c>
      <c r="AM163" s="387">
        <f t="shared" si="141"/>
        <v>0</v>
      </c>
      <c r="AN163" s="387">
        <f t="shared" si="142"/>
        <v>0</v>
      </c>
      <c r="AO163" s="387">
        <v>1760</v>
      </c>
      <c r="AP163" s="387">
        <v>1760</v>
      </c>
      <c r="AQ163" s="387">
        <v>0</v>
      </c>
      <c r="AR163" s="387">
        <v>0</v>
      </c>
      <c r="AS163" s="387">
        <v>0</v>
      </c>
      <c r="AT163" s="387">
        <v>0</v>
      </c>
      <c r="AU163" s="391">
        <f t="shared" si="143"/>
        <v>3820</v>
      </c>
    </row>
    <row r="164" spans="2:47" ht="15.75" hidden="1" thickBot="1" x14ac:dyDescent="0.3">
      <c r="B164" s="471">
        <f t="shared" si="136"/>
        <v>138</v>
      </c>
      <c r="C164" s="545"/>
      <c r="D164" s="497"/>
      <c r="E164" s="412"/>
      <c r="F164" s="410"/>
      <c r="G164" s="486"/>
      <c r="H164" s="410"/>
      <c r="I164" s="486"/>
      <c r="J164" s="410"/>
      <c r="K164" s="486"/>
      <c r="L164" s="410"/>
      <c r="M164" s="486"/>
      <c r="N164" s="410"/>
      <c r="O164" s="486"/>
      <c r="P164" s="410"/>
      <c r="Q164" s="486"/>
      <c r="R164" s="410"/>
      <c r="S164" s="486"/>
      <c r="T164" s="410"/>
      <c r="U164" s="486"/>
      <c r="V164" s="410"/>
      <c r="W164" s="486"/>
      <c r="X164" s="410"/>
      <c r="Y164" s="486"/>
      <c r="Z164" s="388"/>
      <c r="AA164" s="486"/>
      <c r="AB164" s="388"/>
      <c r="AC164" s="504"/>
      <c r="AD164" s="432">
        <f t="shared" si="137"/>
        <v>600</v>
      </c>
      <c r="AE164" s="413">
        <v>50</v>
      </c>
      <c r="AF164" s="387">
        <f t="shared" si="138"/>
        <v>600</v>
      </c>
      <c r="AG164" s="413">
        <v>50</v>
      </c>
      <c r="AH164" s="387">
        <f t="shared" si="139"/>
        <v>600</v>
      </c>
      <c r="AI164" s="413">
        <v>50</v>
      </c>
      <c r="AJ164" s="387">
        <f t="shared" si="140"/>
        <v>600</v>
      </c>
      <c r="AK164" s="413">
        <v>50</v>
      </c>
      <c r="AL164" s="387">
        <f t="shared" si="135"/>
        <v>42240</v>
      </c>
      <c r="AM164" s="387">
        <f t="shared" si="141"/>
        <v>0</v>
      </c>
      <c r="AN164" s="387">
        <f t="shared" si="142"/>
        <v>0</v>
      </c>
      <c r="AO164" s="387">
        <v>3520</v>
      </c>
      <c r="AP164" s="387">
        <v>3520</v>
      </c>
      <c r="AQ164" s="387">
        <v>0</v>
      </c>
      <c r="AR164" s="387">
        <v>0</v>
      </c>
      <c r="AS164" s="387">
        <v>0</v>
      </c>
      <c r="AT164" s="387">
        <v>0</v>
      </c>
      <c r="AU164" s="391">
        <f t="shared" si="143"/>
        <v>7240</v>
      </c>
    </row>
    <row r="165" spans="2:47" ht="15.75" hidden="1" thickBot="1" x14ac:dyDescent="0.3">
      <c r="B165" s="471">
        <f t="shared" si="136"/>
        <v>139</v>
      </c>
      <c r="C165" s="545"/>
      <c r="D165" s="497"/>
      <c r="E165" s="412"/>
      <c r="F165" s="410"/>
      <c r="G165" s="486"/>
      <c r="H165" s="410"/>
      <c r="I165" s="486"/>
      <c r="J165" s="410"/>
      <c r="K165" s="486"/>
      <c r="L165" s="410"/>
      <c r="M165" s="486"/>
      <c r="N165" s="410"/>
      <c r="O165" s="486"/>
      <c r="P165" s="410"/>
      <c r="Q165" s="486"/>
      <c r="R165" s="410"/>
      <c r="S165" s="486"/>
      <c r="T165" s="410"/>
      <c r="U165" s="486"/>
      <c r="V165" s="410"/>
      <c r="W165" s="486"/>
      <c r="X165" s="410"/>
      <c r="Y165" s="486"/>
      <c r="Z165" s="388"/>
      <c r="AA165" s="486"/>
      <c r="AB165" s="388"/>
      <c r="AC165" s="504"/>
      <c r="AD165" s="432">
        <f t="shared" si="137"/>
        <v>600</v>
      </c>
      <c r="AE165" s="413">
        <v>50</v>
      </c>
      <c r="AF165" s="387">
        <f t="shared" si="138"/>
        <v>600</v>
      </c>
      <c r="AG165" s="413">
        <v>50</v>
      </c>
      <c r="AH165" s="387">
        <f t="shared" si="139"/>
        <v>600</v>
      </c>
      <c r="AI165" s="413">
        <v>50</v>
      </c>
      <c r="AJ165" s="387">
        <f t="shared" si="140"/>
        <v>600</v>
      </c>
      <c r="AK165" s="413">
        <v>50</v>
      </c>
      <c r="AL165" s="387">
        <f t="shared" si="135"/>
        <v>21120</v>
      </c>
      <c r="AM165" s="387">
        <f t="shared" si="141"/>
        <v>0</v>
      </c>
      <c r="AN165" s="387">
        <f t="shared" si="142"/>
        <v>0</v>
      </c>
      <c r="AO165" s="387">
        <v>1760</v>
      </c>
      <c r="AP165" s="387">
        <v>1760</v>
      </c>
      <c r="AQ165" s="387">
        <v>0</v>
      </c>
      <c r="AR165" s="387">
        <v>0</v>
      </c>
      <c r="AS165" s="387">
        <v>0</v>
      </c>
      <c r="AT165" s="387">
        <v>0</v>
      </c>
      <c r="AU165" s="391">
        <f t="shared" si="143"/>
        <v>3720</v>
      </c>
    </row>
    <row r="166" spans="2:47" ht="15.75" hidden="1" thickBot="1" x14ac:dyDescent="0.3">
      <c r="B166" s="471">
        <f t="shared" si="136"/>
        <v>140</v>
      </c>
      <c r="C166" s="545"/>
      <c r="D166" s="497"/>
      <c r="E166" s="412"/>
      <c r="F166" s="410"/>
      <c r="G166" s="486"/>
      <c r="H166" s="410"/>
      <c r="I166" s="486"/>
      <c r="J166" s="410"/>
      <c r="K166" s="486"/>
      <c r="L166" s="410"/>
      <c r="M166" s="486"/>
      <c r="N166" s="410"/>
      <c r="O166" s="486"/>
      <c r="P166" s="410"/>
      <c r="Q166" s="486"/>
      <c r="R166" s="410"/>
      <c r="S166" s="486"/>
      <c r="T166" s="410"/>
      <c r="U166" s="486"/>
      <c r="V166" s="410"/>
      <c r="W166" s="486"/>
      <c r="X166" s="410"/>
      <c r="Y166" s="486"/>
      <c r="Z166" s="388"/>
      <c r="AA166" s="486"/>
      <c r="AB166" s="388"/>
      <c r="AC166" s="504"/>
      <c r="AD166" s="432">
        <f t="shared" si="137"/>
        <v>2700</v>
      </c>
      <c r="AE166" s="413">
        <v>225</v>
      </c>
      <c r="AF166" s="387">
        <f t="shared" si="138"/>
        <v>2700</v>
      </c>
      <c r="AG166" s="413">
        <v>225</v>
      </c>
      <c r="AH166" s="387">
        <f t="shared" si="139"/>
        <v>2700</v>
      </c>
      <c r="AI166" s="413">
        <v>225</v>
      </c>
      <c r="AJ166" s="387">
        <f t="shared" si="140"/>
        <v>2700</v>
      </c>
      <c r="AK166" s="413">
        <v>225</v>
      </c>
      <c r="AL166" s="387">
        <f t="shared" si="135"/>
        <v>84480</v>
      </c>
      <c r="AM166" s="387">
        <f t="shared" si="141"/>
        <v>0</v>
      </c>
      <c r="AN166" s="387">
        <f t="shared" si="142"/>
        <v>0</v>
      </c>
      <c r="AO166" s="387">
        <v>7040</v>
      </c>
      <c r="AP166" s="387">
        <v>7040</v>
      </c>
      <c r="AQ166" s="387">
        <v>0</v>
      </c>
      <c r="AR166" s="387">
        <v>0</v>
      </c>
      <c r="AS166" s="387">
        <v>0</v>
      </c>
      <c r="AT166" s="387">
        <v>0</v>
      </c>
      <c r="AU166" s="391">
        <f t="shared" si="143"/>
        <v>14980</v>
      </c>
    </row>
    <row r="167" spans="2:47" ht="15.75" hidden="1" thickBot="1" x14ac:dyDescent="0.3">
      <c r="B167" s="471">
        <f t="shared" si="136"/>
        <v>141</v>
      </c>
      <c r="C167" s="545"/>
      <c r="D167" s="497"/>
      <c r="E167" s="412"/>
      <c r="F167" s="410"/>
      <c r="G167" s="486"/>
      <c r="H167" s="410"/>
      <c r="I167" s="486"/>
      <c r="J167" s="410"/>
      <c r="K167" s="486"/>
      <c r="L167" s="410"/>
      <c r="M167" s="486"/>
      <c r="N167" s="410"/>
      <c r="O167" s="486"/>
      <c r="P167" s="410"/>
      <c r="Q167" s="486"/>
      <c r="R167" s="410"/>
      <c r="S167" s="486"/>
      <c r="T167" s="410"/>
      <c r="U167" s="486"/>
      <c r="V167" s="410"/>
      <c r="W167" s="486"/>
      <c r="X167" s="410"/>
      <c r="Y167" s="486"/>
      <c r="Z167" s="388"/>
      <c r="AA167" s="486"/>
      <c r="AB167" s="388"/>
      <c r="AC167" s="504"/>
      <c r="AD167" s="432">
        <f t="shared" si="137"/>
        <v>0</v>
      </c>
      <c r="AE167" s="387">
        <v>0</v>
      </c>
      <c r="AF167" s="387">
        <f t="shared" si="138"/>
        <v>0</v>
      </c>
      <c r="AG167" s="387">
        <v>0</v>
      </c>
      <c r="AH167" s="387">
        <f t="shared" si="139"/>
        <v>0</v>
      </c>
      <c r="AI167" s="387">
        <v>0</v>
      </c>
      <c r="AJ167" s="387">
        <f t="shared" si="140"/>
        <v>0</v>
      </c>
      <c r="AK167" s="387"/>
      <c r="AL167" s="387">
        <f t="shared" si="135"/>
        <v>21120</v>
      </c>
      <c r="AM167" s="387">
        <f t="shared" si="141"/>
        <v>0</v>
      </c>
      <c r="AN167" s="387">
        <f t="shared" si="142"/>
        <v>0</v>
      </c>
      <c r="AO167" s="387">
        <v>1760</v>
      </c>
      <c r="AP167" s="387">
        <v>1760</v>
      </c>
      <c r="AQ167" s="387">
        <v>0</v>
      </c>
      <c r="AR167" s="387">
        <v>0</v>
      </c>
      <c r="AS167" s="387">
        <v>0</v>
      </c>
      <c r="AT167" s="387">
        <v>0</v>
      </c>
      <c r="AU167" s="391">
        <f t="shared" si="143"/>
        <v>3520</v>
      </c>
    </row>
    <row r="168" spans="2:47" ht="15.75" hidden="1" thickBot="1" x14ac:dyDescent="0.3">
      <c r="B168" s="471">
        <f t="shared" si="136"/>
        <v>142</v>
      </c>
      <c r="C168" s="545"/>
      <c r="D168" s="497"/>
      <c r="E168" s="412"/>
      <c r="F168" s="410"/>
      <c r="G168" s="486"/>
      <c r="H168" s="410"/>
      <c r="I168" s="486"/>
      <c r="J168" s="410"/>
      <c r="K168" s="486"/>
      <c r="L168" s="410"/>
      <c r="M168" s="486"/>
      <c r="N168" s="410"/>
      <c r="O168" s="486"/>
      <c r="P168" s="410"/>
      <c r="Q168" s="486"/>
      <c r="R168" s="410"/>
      <c r="S168" s="486"/>
      <c r="T168" s="410"/>
      <c r="U168" s="486"/>
      <c r="V168" s="410"/>
      <c r="W168" s="486"/>
      <c r="X168" s="410"/>
      <c r="Y168" s="486"/>
      <c r="Z168" s="388"/>
      <c r="AA168" s="486"/>
      <c r="AB168" s="388"/>
      <c r="AC168" s="504"/>
      <c r="AD168" s="432">
        <f t="shared" si="137"/>
        <v>69600</v>
      </c>
      <c r="AE168" s="413">
        <v>5800</v>
      </c>
      <c r="AF168" s="387">
        <f t="shared" si="138"/>
        <v>69600</v>
      </c>
      <c r="AG168" s="413">
        <v>5800</v>
      </c>
      <c r="AH168" s="387">
        <f t="shared" si="139"/>
        <v>69000</v>
      </c>
      <c r="AI168" s="413">
        <v>5750</v>
      </c>
      <c r="AJ168" s="387">
        <f t="shared" si="140"/>
        <v>69000</v>
      </c>
      <c r="AK168" s="413">
        <v>5750</v>
      </c>
      <c r="AL168" s="387">
        <f t="shared" si="135"/>
        <v>4762895.1251612827</v>
      </c>
      <c r="AM168" s="387">
        <f t="shared" si="141"/>
        <v>0</v>
      </c>
      <c r="AN168" s="387">
        <f t="shared" si="142"/>
        <v>0</v>
      </c>
      <c r="AO168" s="387">
        <v>202400</v>
      </c>
      <c r="AP168" s="387">
        <v>396907.92709677352</v>
      </c>
      <c r="AQ168" s="387">
        <v>0</v>
      </c>
      <c r="AR168" s="387">
        <v>0</v>
      </c>
      <c r="AS168" s="387">
        <v>0</v>
      </c>
      <c r="AT168" s="387">
        <v>0</v>
      </c>
      <c r="AU168" s="391">
        <f t="shared" si="143"/>
        <v>622407.92709677352</v>
      </c>
    </row>
    <row r="169" spans="2:47" ht="15.75" hidden="1" thickBot="1" x14ac:dyDescent="0.3">
      <c r="B169" s="471">
        <f t="shared" si="136"/>
        <v>143</v>
      </c>
      <c r="C169" s="545"/>
      <c r="D169" s="497"/>
      <c r="E169" s="412"/>
      <c r="F169" s="410"/>
      <c r="G169" s="486"/>
      <c r="H169" s="410"/>
      <c r="I169" s="486"/>
      <c r="J169" s="410"/>
      <c r="K169" s="486"/>
      <c r="L169" s="410"/>
      <c r="M169" s="486"/>
      <c r="N169" s="410"/>
      <c r="O169" s="486"/>
      <c r="P169" s="410"/>
      <c r="Q169" s="486"/>
      <c r="R169" s="410"/>
      <c r="S169" s="486"/>
      <c r="T169" s="410"/>
      <c r="U169" s="486"/>
      <c r="V169" s="410"/>
      <c r="W169" s="486"/>
      <c r="X169" s="410"/>
      <c r="Y169" s="486"/>
      <c r="Z169" s="388"/>
      <c r="AA169" s="486"/>
      <c r="AB169" s="388"/>
      <c r="AC169" s="504"/>
      <c r="AD169" s="432">
        <f t="shared" si="137"/>
        <v>12420</v>
      </c>
      <c r="AE169" s="413">
        <v>1035</v>
      </c>
      <c r="AF169" s="387">
        <f t="shared" si="138"/>
        <v>12420</v>
      </c>
      <c r="AG169" s="413">
        <v>1035</v>
      </c>
      <c r="AH169" s="387">
        <f t="shared" si="139"/>
        <v>12420</v>
      </c>
      <c r="AI169" s="413">
        <v>1035</v>
      </c>
      <c r="AJ169" s="387">
        <f t="shared" si="140"/>
        <v>12420</v>
      </c>
      <c r="AK169" s="413">
        <v>1035</v>
      </c>
      <c r="AL169" s="387">
        <f t="shared" si="135"/>
        <v>464640</v>
      </c>
      <c r="AM169" s="387">
        <f t="shared" si="141"/>
        <v>0</v>
      </c>
      <c r="AN169" s="387">
        <f t="shared" si="142"/>
        <v>0</v>
      </c>
      <c r="AO169" s="387">
        <v>38720</v>
      </c>
      <c r="AP169" s="387">
        <v>38720</v>
      </c>
      <c r="AQ169" s="387">
        <v>0</v>
      </c>
      <c r="AR169" s="387">
        <v>0</v>
      </c>
      <c r="AS169" s="387">
        <v>0</v>
      </c>
      <c r="AT169" s="387">
        <v>0</v>
      </c>
      <c r="AU169" s="391">
        <f t="shared" si="143"/>
        <v>81580</v>
      </c>
    </row>
    <row r="170" spans="2:47" ht="15.75" hidden="1" thickBot="1" x14ac:dyDescent="0.3">
      <c r="B170" s="471">
        <f t="shared" si="136"/>
        <v>144</v>
      </c>
      <c r="C170" s="546"/>
      <c r="D170" s="498"/>
      <c r="E170" s="414"/>
      <c r="F170" s="415"/>
      <c r="G170" s="491"/>
      <c r="H170" s="415"/>
      <c r="I170" s="491"/>
      <c r="J170" s="415"/>
      <c r="K170" s="486"/>
      <c r="L170" s="415"/>
      <c r="M170" s="486"/>
      <c r="N170" s="415"/>
      <c r="O170" s="486"/>
      <c r="P170" s="415"/>
      <c r="Q170" s="486"/>
      <c r="R170" s="415"/>
      <c r="S170" s="486"/>
      <c r="T170" s="415"/>
      <c r="U170" s="486"/>
      <c r="V170" s="415"/>
      <c r="W170" s="486"/>
      <c r="X170" s="415"/>
      <c r="Y170" s="486"/>
      <c r="Z170" s="388"/>
      <c r="AA170" s="486"/>
      <c r="AB170" s="388"/>
      <c r="AC170" s="504"/>
      <c r="AD170" s="474"/>
      <c r="AE170" s="416"/>
      <c r="AF170" s="392"/>
      <c r="AG170" s="416"/>
      <c r="AH170" s="392"/>
      <c r="AI170" s="416"/>
      <c r="AJ170" s="392"/>
      <c r="AK170" s="416"/>
      <c r="AL170" s="387"/>
      <c r="AM170" s="392"/>
      <c r="AN170" s="392"/>
      <c r="AO170" s="392"/>
      <c r="AP170" s="392"/>
      <c r="AQ170" s="392"/>
      <c r="AR170" s="392"/>
      <c r="AS170" s="392"/>
      <c r="AT170" s="392"/>
      <c r="AU170" s="391"/>
    </row>
    <row r="171" spans="2:47" ht="15.75" hidden="1" thickBot="1" x14ac:dyDescent="0.3">
      <c r="B171" s="471">
        <f t="shared" si="136"/>
        <v>145</v>
      </c>
      <c r="C171" s="546"/>
      <c r="D171" s="498"/>
      <c r="E171" s="414"/>
      <c r="F171" s="415"/>
      <c r="G171" s="491"/>
      <c r="H171" s="415"/>
      <c r="I171" s="491"/>
      <c r="J171" s="415"/>
      <c r="K171" s="486"/>
      <c r="L171" s="415"/>
      <c r="M171" s="486"/>
      <c r="N171" s="415"/>
      <c r="O171" s="486"/>
      <c r="P171" s="415"/>
      <c r="Q171" s="486"/>
      <c r="R171" s="415"/>
      <c r="S171" s="486"/>
      <c r="T171" s="415"/>
      <c r="U171" s="486"/>
      <c r="V171" s="415"/>
      <c r="W171" s="486"/>
      <c r="X171" s="415"/>
      <c r="Y171" s="486"/>
      <c r="Z171" s="388"/>
      <c r="AA171" s="486"/>
      <c r="AB171" s="388"/>
      <c r="AC171" s="504"/>
      <c r="AD171" s="474"/>
      <c r="AE171" s="416"/>
      <c r="AF171" s="392"/>
      <c r="AG171" s="416"/>
      <c r="AH171" s="392"/>
      <c r="AI171" s="416"/>
      <c r="AJ171" s="392"/>
      <c r="AK171" s="416"/>
      <c r="AL171" s="387"/>
      <c r="AM171" s="392"/>
      <c r="AN171" s="392"/>
      <c r="AO171" s="392"/>
      <c r="AP171" s="392"/>
      <c r="AQ171" s="392"/>
      <c r="AR171" s="392"/>
      <c r="AS171" s="392"/>
      <c r="AT171" s="392"/>
      <c r="AU171" s="391"/>
    </row>
    <row r="172" spans="2:47" ht="15.75" hidden="1" thickBot="1" x14ac:dyDescent="0.3">
      <c r="B172" s="471">
        <f t="shared" si="136"/>
        <v>146</v>
      </c>
      <c r="C172" s="546"/>
      <c r="D172" s="498"/>
      <c r="E172" s="414"/>
      <c r="F172" s="415"/>
      <c r="G172" s="491"/>
      <c r="H172" s="415"/>
      <c r="I172" s="491"/>
      <c r="J172" s="415"/>
      <c r="K172" s="486"/>
      <c r="L172" s="415"/>
      <c r="M172" s="486"/>
      <c r="N172" s="415"/>
      <c r="O172" s="486"/>
      <c r="P172" s="415"/>
      <c r="Q172" s="486"/>
      <c r="R172" s="415"/>
      <c r="S172" s="486"/>
      <c r="T172" s="415"/>
      <c r="U172" s="486"/>
      <c r="V172" s="415"/>
      <c r="W172" s="486"/>
      <c r="X172" s="415"/>
      <c r="Y172" s="486"/>
      <c r="Z172" s="388"/>
      <c r="AA172" s="486"/>
      <c r="AB172" s="388"/>
      <c r="AC172" s="504"/>
      <c r="AD172" s="474"/>
      <c r="AE172" s="416"/>
      <c r="AF172" s="392"/>
      <c r="AG172" s="416"/>
      <c r="AH172" s="392"/>
      <c r="AI172" s="416"/>
      <c r="AJ172" s="392"/>
      <c r="AK172" s="416"/>
      <c r="AL172" s="387"/>
      <c r="AM172" s="392"/>
      <c r="AN172" s="392"/>
      <c r="AO172" s="392"/>
      <c r="AP172" s="392"/>
      <c r="AQ172" s="392"/>
      <c r="AR172" s="392"/>
      <c r="AS172" s="392"/>
      <c r="AT172" s="392"/>
      <c r="AU172" s="391"/>
    </row>
    <row r="173" spans="2:47" ht="15.75" hidden="1" thickBot="1" x14ac:dyDescent="0.3">
      <c r="B173" s="471">
        <f t="shared" si="136"/>
        <v>147</v>
      </c>
      <c r="C173" s="546"/>
      <c r="D173" s="498"/>
      <c r="E173" s="414"/>
      <c r="F173" s="415"/>
      <c r="G173" s="491"/>
      <c r="H173" s="415"/>
      <c r="I173" s="491"/>
      <c r="J173" s="415"/>
      <c r="K173" s="486"/>
      <c r="L173" s="415"/>
      <c r="M173" s="486"/>
      <c r="N173" s="415"/>
      <c r="O173" s="486"/>
      <c r="P173" s="415"/>
      <c r="Q173" s="486"/>
      <c r="R173" s="415"/>
      <c r="S173" s="486"/>
      <c r="T173" s="415"/>
      <c r="U173" s="486"/>
      <c r="V173" s="415"/>
      <c r="W173" s="486"/>
      <c r="X173" s="415"/>
      <c r="Y173" s="486"/>
      <c r="Z173" s="388"/>
      <c r="AA173" s="486"/>
      <c r="AB173" s="388"/>
      <c r="AC173" s="504"/>
      <c r="AD173" s="474"/>
      <c r="AE173" s="416"/>
      <c r="AF173" s="392"/>
      <c r="AG173" s="416"/>
      <c r="AH173" s="392"/>
      <c r="AI173" s="416"/>
      <c r="AJ173" s="392"/>
      <c r="AK173" s="416"/>
      <c r="AL173" s="387">
        <f t="shared" si="135"/>
        <v>42240</v>
      </c>
      <c r="AM173" s="392"/>
      <c r="AN173" s="392"/>
      <c r="AO173" s="392"/>
      <c r="AP173" s="392">
        <v>3520</v>
      </c>
      <c r="AQ173" s="392"/>
      <c r="AR173" s="392"/>
      <c r="AS173" s="392"/>
      <c r="AT173" s="392"/>
      <c r="AU173" s="391"/>
    </row>
    <row r="174" spans="2:47" ht="15.75" hidden="1" thickBot="1" x14ac:dyDescent="0.3">
      <c r="B174" s="471">
        <f t="shared" si="136"/>
        <v>148</v>
      </c>
      <c r="C174" s="546"/>
      <c r="D174" s="497"/>
      <c r="E174" s="412"/>
      <c r="F174" s="410"/>
      <c r="G174" s="486"/>
      <c r="H174" s="410"/>
      <c r="I174" s="486"/>
      <c r="J174" s="410"/>
      <c r="K174" s="486"/>
      <c r="L174" s="410"/>
      <c r="M174" s="486"/>
      <c r="N174" s="410"/>
      <c r="O174" s="486"/>
      <c r="P174" s="410"/>
      <c r="Q174" s="486"/>
      <c r="R174" s="410"/>
      <c r="S174" s="486"/>
      <c r="T174" s="410"/>
      <c r="U174" s="486"/>
      <c r="V174" s="410"/>
      <c r="W174" s="486"/>
      <c r="X174" s="410"/>
      <c r="Y174" s="486"/>
      <c r="Z174" s="388"/>
      <c r="AA174" s="486"/>
      <c r="AB174" s="388"/>
      <c r="AC174" s="504"/>
      <c r="AD174" s="475">
        <f t="shared" ref="AD174" si="144">+AE174*12</f>
        <v>0</v>
      </c>
      <c r="AE174" s="390">
        <v>0</v>
      </c>
      <c r="AF174" s="390">
        <f t="shared" ref="AF174" si="145">+AG174*12</f>
        <v>0</v>
      </c>
      <c r="AG174" s="390">
        <v>0</v>
      </c>
      <c r="AH174" s="390">
        <f t="shared" ref="AH174" si="146">+AI174*12</f>
        <v>0</v>
      </c>
      <c r="AI174" s="390">
        <v>0</v>
      </c>
      <c r="AJ174" s="390">
        <f t="shared" ref="AJ174" si="147">+AK174*12</f>
        <v>0</v>
      </c>
      <c r="AK174" s="390"/>
      <c r="AL174" s="387">
        <f t="shared" ref="AL174" si="148">+AP174*12</f>
        <v>63360</v>
      </c>
      <c r="AM174" s="390">
        <f t="shared" ref="AM174" si="149">1760*F174</f>
        <v>0</v>
      </c>
      <c r="AN174" s="390">
        <f t="shared" ref="AN174" si="150">1760*H174</f>
        <v>0</v>
      </c>
      <c r="AO174" s="390">
        <v>1760</v>
      </c>
      <c r="AP174" s="390">
        <v>5280</v>
      </c>
      <c r="AQ174" s="390">
        <v>0</v>
      </c>
      <c r="AR174" s="390">
        <v>0</v>
      </c>
      <c r="AS174" s="390">
        <v>0</v>
      </c>
      <c r="AT174" s="390">
        <v>0</v>
      </c>
      <c r="AU174" s="391">
        <f>+G174+I174+K174+M174+O174+Q174+S174+AN174+AI174+U174+W174+Y174+AA174+AC174+AE174+AG174+AM174+AO174+AQ174+AR174+AS174+AT174+AK174+AP174</f>
        <v>7040</v>
      </c>
    </row>
    <row r="175" spans="2:47" ht="15.75" hidden="1" thickBot="1" x14ac:dyDescent="0.3">
      <c r="B175" s="471">
        <f t="shared" si="136"/>
        <v>149</v>
      </c>
      <c r="C175" s="547"/>
      <c r="D175" s="499"/>
      <c r="E175" s="492"/>
      <c r="F175" s="493"/>
      <c r="G175" s="494"/>
      <c r="H175" s="493"/>
      <c r="I175" s="494"/>
      <c r="J175" s="493"/>
      <c r="K175" s="494"/>
      <c r="L175" s="493"/>
      <c r="M175" s="494"/>
      <c r="N175" s="493"/>
      <c r="O175" s="494"/>
      <c r="P175" s="493"/>
      <c r="Q175" s="494"/>
      <c r="R175" s="493"/>
      <c r="S175" s="494"/>
      <c r="T175" s="493"/>
      <c r="U175" s="494"/>
      <c r="V175" s="493"/>
      <c r="W175" s="494"/>
      <c r="X175" s="493"/>
      <c r="Y175" s="494"/>
      <c r="Z175" s="495"/>
      <c r="AA175" s="494"/>
      <c r="AB175" s="495"/>
      <c r="AC175" s="506"/>
      <c r="AD175" s="475">
        <f t="shared" ref="AD175" si="151">+AE175*12</f>
        <v>0</v>
      </c>
      <c r="AE175" s="390">
        <v>0</v>
      </c>
      <c r="AF175" s="390">
        <f t="shared" ref="AF175" si="152">+AG175*12</f>
        <v>0</v>
      </c>
      <c r="AG175" s="390">
        <v>0</v>
      </c>
      <c r="AH175" s="390">
        <f t="shared" ref="AH175" si="153">+AI175*12</f>
        <v>0</v>
      </c>
      <c r="AI175" s="390">
        <v>0</v>
      </c>
      <c r="AJ175" s="390">
        <f t="shared" ref="AJ175" si="154">+AK175*12</f>
        <v>0</v>
      </c>
      <c r="AK175" s="390"/>
      <c r="AL175" s="390">
        <f t="shared" si="135"/>
        <v>63360</v>
      </c>
      <c r="AM175" s="390">
        <f t="shared" ref="AM175" si="155">1760*F175</f>
        <v>0</v>
      </c>
      <c r="AN175" s="390">
        <f t="shared" ref="AN175" si="156">1760*H175</f>
        <v>0</v>
      </c>
      <c r="AO175" s="390">
        <v>1760</v>
      </c>
      <c r="AP175" s="390">
        <v>5280</v>
      </c>
      <c r="AQ175" s="390">
        <v>0</v>
      </c>
      <c r="AR175" s="390">
        <v>0</v>
      </c>
      <c r="AS175" s="390">
        <v>0</v>
      </c>
      <c r="AT175" s="390">
        <v>0</v>
      </c>
      <c r="AU175" s="502">
        <f>+G175+I175+K175+M175+O175+Q175+S175+AN175+AI175+U175+W175+Y175+AA175+AC175+AE175+AG175+AM175+AO175+AQ175+AR175+AS175+AT175+AK175+AP175</f>
        <v>7040</v>
      </c>
    </row>
    <row r="176" spans="2:47" x14ac:dyDescent="0.25">
      <c r="B176" s="417"/>
      <c r="C176" s="418"/>
      <c r="D176" s="419"/>
      <c r="E176" s="420"/>
      <c r="F176" s="418"/>
      <c r="G176" s="483"/>
      <c r="H176" s="418"/>
      <c r="I176" s="483"/>
      <c r="J176" s="422"/>
      <c r="K176" s="421"/>
      <c r="L176" s="418"/>
      <c r="M176" s="421"/>
      <c r="N176" s="418"/>
      <c r="O176" s="421"/>
      <c r="P176" s="423"/>
      <c r="Q176" s="424"/>
      <c r="R176" s="423"/>
      <c r="S176" s="424"/>
      <c r="T176" s="423"/>
      <c r="U176" s="424"/>
      <c r="V176" s="423"/>
      <c r="W176" s="424"/>
      <c r="X176" s="423"/>
      <c r="Y176" s="424"/>
      <c r="Z176" s="423"/>
      <c r="AA176" s="424"/>
      <c r="AB176" s="423"/>
      <c r="AC176" s="424"/>
      <c r="AD176" s="417"/>
      <c r="AE176" s="417"/>
      <c r="AF176" s="417"/>
      <c r="AG176" s="417"/>
      <c r="AH176" s="417"/>
      <c r="AI176" s="417"/>
      <c r="AJ176" s="417"/>
      <c r="AK176" s="417"/>
      <c r="AL176" s="417"/>
      <c r="AM176" s="417"/>
      <c r="AN176" s="417"/>
      <c r="AO176" s="417"/>
      <c r="AP176" s="417"/>
      <c r="AQ176" s="417"/>
      <c r="AR176" s="424"/>
      <c r="AS176" s="424"/>
      <c r="AT176" s="424"/>
      <c r="AU176" s="417"/>
    </row>
    <row r="177" spans="2:47" x14ac:dyDescent="0.25">
      <c r="B177" s="417"/>
      <c r="C177" s="418"/>
      <c r="D177" s="419"/>
      <c r="E177" s="420"/>
      <c r="F177" s="418"/>
      <c r="G177" s="483"/>
      <c r="H177" s="418"/>
      <c r="I177" s="483"/>
      <c r="J177" s="422"/>
      <c r="K177" s="421"/>
      <c r="L177" s="418"/>
      <c r="M177" s="421"/>
      <c r="N177" s="418"/>
      <c r="O177" s="421"/>
      <c r="P177" s="423"/>
      <c r="Q177" s="424"/>
      <c r="R177" s="423"/>
      <c r="S177" s="424"/>
      <c r="T177" s="423"/>
      <c r="U177" s="424"/>
      <c r="V177" s="423"/>
      <c r="W177" s="424"/>
      <c r="X177" s="423"/>
      <c r="Y177" s="424"/>
      <c r="Z177" s="423"/>
      <c r="AA177" s="424"/>
      <c r="AB177" s="423"/>
      <c r="AC177" s="424"/>
      <c r="AD177" s="417"/>
      <c r="AE177" s="417"/>
      <c r="AF177" s="417"/>
      <c r="AG177" s="417"/>
      <c r="AH177" s="417"/>
      <c r="AI177" s="417"/>
      <c r="AJ177" s="417"/>
      <c r="AK177" s="417"/>
      <c r="AL177" s="417"/>
      <c r="AM177" s="417"/>
      <c r="AN177" s="417"/>
      <c r="AO177" s="417"/>
      <c r="AP177" s="417"/>
      <c r="AQ177" s="417"/>
      <c r="AR177" s="424"/>
      <c r="AS177" s="424"/>
      <c r="AT177" s="424"/>
      <c r="AU177" s="417"/>
    </row>
    <row r="178" spans="2:47" x14ac:dyDescent="0.25">
      <c r="B178" s="417"/>
      <c r="C178" s="418"/>
      <c r="D178" s="419"/>
      <c r="E178" s="420"/>
      <c r="F178" s="418"/>
      <c r="G178" s="483"/>
      <c r="H178" s="418"/>
      <c r="I178" s="483"/>
      <c r="J178" s="422"/>
      <c r="K178" s="421"/>
      <c r="L178" s="418"/>
      <c r="M178" s="421"/>
      <c r="N178" s="418"/>
      <c r="O178" s="421"/>
      <c r="P178" s="423"/>
      <c r="Q178" s="424"/>
      <c r="R178" s="423"/>
      <c r="S178" s="424"/>
      <c r="T178" s="423"/>
      <c r="U178" s="424"/>
      <c r="V178" s="423"/>
      <c r="W178" s="424"/>
      <c r="X178" s="423"/>
      <c r="Y178" s="424"/>
      <c r="Z178" s="423"/>
      <c r="AA178" s="424"/>
      <c r="AB178" s="423"/>
      <c r="AC178" s="424"/>
      <c r="AD178" s="417"/>
      <c r="AE178" s="417"/>
      <c r="AF178" s="417"/>
      <c r="AG178" s="417"/>
      <c r="AH178" s="417"/>
      <c r="AI178" s="417"/>
      <c r="AJ178" s="417"/>
      <c r="AK178" s="417"/>
      <c r="AL178" s="417"/>
      <c r="AM178" s="417"/>
      <c r="AN178" s="417"/>
      <c r="AO178" s="417"/>
      <c r="AP178" s="417"/>
      <c r="AQ178" s="417"/>
      <c r="AR178" s="424"/>
      <c r="AS178" s="424"/>
      <c r="AT178" s="424"/>
      <c r="AU178" s="417"/>
    </row>
    <row r="179" spans="2:47" x14ac:dyDescent="0.25">
      <c r="B179" s="417"/>
      <c r="C179" s="418"/>
      <c r="D179" s="419"/>
      <c r="E179" s="420"/>
      <c r="F179" s="418"/>
      <c r="G179" s="483"/>
      <c r="H179" s="418"/>
      <c r="I179" s="483"/>
      <c r="J179" s="422"/>
      <c r="K179" s="421"/>
      <c r="L179" s="418"/>
      <c r="M179" s="421"/>
      <c r="N179" s="418"/>
      <c r="O179" s="421"/>
      <c r="P179" s="423"/>
      <c r="Q179" s="424"/>
      <c r="R179" s="423"/>
      <c r="S179" s="424"/>
      <c r="T179" s="423"/>
      <c r="U179" s="424"/>
      <c r="V179" s="423"/>
      <c r="W179" s="424"/>
      <c r="X179" s="423"/>
      <c r="Y179" s="424"/>
      <c r="Z179" s="423"/>
      <c r="AA179" s="424"/>
      <c r="AB179" s="423"/>
      <c r="AC179" s="424"/>
      <c r="AD179" s="417"/>
      <c r="AE179" s="417"/>
      <c r="AF179" s="417"/>
      <c r="AG179" s="417"/>
      <c r="AH179" s="417"/>
      <c r="AI179" s="417"/>
      <c r="AJ179" s="417"/>
      <c r="AK179" s="417"/>
      <c r="AL179" s="417"/>
      <c r="AM179" s="417"/>
      <c r="AN179" s="417"/>
      <c r="AO179" s="417"/>
      <c r="AP179" s="417"/>
      <c r="AQ179" s="417"/>
      <c r="AR179" s="424"/>
      <c r="AS179" s="424"/>
      <c r="AT179" s="424"/>
      <c r="AU179" s="417"/>
    </row>
    <row r="180" spans="2:47" x14ac:dyDescent="0.25">
      <c r="B180" s="417"/>
      <c r="C180" s="418"/>
      <c r="D180" s="419"/>
      <c r="E180" s="420"/>
      <c r="F180" s="418"/>
      <c r="G180" s="483"/>
      <c r="H180" s="418"/>
      <c r="I180" s="483"/>
      <c r="J180" s="422"/>
      <c r="K180" s="421"/>
      <c r="L180" s="418"/>
      <c r="M180" s="421"/>
      <c r="N180" s="418"/>
      <c r="O180" s="421"/>
      <c r="P180" s="423"/>
      <c r="Q180" s="424"/>
      <c r="R180" s="423"/>
      <c r="S180" s="424"/>
      <c r="T180" s="423"/>
      <c r="U180" s="424"/>
      <c r="V180" s="423"/>
      <c r="W180" s="424"/>
      <c r="X180" s="423"/>
      <c r="Y180" s="424"/>
      <c r="Z180" s="423"/>
      <c r="AA180" s="424"/>
      <c r="AB180" s="423"/>
      <c r="AC180" s="424"/>
      <c r="AD180" s="417"/>
      <c r="AE180" s="417"/>
      <c r="AF180" s="417"/>
      <c r="AG180" s="417"/>
      <c r="AH180" s="417"/>
      <c r="AI180" s="417"/>
      <c r="AJ180" s="417"/>
      <c r="AK180" s="417"/>
      <c r="AL180" s="417"/>
      <c r="AM180" s="417"/>
      <c r="AN180" s="417"/>
      <c r="AO180" s="417"/>
      <c r="AP180" s="417"/>
      <c r="AQ180" s="417"/>
      <c r="AR180" s="424"/>
      <c r="AS180" s="424"/>
      <c r="AT180" s="424"/>
      <c r="AU180" s="417"/>
    </row>
    <row r="181" spans="2:47" x14ac:dyDescent="0.25">
      <c r="B181" s="417"/>
      <c r="C181" s="418"/>
      <c r="D181" s="419"/>
      <c r="E181" s="420"/>
      <c r="F181" s="418"/>
      <c r="G181" s="483"/>
      <c r="H181" s="418"/>
      <c r="I181" s="483"/>
      <c r="J181" s="422"/>
      <c r="K181" s="421"/>
      <c r="L181" s="418"/>
      <c r="M181" s="421"/>
      <c r="N181" s="418"/>
      <c r="O181" s="421"/>
      <c r="P181" s="423"/>
      <c r="Q181" s="424"/>
      <c r="R181" s="423"/>
      <c r="S181" s="424"/>
      <c r="T181" s="423"/>
      <c r="U181" s="424"/>
      <c r="V181" s="423"/>
      <c r="W181" s="424"/>
      <c r="X181" s="423"/>
      <c r="Y181" s="424"/>
      <c r="Z181" s="423"/>
      <c r="AA181" s="424"/>
      <c r="AB181" s="423"/>
      <c r="AC181" s="424"/>
      <c r="AD181" s="417"/>
      <c r="AE181" s="417"/>
      <c r="AF181" s="417"/>
      <c r="AG181" s="417"/>
      <c r="AH181" s="417"/>
      <c r="AI181" s="417"/>
      <c r="AJ181" s="417"/>
      <c r="AK181" s="417"/>
      <c r="AL181" s="417"/>
      <c r="AM181" s="417"/>
      <c r="AN181" s="417"/>
      <c r="AO181" s="417"/>
      <c r="AP181" s="417"/>
      <c r="AQ181" s="417"/>
      <c r="AR181" s="424"/>
      <c r="AS181" s="424"/>
      <c r="AT181" s="424"/>
      <c r="AU181" s="417"/>
    </row>
    <row r="182" spans="2:47" x14ac:dyDescent="0.25">
      <c r="B182" s="417"/>
      <c r="C182" s="418"/>
      <c r="D182" s="419"/>
      <c r="E182" s="420"/>
      <c r="F182" s="418"/>
      <c r="G182" s="483"/>
      <c r="H182" s="418"/>
      <c r="I182" s="483"/>
      <c r="J182" s="422"/>
      <c r="K182" s="421"/>
      <c r="L182" s="418"/>
      <c r="M182" s="421"/>
      <c r="N182" s="418"/>
      <c r="O182" s="421"/>
      <c r="P182" s="423"/>
      <c r="Q182" s="424"/>
      <c r="R182" s="423"/>
      <c r="S182" s="424"/>
      <c r="T182" s="423"/>
      <c r="U182" s="424"/>
      <c r="V182" s="423"/>
      <c r="W182" s="424"/>
      <c r="X182" s="423"/>
      <c r="Y182" s="424"/>
      <c r="Z182" s="423"/>
      <c r="AA182" s="424"/>
      <c r="AB182" s="423"/>
      <c r="AC182" s="424"/>
      <c r="AD182" s="417"/>
      <c r="AE182" s="417"/>
      <c r="AF182" s="417"/>
      <c r="AG182" s="417"/>
      <c r="AH182" s="417"/>
      <c r="AI182" s="417"/>
      <c r="AJ182" s="417"/>
      <c r="AK182" s="417"/>
      <c r="AL182" s="417"/>
      <c r="AM182" s="417"/>
      <c r="AN182" s="417"/>
      <c r="AO182" s="417"/>
      <c r="AP182" s="417"/>
      <c r="AQ182" s="417"/>
      <c r="AR182" s="424"/>
      <c r="AS182" s="424"/>
      <c r="AT182" s="424"/>
      <c r="AU182" s="417"/>
    </row>
    <row r="183" spans="2:47" x14ac:dyDescent="0.25">
      <c r="B183" s="417"/>
      <c r="C183" s="418"/>
      <c r="D183" s="419"/>
      <c r="E183" s="420"/>
      <c r="F183" s="418"/>
      <c r="G183" s="483"/>
      <c r="H183" s="418"/>
      <c r="I183" s="483"/>
      <c r="J183" s="422"/>
      <c r="K183" s="421"/>
      <c r="L183" s="418"/>
      <c r="M183" s="421"/>
      <c r="N183" s="418"/>
      <c r="O183" s="421"/>
      <c r="P183" s="423"/>
      <c r="Q183" s="424"/>
      <c r="R183" s="423"/>
      <c r="S183" s="424"/>
      <c r="T183" s="423"/>
      <c r="U183" s="424"/>
      <c r="V183" s="423"/>
      <c r="W183" s="424"/>
      <c r="X183" s="423"/>
      <c r="Y183" s="424"/>
      <c r="Z183" s="423"/>
      <c r="AA183" s="424"/>
      <c r="AB183" s="423"/>
      <c r="AC183" s="424"/>
      <c r="AD183" s="417"/>
      <c r="AE183" s="417"/>
      <c r="AF183" s="417"/>
      <c r="AG183" s="417"/>
      <c r="AH183" s="417"/>
      <c r="AI183" s="417"/>
      <c r="AJ183" s="417"/>
      <c r="AK183" s="417"/>
      <c r="AL183" s="417"/>
      <c r="AM183" s="417"/>
      <c r="AN183" s="417"/>
      <c r="AO183" s="417"/>
      <c r="AP183" s="417"/>
      <c r="AQ183" s="417"/>
      <c r="AR183" s="424"/>
      <c r="AS183" s="424"/>
      <c r="AT183" s="424"/>
      <c r="AU183" s="417"/>
    </row>
    <row r="184" spans="2:47" x14ac:dyDescent="0.25">
      <c r="B184" s="417"/>
      <c r="C184" s="418"/>
      <c r="D184" s="419"/>
      <c r="E184" s="420"/>
      <c r="F184" s="418"/>
      <c r="G184" s="483"/>
      <c r="H184" s="418"/>
      <c r="I184" s="483"/>
      <c r="J184" s="422"/>
      <c r="K184" s="421"/>
      <c r="L184" s="418"/>
      <c r="M184" s="421"/>
      <c r="N184" s="418"/>
      <c r="O184" s="421"/>
      <c r="P184" s="423"/>
      <c r="Q184" s="424"/>
      <c r="R184" s="423"/>
      <c r="S184" s="424"/>
      <c r="T184" s="423"/>
      <c r="U184" s="424"/>
      <c r="V184" s="423"/>
      <c r="W184" s="424"/>
      <c r="X184" s="423"/>
      <c r="Y184" s="424"/>
      <c r="Z184" s="423"/>
      <c r="AA184" s="424"/>
      <c r="AB184" s="423"/>
      <c r="AC184" s="424"/>
      <c r="AD184" s="417"/>
      <c r="AE184" s="417"/>
      <c r="AF184" s="417"/>
      <c r="AG184" s="417"/>
      <c r="AH184" s="417"/>
      <c r="AI184" s="417"/>
      <c r="AJ184" s="417"/>
      <c r="AK184" s="417"/>
      <c r="AL184" s="417"/>
      <c r="AM184" s="417"/>
      <c r="AN184" s="417"/>
      <c r="AO184" s="417"/>
      <c r="AP184" s="417"/>
      <c r="AQ184" s="417"/>
      <c r="AR184" s="424"/>
      <c r="AS184" s="424"/>
      <c r="AT184" s="424"/>
      <c r="AU184" s="417"/>
    </row>
    <row r="185" spans="2:47" x14ac:dyDescent="0.25">
      <c r="B185" s="417"/>
      <c r="C185" s="418"/>
      <c r="D185" s="419"/>
      <c r="E185" s="420"/>
      <c r="F185" s="418"/>
      <c r="G185" s="483"/>
      <c r="H185" s="418"/>
      <c r="I185" s="483"/>
      <c r="J185" s="422"/>
      <c r="K185" s="421"/>
      <c r="L185" s="418"/>
      <c r="M185" s="421"/>
      <c r="N185" s="418"/>
      <c r="O185" s="421"/>
      <c r="P185" s="423"/>
      <c r="Q185" s="424"/>
      <c r="R185" s="423"/>
      <c r="S185" s="424"/>
      <c r="T185" s="423"/>
      <c r="U185" s="424"/>
      <c r="V185" s="423"/>
      <c r="W185" s="424"/>
      <c r="X185" s="423"/>
      <c r="Y185" s="424"/>
      <c r="Z185" s="423"/>
      <c r="AA185" s="424"/>
      <c r="AB185" s="423"/>
      <c r="AC185" s="424"/>
      <c r="AD185" s="417"/>
      <c r="AE185" s="417"/>
      <c r="AF185" s="417"/>
      <c r="AG185" s="417"/>
      <c r="AH185" s="417"/>
      <c r="AI185" s="417"/>
      <c r="AJ185" s="417"/>
      <c r="AK185" s="417"/>
      <c r="AL185" s="417"/>
      <c r="AM185" s="417"/>
      <c r="AN185" s="417"/>
      <c r="AO185" s="417"/>
      <c r="AP185" s="417"/>
      <c r="AQ185" s="417"/>
      <c r="AR185" s="424"/>
      <c r="AS185" s="424"/>
      <c r="AT185" s="424"/>
      <c r="AU185" s="417"/>
    </row>
    <row r="186" spans="2:47" x14ac:dyDescent="0.25">
      <c r="B186" s="417"/>
      <c r="C186" s="418"/>
      <c r="D186" s="419"/>
      <c r="E186" s="420"/>
      <c r="F186" s="418"/>
      <c r="G186" s="483"/>
      <c r="H186" s="418"/>
      <c r="I186" s="483"/>
      <c r="J186" s="422"/>
      <c r="K186" s="421"/>
      <c r="L186" s="418"/>
      <c r="M186" s="421"/>
      <c r="N186" s="418"/>
      <c r="O186" s="421"/>
      <c r="P186" s="423"/>
      <c r="Q186" s="424"/>
      <c r="R186" s="423"/>
      <c r="S186" s="424"/>
      <c r="T186" s="423"/>
      <c r="U186" s="424"/>
      <c r="V186" s="423"/>
      <c r="W186" s="424"/>
      <c r="X186" s="423"/>
      <c r="Y186" s="424"/>
      <c r="Z186" s="423"/>
      <c r="AA186" s="424"/>
      <c r="AB186" s="423"/>
      <c r="AC186" s="424"/>
      <c r="AD186" s="417"/>
      <c r="AE186" s="417"/>
      <c r="AF186" s="417"/>
      <c r="AG186" s="417"/>
      <c r="AH186" s="417"/>
      <c r="AI186" s="417"/>
      <c r="AJ186" s="417"/>
      <c r="AK186" s="417"/>
      <c r="AL186" s="417"/>
      <c r="AM186" s="417"/>
      <c r="AN186" s="417"/>
      <c r="AO186" s="417"/>
      <c r="AP186" s="417"/>
      <c r="AQ186" s="417"/>
      <c r="AR186" s="424"/>
      <c r="AS186" s="424"/>
      <c r="AT186" s="424"/>
      <c r="AU186" s="417"/>
    </row>
    <row r="187" spans="2:47" x14ac:dyDescent="0.25">
      <c r="B187" s="417"/>
      <c r="C187" s="418"/>
      <c r="D187" s="419"/>
      <c r="E187" s="420"/>
      <c r="F187" s="418"/>
      <c r="G187" s="483"/>
      <c r="H187" s="418"/>
      <c r="I187" s="483"/>
      <c r="J187" s="422"/>
      <c r="K187" s="421"/>
      <c r="L187" s="418"/>
      <c r="M187" s="421"/>
      <c r="N187" s="418"/>
      <c r="O187" s="421"/>
      <c r="P187" s="423"/>
      <c r="Q187" s="424"/>
      <c r="R187" s="423"/>
      <c r="S187" s="424"/>
      <c r="T187" s="423"/>
      <c r="U187" s="424"/>
      <c r="V187" s="423"/>
      <c r="W187" s="424"/>
      <c r="X187" s="423"/>
      <c r="Y187" s="424"/>
      <c r="Z187" s="423"/>
      <c r="AA187" s="424"/>
      <c r="AB187" s="423"/>
      <c r="AC187" s="424"/>
      <c r="AD187" s="417"/>
      <c r="AE187" s="417"/>
      <c r="AF187" s="417"/>
      <c r="AG187" s="417"/>
      <c r="AH187" s="417"/>
      <c r="AI187" s="417"/>
      <c r="AJ187" s="417"/>
      <c r="AK187" s="417"/>
      <c r="AL187" s="417"/>
      <c r="AM187" s="417"/>
      <c r="AN187" s="417"/>
      <c r="AO187" s="417"/>
      <c r="AP187" s="417"/>
      <c r="AQ187" s="417"/>
      <c r="AR187" s="424"/>
      <c r="AS187" s="424"/>
      <c r="AT187" s="424"/>
      <c r="AU187" s="417"/>
    </row>
    <row r="188" spans="2:47" x14ac:dyDescent="0.25">
      <c r="B188" s="417"/>
      <c r="C188" s="418"/>
      <c r="D188" s="419"/>
      <c r="E188" s="420"/>
      <c r="F188" s="418"/>
      <c r="G188" s="483"/>
      <c r="H188" s="418"/>
      <c r="I188" s="483"/>
      <c r="J188" s="422"/>
      <c r="K188" s="421"/>
      <c r="L188" s="418"/>
      <c r="M188" s="421"/>
      <c r="N188" s="418"/>
      <c r="O188" s="421"/>
      <c r="P188" s="423"/>
      <c r="Q188" s="424"/>
      <c r="R188" s="423"/>
      <c r="S188" s="424"/>
      <c r="T188" s="423"/>
      <c r="U188" s="424"/>
      <c r="V188" s="423"/>
      <c r="W188" s="424"/>
      <c r="X188" s="423"/>
      <c r="Y188" s="424"/>
      <c r="Z188" s="423"/>
      <c r="AA188" s="424"/>
      <c r="AB188" s="423"/>
      <c r="AC188" s="424"/>
      <c r="AD188" s="417"/>
      <c r="AE188" s="417"/>
      <c r="AF188" s="417"/>
      <c r="AG188" s="417"/>
      <c r="AH188" s="417"/>
      <c r="AI188" s="417"/>
      <c r="AJ188" s="417"/>
      <c r="AK188" s="417"/>
      <c r="AL188" s="417"/>
      <c r="AM188" s="417"/>
      <c r="AN188" s="417"/>
      <c r="AO188" s="417"/>
      <c r="AP188" s="417"/>
      <c r="AQ188" s="417"/>
      <c r="AR188" s="424"/>
      <c r="AS188" s="424"/>
      <c r="AT188" s="424"/>
      <c r="AU188" s="417"/>
    </row>
    <row r="189" spans="2:47" x14ac:dyDescent="0.25">
      <c r="B189" s="417"/>
      <c r="C189" s="418"/>
      <c r="D189" s="419"/>
      <c r="E189" s="420"/>
      <c r="F189" s="418"/>
      <c r="G189" s="483"/>
      <c r="H189" s="418"/>
      <c r="I189" s="483"/>
      <c r="J189" s="422"/>
      <c r="K189" s="421"/>
      <c r="L189" s="418"/>
      <c r="M189" s="421"/>
      <c r="N189" s="418"/>
      <c r="O189" s="421"/>
      <c r="P189" s="423"/>
      <c r="Q189" s="424"/>
      <c r="R189" s="423"/>
      <c r="S189" s="424"/>
      <c r="T189" s="423"/>
      <c r="U189" s="424"/>
      <c r="V189" s="423"/>
      <c r="W189" s="424"/>
      <c r="X189" s="423"/>
      <c r="Y189" s="424"/>
      <c r="Z189" s="423"/>
      <c r="AA189" s="424"/>
      <c r="AB189" s="423"/>
      <c r="AC189" s="424"/>
      <c r="AD189" s="417"/>
      <c r="AE189" s="417"/>
      <c r="AF189" s="417"/>
      <c r="AG189" s="417"/>
      <c r="AH189" s="417"/>
      <c r="AI189" s="417"/>
      <c r="AJ189" s="417"/>
      <c r="AK189" s="417"/>
      <c r="AL189" s="417"/>
      <c r="AM189" s="417"/>
      <c r="AN189" s="417"/>
      <c r="AO189" s="417"/>
      <c r="AP189" s="417"/>
      <c r="AQ189" s="417"/>
      <c r="AR189" s="424"/>
      <c r="AS189" s="424"/>
      <c r="AT189" s="424"/>
      <c r="AU189" s="417"/>
    </row>
    <row r="190" spans="2:47" x14ac:dyDescent="0.25">
      <c r="B190" s="417"/>
      <c r="C190" s="418"/>
      <c r="D190" s="419"/>
      <c r="E190" s="420"/>
      <c r="F190" s="418"/>
      <c r="G190" s="483"/>
      <c r="H190" s="418"/>
      <c r="I190" s="483"/>
      <c r="J190" s="422"/>
      <c r="K190" s="421"/>
      <c r="L190" s="418"/>
      <c r="M190" s="421"/>
      <c r="N190" s="418"/>
      <c r="O190" s="421"/>
      <c r="P190" s="423"/>
      <c r="Q190" s="424"/>
      <c r="R190" s="423"/>
      <c r="S190" s="424"/>
      <c r="T190" s="423"/>
      <c r="U190" s="424"/>
      <c r="V190" s="423"/>
      <c r="W190" s="424"/>
      <c r="X190" s="423"/>
      <c r="Y190" s="424"/>
      <c r="Z190" s="423"/>
      <c r="AA190" s="424"/>
      <c r="AB190" s="423"/>
      <c r="AC190" s="424"/>
      <c r="AD190" s="417"/>
      <c r="AE190" s="417"/>
      <c r="AF190" s="417"/>
      <c r="AG190" s="417"/>
      <c r="AH190" s="417"/>
      <c r="AI190" s="417"/>
      <c r="AJ190" s="417"/>
      <c r="AK190" s="417"/>
      <c r="AL190" s="417"/>
      <c r="AM190" s="417"/>
      <c r="AN190" s="417"/>
      <c r="AO190" s="417"/>
      <c r="AP190" s="417"/>
      <c r="AQ190" s="417"/>
      <c r="AR190" s="424"/>
      <c r="AS190" s="424"/>
      <c r="AT190" s="424"/>
      <c r="AU190" s="417"/>
    </row>
    <row r="191" spans="2:47" x14ac:dyDescent="0.25">
      <c r="B191" s="417"/>
      <c r="C191" s="418"/>
      <c r="D191" s="419"/>
      <c r="E191" s="420"/>
      <c r="F191" s="418"/>
      <c r="G191" s="483"/>
      <c r="H191" s="418"/>
      <c r="I191" s="483"/>
      <c r="J191" s="422"/>
      <c r="K191" s="421"/>
      <c r="L191" s="418"/>
      <c r="M191" s="421"/>
      <c r="N191" s="418"/>
      <c r="O191" s="421"/>
      <c r="P191" s="423"/>
      <c r="Q191" s="424"/>
      <c r="R191" s="423"/>
      <c r="S191" s="424"/>
      <c r="T191" s="423"/>
      <c r="U191" s="424"/>
      <c r="V191" s="423"/>
      <c r="W191" s="424"/>
      <c r="X191" s="423"/>
      <c r="Y191" s="424"/>
      <c r="Z191" s="423"/>
      <c r="AA191" s="424"/>
      <c r="AB191" s="423"/>
      <c r="AC191" s="424"/>
      <c r="AD191" s="417"/>
      <c r="AE191" s="417"/>
      <c r="AF191" s="417"/>
      <c r="AG191" s="417"/>
      <c r="AH191" s="417"/>
      <c r="AI191" s="417"/>
      <c r="AJ191" s="417"/>
      <c r="AK191" s="417"/>
      <c r="AL191" s="417"/>
      <c r="AM191" s="417"/>
      <c r="AN191" s="417"/>
      <c r="AO191" s="417"/>
      <c r="AP191" s="417"/>
      <c r="AQ191" s="417"/>
      <c r="AR191" s="424"/>
      <c r="AS191" s="424"/>
      <c r="AT191" s="424"/>
      <c r="AU191" s="417"/>
    </row>
    <row r="192" spans="2:47" x14ac:dyDescent="0.25">
      <c r="B192" s="417"/>
      <c r="C192" s="418"/>
      <c r="D192" s="419"/>
      <c r="E192" s="420"/>
      <c r="F192" s="418"/>
      <c r="G192" s="483"/>
      <c r="H192" s="418"/>
      <c r="I192" s="483"/>
      <c r="J192" s="422"/>
      <c r="K192" s="421"/>
      <c r="L192" s="418"/>
      <c r="M192" s="421"/>
      <c r="N192" s="418"/>
      <c r="O192" s="421"/>
      <c r="P192" s="423"/>
      <c r="Q192" s="424"/>
      <c r="R192" s="423"/>
      <c r="S192" s="424"/>
      <c r="T192" s="423"/>
      <c r="U192" s="424"/>
      <c r="V192" s="423"/>
      <c r="W192" s="424"/>
      <c r="X192" s="423"/>
      <c r="Y192" s="424"/>
      <c r="Z192" s="423"/>
      <c r="AA192" s="424"/>
      <c r="AB192" s="423"/>
      <c r="AC192" s="424"/>
      <c r="AD192" s="417"/>
      <c r="AE192" s="417"/>
      <c r="AF192" s="417"/>
      <c r="AG192" s="417"/>
      <c r="AH192" s="417"/>
      <c r="AI192" s="417"/>
      <c r="AJ192" s="417"/>
      <c r="AK192" s="417"/>
      <c r="AL192" s="417"/>
      <c r="AM192" s="417"/>
      <c r="AN192" s="417"/>
      <c r="AO192" s="417"/>
      <c r="AP192" s="417"/>
      <c r="AQ192" s="417"/>
      <c r="AR192" s="424"/>
      <c r="AS192" s="424"/>
      <c r="AT192" s="424"/>
      <c r="AU192" s="417"/>
    </row>
    <row r="193" spans="2:47" x14ac:dyDescent="0.25">
      <c r="B193" s="417"/>
      <c r="C193" s="418"/>
      <c r="D193" s="419"/>
      <c r="E193" s="420"/>
      <c r="F193" s="418"/>
      <c r="G193" s="483"/>
      <c r="H193" s="418"/>
      <c r="I193" s="483"/>
      <c r="J193" s="422"/>
      <c r="K193" s="421"/>
      <c r="L193" s="418"/>
      <c r="M193" s="421"/>
      <c r="N193" s="418"/>
      <c r="O193" s="421"/>
      <c r="P193" s="423"/>
      <c r="Q193" s="424"/>
      <c r="R193" s="423"/>
      <c r="S193" s="424"/>
      <c r="T193" s="423"/>
      <c r="U193" s="424"/>
      <c r="V193" s="423"/>
      <c r="W193" s="424"/>
      <c r="X193" s="423"/>
      <c r="Y193" s="424"/>
      <c r="Z193" s="423"/>
      <c r="AA193" s="424"/>
      <c r="AB193" s="423"/>
      <c r="AC193" s="424"/>
      <c r="AD193" s="417"/>
      <c r="AE193" s="417"/>
      <c r="AF193" s="417"/>
      <c r="AG193" s="417"/>
      <c r="AH193" s="417"/>
      <c r="AI193" s="417"/>
      <c r="AJ193" s="417"/>
      <c r="AK193" s="417"/>
      <c r="AL193" s="417"/>
      <c r="AM193" s="417"/>
      <c r="AN193" s="417"/>
      <c r="AO193" s="417"/>
      <c r="AP193" s="417"/>
      <c r="AQ193" s="417"/>
      <c r="AR193" s="424"/>
      <c r="AS193" s="424"/>
      <c r="AT193" s="424"/>
      <c r="AU193" s="417"/>
    </row>
    <row r="194" spans="2:47" x14ac:dyDescent="0.25">
      <c r="B194" s="417"/>
      <c r="C194" s="418"/>
      <c r="D194" s="419"/>
      <c r="E194" s="420"/>
      <c r="F194" s="418"/>
      <c r="G194" s="483"/>
      <c r="H194" s="418"/>
      <c r="I194" s="483"/>
      <c r="J194" s="422"/>
      <c r="K194" s="421"/>
      <c r="L194" s="418"/>
      <c r="M194" s="421"/>
      <c r="N194" s="418"/>
      <c r="O194" s="421"/>
      <c r="P194" s="423"/>
      <c r="Q194" s="424"/>
      <c r="R194" s="423"/>
      <c r="S194" s="424"/>
      <c r="T194" s="423"/>
      <c r="U194" s="424"/>
      <c r="V194" s="423"/>
      <c r="W194" s="424"/>
      <c r="X194" s="423"/>
      <c r="Y194" s="424"/>
      <c r="Z194" s="423"/>
      <c r="AA194" s="424"/>
      <c r="AB194" s="423"/>
      <c r="AC194" s="424"/>
      <c r="AD194" s="417"/>
      <c r="AE194" s="417"/>
      <c r="AF194" s="417"/>
      <c r="AG194" s="417"/>
      <c r="AH194" s="417"/>
      <c r="AI194" s="417"/>
      <c r="AJ194" s="417"/>
      <c r="AK194" s="417"/>
      <c r="AL194" s="417"/>
      <c r="AM194" s="417"/>
      <c r="AN194" s="417"/>
      <c r="AO194" s="417"/>
      <c r="AP194" s="417"/>
      <c r="AQ194" s="417"/>
      <c r="AR194" s="424"/>
      <c r="AS194" s="424"/>
      <c r="AT194" s="424"/>
      <c r="AU194" s="417"/>
    </row>
    <row r="195" spans="2:47" x14ac:dyDescent="0.25">
      <c r="B195" s="417"/>
      <c r="C195" s="418"/>
      <c r="D195" s="419"/>
      <c r="E195" s="420"/>
      <c r="F195" s="418"/>
      <c r="G195" s="483"/>
      <c r="H195" s="418"/>
      <c r="I195" s="483"/>
      <c r="J195" s="422"/>
      <c r="K195" s="421"/>
      <c r="L195" s="418"/>
      <c r="M195" s="421"/>
      <c r="N195" s="418"/>
      <c r="O195" s="421"/>
      <c r="P195" s="423"/>
      <c r="Q195" s="424"/>
      <c r="R195" s="423"/>
      <c r="S195" s="424"/>
      <c r="T195" s="423"/>
      <c r="U195" s="424"/>
      <c r="V195" s="423"/>
      <c r="W195" s="424"/>
      <c r="X195" s="423"/>
      <c r="Y195" s="424"/>
      <c r="Z195" s="423"/>
      <c r="AA195" s="424"/>
      <c r="AB195" s="423"/>
      <c r="AC195" s="424"/>
      <c r="AD195" s="417"/>
      <c r="AE195" s="417"/>
      <c r="AF195" s="417"/>
      <c r="AG195" s="417"/>
      <c r="AH195" s="417"/>
      <c r="AI195" s="417"/>
      <c r="AJ195" s="417"/>
      <c r="AK195" s="417"/>
      <c r="AL195" s="417"/>
      <c r="AM195" s="417"/>
      <c r="AN195" s="417"/>
      <c r="AO195" s="417"/>
      <c r="AP195" s="417"/>
      <c r="AQ195" s="417"/>
      <c r="AR195" s="424"/>
      <c r="AS195" s="424"/>
      <c r="AT195" s="424"/>
      <c r="AU195" s="417"/>
    </row>
  </sheetData>
  <sortState xmlns:xlrd2="http://schemas.microsoft.com/office/spreadsheetml/2017/richdata2" ref="D138:O163">
    <sortCondition ref="D138:D163"/>
  </sortState>
  <mergeCells count="61">
    <mergeCell ref="B14:B17"/>
    <mergeCell ref="C14:C17"/>
    <mergeCell ref="D14:D17"/>
    <mergeCell ref="E14:E17"/>
    <mergeCell ref="F14:AC15"/>
    <mergeCell ref="X16:Y16"/>
    <mergeCell ref="AT15:AT17"/>
    <mergeCell ref="AH16:AH17"/>
    <mergeCell ref="AI16:AI17"/>
    <mergeCell ref="AL16:AL17"/>
    <mergeCell ref="AM16:AM17"/>
    <mergeCell ref="AN16:AN17"/>
    <mergeCell ref="AO16:AO17"/>
    <mergeCell ref="AQ16:AQ17"/>
    <mergeCell ref="AJ15:AK15"/>
    <mergeCell ref="AJ16:AJ17"/>
    <mergeCell ref="B7:D7"/>
    <mergeCell ref="B8:F8"/>
    <mergeCell ref="B10:D10"/>
    <mergeCell ref="B11:F11"/>
    <mergeCell ref="B12:D12"/>
    <mergeCell ref="B155:AU155"/>
    <mergeCell ref="C156:C175"/>
    <mergeCell ref="B18:AU18"/>
    <mergeCell ref="Z16:AA16"/>
    <mergeCell ref="AB16:AC16"/>
    <mergeCell ref="AD16:AD17"/>
    <mergeCell ref="AE16:AE17"/>
    <mergeCell ref="AF16:AF17"/>
    <mergeCell ref="AG16:AG17"/>
    <mergeCell ref="N16:O16"/>
    <mergeCell ref="P16:Q16"/>
    <mergeCell ref="R16:S16"/>
    <mergeCell ref="T16:U16"/>
    <mergeCell ref="V16:W16"/>
    <mergeCell ref="AK16:AK17"/>
    <mergeCell ref="AP16:AP17"/>
    <mergeCell ref="AU14:AU17"/>
    <mergeCell ref="B104:AU104"/>
    <mergeCell ref="C105:C124"/>
    <mergeCell ref="B125:AU125"/>
    <mergeCell ref="C126:C136"/>
    <mergeCell ref="AR15:AR17"/>
    <mergeCell ref="AS15:AS17"/>
    <mergeCell ref="AD15:AE15"/>
    <mergeCell ref="AF15:AG15"/>
    <mergeCell ref="AL15:AQ15"/>
    <mergeCell ref="AD14:AT14"/>
    <mergeCell ref="F16:G16"/>
    <mergeCell ref="H16:I16"/>
    <mergeCell ref="J16:K16"/>
    <mergeCell ref="L16:M16"/>
    <mergeCell ref="AH15:AI15"/>
    <mergeCell ref="C137:C154"/>
    <mergeCell ref="C19:C28"/>
    <mergeCell ref="C29:C31"/>
    <mergeCell ref="C32:C64"/>
    <mergeCell ref="C65:C72"/>
    <mergeCell ref="C73:C81"/>
    <mergeCell ref="C82:C83"/>
    <mergeCell ref="C84:C103"/>
  </mergeCells>
  <printOptions horizontalCentered="1"/>
  <pageMargins left="0.25" right="0.25" top="0.75" bottom="0.75" header="0.3" footer="0.3"/>
  <pageSetup paperSize="345" scale="50" fitToHeight="0" orientation="landscape" horizontalDpi="1200" r:id="rId1"/>
  <headerFooter>
    <oddFooter>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X125"/>
  <sheetViews>
    <sheetView topLeftCell="A92" workbookViewId="0">
      <selection activeCell="C127" sqref="C127"/>
    </sheetView>
  </sheetViews>
  <sheetFormatPr baseColWidth="10" defaultRowHeight="15" x14ac:dyDescent="0.25"/>
  <cols>
    <col min="3" max="3" width="36.42578125" bestFit="1" customWidth="1"/>
    <col min="4" max="4" width="7" bestFit="1" customWidth="1"/>
    <col min="5" max="5" width="11" bestFit="1" customWidth="1"/>
    <col min="6" max="6" width="11.7109375" bestFit="1" customWidth="1"/>
    <col min="7" max="9" width="10.140625" bestFit="1" customWidth="1"/>
    <col min="10" max="16" width="4.5703125" bestFit="1" customWidth="1"/>
    <col min="17" max="17" width="11.7109375" bestFit="1" customWidth="1"/>
    <col min="22" max="22" width="6.5703125" bestFit="1" customWidth="1"/>
  </cols>
  <sheetData>
    <row r="4" spans="3:23" s="417" customFormat="1" x14ac:dyDescent="0.25">
      <c r="C4" s="427" t="s">
        <v>43</v>
      </c>
      <c r="D4" s="428">
        <v>72.540000000000006</v>
      </c>
      <c r="E4" s="429">
        <v>25</v>
      </c>
      <c r="F4" s="448">
        <f>+E4*D4*31</f>
        <v>56218.500000000007</v>
      </c>
      <c r="G4" s="448">
        <f>+E4*D4*29</f>
        <v>52591.500000000007</v>
      </c>
      <c r="H4" s="448">
        <f>+E4*D4*31</f>
        <v>56218.500000000007</v>
      </c>
      <c r="I4" s="448">
        <f>+E4*D4*30</f>
        <v>54405.000000000007</v>
      </c>
      <c r="J4" s="448">
        <v>0</v>
      </c>
      <c r="K4" s="448">
        <v>0</v>
      </c>
      <c r="L4" s="448">
        <v>0</v>
      </c>
      <c r="M4" s="448">
        <v>0</v>
      </c>
      <c r="N4" s="448">
        <v>0</v>
      </c>
      <c r="O4" s="448">
        <v>0</v>
      </c>
      <c r="P4" s="448">
        <v>0</v>
      </c>
      <c r="Q4" s="449">
        <v>0</v>
      </c>
      <c r="R4" s="450"/>
      <c r="V4" s="417" t="e">
        <f>+#REF!/2</f>
        <v>#REF!</v>
      </c>
      <c r="W4" s="451"/>
    </row>
    <row r="5" spans="3:23" s="417" customFormat="1" x14ac:dyDescent="0.25">
      <c r="C5" s="427" t="s">
        <v>43</v>
      </c>
      <c r="D5" s="428">
        <v>72.540000000000006</v>
      </c>
      <c r="E5" s="429">
        <v>1</v>
      </c>
      <c r="F5" s="448">
        <v>0</v>
      </c>
      <c r="G5" s="448">
        <v>0</v>
      </c>
      <c r="H5" s="448">
        <v>0</v>
      </c>
      <c r="I5" s="448">
        <v>0</v>
      </c>
      <c r="J5" s="448">
        <v>0</v>
      </c>
      <c r="K5" s="448">
        <v>0</v>
      </c>
      <c r="L5" s="448">
        <v>0</v>
      </c>
      <c r="M5" s="448">
        <v>0</v>
      </c>
      <c r="N5" s="448">
        <v>0</v>
      </c>
      <c r="O5" s="448">
        <v>0</v>
      </c>
      <c r="P5" s="448">
        <v>0</v>
      </c>
      <c r="Q5" s="449">
        <v>0</v>
      </c>
      <c r="R5" s="450"/>
      <c r="V5" s="417" t="e">
        <f>+#REF!/2</f>
        <v>#REF!</v>
      </c>
      <c r="W5" s="451"/>
    </row>
    <row r="6" spans="3:23" s="417" customFormat="1" x14ac:dyDescent="0.25">
      <c r="C6" s="427" t="s">
        <v>45</v>
      </c>
      <c r="D6" s="428">
        <v>73.59</v>
      </c>
      <c r="E6" s="429">
        <v>18</v>
      </c>
      <c r="F6" s="448">
        <f>+E6*D6*31</f>
        <v>41063.22</v>
      </c>
      <c r="G6" s="448">
        <f>+E6*D6*29</f>
        <v>38413.980000000003</v>
      </c>
      <c r="H6" s="448">
        <f>+E6*D6*31</f>
        <v>41063.22</v>
      </c>
      <c r="I6" s="448">
        <f>+E6*D6*30</f>
        <v>39738.600000000006</v>
      </c>
      <c r="J6" s="448">
        <v>0</v>
      </c>
      <c r="K6" s="448">
        <v>0</v>
      </c>
      <c r="L6" s="448">
        <v>0</v>
      </c>
      <c r="M6" s="448">
        <v>0</v>
      </c>
      <c r="N6" s="448">
        <v>0</v>
      </c>
      <c r="O6" s="448">
        <v>0</v>
      </c>
      <c r="P6" s="448">
        <v>0</v>
      </c>
      <c r="Q6" s="449">
        <v>0</v>
      </c>
      <c r="R6" s="450"/>
      <c r="W6" s="451"/>
    </row>
    <row r="7" spans="3:23" s="417" customFormat="1" x14ac:dyDescent="0.25">
      <c r="C7" s="427" t="s">
        <v>45</v>
      </c>
      <c r="D7" s="456">
        <v>73.59</v>
      </c>
      <c r="E7" s="429">
        <v>1</v>
      </c>
      <c r="F7" s="448">
        <f>+E7*D7*0</f>
        <v>0</v>
      </c>
      <c r="G7" s="448">
        <f>+E7*D7*29</f>
        <v>2134.11</v>
      </c>
      <c r="H7" s="448">
        <f>+E7*D7*31</f>
        <v>2281.29</v>
      </c>
      <c r="I7" s="448">
        <f>+E7*D7*61</f>
        <v>4488.99</v>
      </c>
      <c r="J7" s="448">
        <v>0</v>
      </c>
      <c r="K7" s="448">
        <v>0</v>
      </c>
      <c r="L7" s="448">
        <v>0</v>
      </c>
      <c r="M7" s="448">
        <v>0</v>
      </c>
      <c r="N7" s="448">
        <v>0</v>
      </c>
      <c r="O7" s="448">
        <v>0</v>
      </c>
      <c r="P7" s="448">
        <v>0</v>
      </c>
      <c r="Q7" s="449">
        <v>0</v>
      </c>
      <c r="R7" s="450"/>
      <c r="W7" s="451"/>
    </row>
    <row r="8" spans="3:23" s="417" customFormat="1" x14ac:dyDescent="0.25">
      <c r="C8" s="427" t="s">
        <v>46</v>
      </c>
      <c r="D8" s="456">
        <v>74.63</v>
      </c>
      <c r="E8" s="429">
        <v>14</v>
      </c>
      <c r="F8" s="448">
        <f>+E8*D8*31</f>
        <v>32389.42</v>
      </c>
      <c r="G8" s="448">
        <f>+E8*D8*29</f>
        <v>30299.78</v>
      </c>
      <c r="H8" s="448">
        <f>+E8*D8*31</f>
        <v>32389.42</v>
      </c>
      <c r="I8" s="448">
        <f>+E8*D8*30</f>
        <v>31344.6</v>
      </c>
      <c r="J8" s="448">
        <v>0</v>
      </c>
      <c r="K8" s="448">
        <v>0</v>
      </c>
      <c r="L8" s="448">
        <v>0</v>
      </c>
      <c r="M8" s="448">
        <v>0</v>
      </c>
      <c r="N8" s="448">
        <v>0</v>
      </c>
      <c r="O8" s="448">
        <v>0</v>
      </c>
      <c r="P8" s="448">
        <v>0</v>
      </c>
      <c r="Q8" s="449">
        <v>0</v>
      </c>
      <c r="R8" s="450"/>
      <c r="W8" s="451"/>
    </row>
    <row r="9" spans="3:23" s="417" customFormat="1" x14ac:dyDescent="0.25">
      <c r="C9" s="427" t="s">
        <v>46</v>
      </c>
      <c r="D9" s="456">
        <v>74.63</v>
      </c>
      <c r="E9" s="429">
        <v>1</v>
      </c>
      <c r="F9" s="448">
        <v>0</v>
      </c>
      <c r="G9" s="448">
        <v>0</v>
      </c>
      <c r="H9" s="448">
        <v>0</v>
      </c>
      <c r="I9" s="448">
        <v>0</v>
      </c>
      <c r="J9" s="448">
        <v>0</v>
      </c>
      <c r="K9" s="448">
        <v>0</v>
      </c>
      <c r="L9" s="448">
        <v>0</v>
      </c>
      <c r="M9" s="448">
        <v>0</v>
      </c>
      <c r="N9" s="448">
        <v>0</v>
      </c>
      <c r="O9" s="448">
        <v>0</v>
      </c>
      <c r="P9" s="448">
        <v>0</v>
      </c>
      <c r="Q9" s="449">
        <v>0</v>
      </c>
      <c r="R9" s="450"/>
      <c r="W9" s="451"/>
    </row>
    <row r="10" spans="3:23" s="417" customFormat="1" x14ac:dyDescent="0.25">
      <c r="C10" s="427" t="s">
        <v>87</v>
      </c>
      <c r="D10" s="428">
        <v>75.64</v>
      </c>
      <c r="E10" s="429">
        <v>15</v>
      </c>
      <c r="F10" s="448">
        <f t="shared" ref="F10:F16" si="0">+E10*D10*31</f>
        <v>35172.6</v>
      </c>
      <c r="G10" s="448">
        <f t="shared" ref="G10:G16" si="1">+E10*D10*29</f>
        <v>32903.399999999994</v>
      </c>
      <c r="H10" s="448">
        <f t="shared" ref="H10:H16" si="2">+E10*D10*31</f>
        <v>35172.6</v>
      </c>
      <c r="I10" s="448">
        <f t="shared" ref="I10:I16" si="3">+E10*D10*30</f>
        <v>34038</v>
      </c>
      <c r="J10" s="448">
        <v>0</v>
      </c>
      <c r="K10" s="448">
        <v>0</v>
      </c>
      <c r="L10" s="448">
        <v>0</v>
      </c>
      <c r="M10" s="448">
        <v>0</v>
      </c>
      <c r="N10" s="448">
        <v>0</v>
      </c>
      <c r="O10" s="448">
        <v>0</v>
      </c>
      <c r="P10" s="448">
        <v>0</v>
      </c>
      <c r="Q10" s="449">
        <v>0</v>
      </c>
      <c r="R10" s="450"/>
      <c r="W10" s="451"/>
    </row>
    <row r="11" spans="3:23" s="417" customFormat="1" x14ac:dyDescent="0.25">
      <c r="C11" s="427" t="s">
        <v>58</v>
      </c>
      <c r="D11" s="428">
        <v>77.59</v>
      </c>
      <c r="E11" s="429">
        <v>21</v>
      </c>
      <c r="F11" s="448">
        <f t="shared" si="0"/>
        <v>50511.090000000004</v>
      </c>
      <c r="G11" s="448">
        <f t="shared" si="1"/>
        <v>47252.310000000005</v>
      </c>
      <c r="H11" s="448">
        <f t="shared" si="2"/>
        <v>50511.090000000004</v>
      </c>
      <c r="I11" s="448">
        <f t="shared" si="3"/>
        <v>48881.700000000004</v>
      </c>
      <c r="J11" s="448">
        <v>0</v>
      </c>
      <c r="K11" s="448">
        <v>0</v>
      </c>
      <c r="L11" s="448">
        <v>0</v>
      </c>
      <c r="M11" s="448">
        <v>0</v>
      </c>
      <c r="N11" s="448">
        <v>0</v>
      </c>
      <c r="O11" s="448">
        <v>0</v>
      </c>
      <c r="P11" s="448">
        <v>0</v>
      </c>
      <c r="Q11" s="449">
        <v>0</v>
      </c>
      <c r="R11" s="450"/>
      <c r="W11" s="451"/>
    </row>
    <row r="12" spans="3:23" s="417" customFormat="1" x14ac:dyDescent="0.25">
      <c r="C12" s="427" t="s">
        <v>71</v>
      </c>
      <c r="D12" s="428">
        <v>71.400000000000006</v>
      </c>
      <c r="E12" s="429">
        <v>6</v>
      </c>
      <c r="F12" s="448">
        <f t="shared" si="0"/>
        <v>13280.400000000001</v>
      </c>
      <c r="G12" s="448">
        <f t="shared" si="1"/>
        <v>12423.6</v>
      </c>
      <c r="H12" s="448">
        <f t="shared" si="2"/>
        <v>13280.400000000001</v>
      </c>
      <c r="I12" s="448">
        <f t="shared" si="3"/>
        <v>12852.000000000002</v>
      </c>
      <c r="J12" s="448">
        <v>0</v>
      </c>
      <c r="K12" s="448">
        <v>0</v>
      </c>
      <c r="L12" s="448">
        <v>0</v>
      </c>
      <c r="M12" s="448">
        <v>0</v>
      </c>
      <c r="N12" s="448">
        <v>0</v>
      </c>
      <c r="O12" s="448">
        <v>0</v>
      </c>
      <c r="P12" s="448">
        <v>0</v>
      </c>
      <c r="Q12" s="449">
        <v>0</v>
      </c>
      <c r="R12" s="450"/>
      <c r="W12" s="451"/>
    </row>
    <row r="13" spans="3:23" s="417" customFormat="1" x14ac:dyDescent="0.25">
      <c r="C13" s="427" t="s">
        <v>47</v>
      </c>
      <c r="D13" s="428">
        <v>71.400000000000006</v>
      </c>
      <c r="E13" s="429">
        <v>1</v>
      </c>
      <c r="F13" s="448">
        <f t="shared" si="0"/>
        <v>2213.4</v>
      </c>
      <c r="G13" s="448">
        <f t="shared" si="1"/>
        <v>2070.6000000000004</v>
      </c>
      <c r="H13" s="448">
        <f t="shared" si="2"/>
        <v>2213.4</v>
      </c>
      <c r="I13" s="448">
        <f t="shared" si="3"/>
        <v>2142</v>
      </c>
      <c r="J13" s="448">
        <v>0</v>
      </c>
      <c r="K13" s="448">
        <v>0</v>
      </c>
      <c r="L13" s="448">
        <v>0</v>
      </c>
      <c r="M13" s="448">
        <v>0</v>
      </c>
      <c r="N13" s="448">
        <v>0</v>
      </c>
      <c r="O13" s="448">
        <v>0</v>
      </c>
      <c r="P13" s="448">
        <v>0</v>
      </c>
      <c r="Q13" s="449">
        <v>0</v>
      </c>
      <c r="R13" s="450"/>
      <c r="W13" s="451"/>
    </row>
    <row r="14" spans="3:23" s="417" customFormat="1" x14ac:dyDescent="0.25">
      <c r="C14" s="427" t="s">
        <v>72</v>
      </c>
      <c r="D14" s="428">
        <v>71.400000000000006</v>
      </c>
      <c r="E14" s="429">
        <v>1</v>
      </c>
      <c r="F14" s="448">
        <f t="shared" si="0"/>
        <v>2213.4</v>
      </c>
      <c r="G14" s="448">
        <f t="shared" si="1"/>
        <v>2070.6000000000004</v>
      </c>
      <c r="H14" s="448">
        <f t="shared" si="2"/>
        <v>2213.4</v>
      </c>
      <c r="I14" s="448">
        <f t="shared" si="3"/>
        <v>2142</v>
      </c>
      <c r="J14" s="448">
        <v>0</v>
      </c>
      <c r="K14" s="448">
        <v>0</v>
      </c>
      <c r="L14" s="448">
        <v>0</v>
      </c>
      <c r="M14" s="448">
        <v>0</v>
      </c>
      <c r="N14" s="448">
        <v>0</v>
      </c>
      <c r="O14" s="448">
        <v>0</v>
      </c>
      <c r="P14" s="448">
        <v>0</v>
      </c>
      <c r="Q14" s="449">
        <v>0</v>
      </c>
      <c r="R14" s="450"/>
      <c r="W14" s="451"/>
    </row>
    <row r="15" spans="3:23" s="417" customFormat="1" x14ac:dyDescent="0.25">
      <c r="C15" s="427" t="s">
        <v>48</v>
      </c>
      <c r="D15" s="428">
        <v>74.63</v>
      </c>
      <c r="E15" s="429">
        <v>1</v>
      </c>
      <c r="F15" s="448">
        <f t="shared" si="0"/>
        <v>2313.5299999999997</v>
      </c>
      <c r="G15" s="448">
        <f t="shared" si="1"/>
        <v>2164.27</v>
      </c>
      <c r="H15" s="448">
        <f t="shared" si="2"/>
        <v>2313.5299999999997</v>
      </c>
      <c r="I15" s="448">
        <f t="shared" si="3"/>
        <v>2238.8999999999996</v>
      </c>
      <c r="J15" s="448">
        <v>0</v>
      </c>
      <c r="K15" s="448">
        <v>0</v>
      </c>
      <c r="L15" s="448">
        <v>0</v>
      </c>
      <c r="M15" s="448">
        <v>0</v>
      </c>
      <c r="N15" s="448">
        <v>0</v>
      </c>
      <c r="O15" s="448">
        <v>0</v>
      </c>
      <c r="P15" s="448">
        <v>0</v>
      </c>
      <c r="Q15" s="449">
        <v>0</v>
      </c>
      <c r="R15" s="450"/>
      <c r="W15" s="451"/>
    </row>
    <row r="16" spans="3:23" s="417" customFormat="1" x14ac:dyDescent="0.25">
      <c r="C16" s="427" t="s">
        <v>129</v>
      </c>
      <c r="D16" s="428">
        <v>71.400000000000006</v>
      </c>
      <c r="E16" s="429">
        <v>30</v>
      </c>
      <c r="F16" s="448">
        <f t="shared" si="0"/>
        <v>66402</v>
      </c>
      <c r="G16" s="448">
        <f t="shared" si="1"/>
        <v>62118</v>
      </c>
      <c r="H16" s="448">
        <f t="shared" si="2"/>
        <v>66402</v>
      </c>
      <c r="I16" s="448">
        <f t="shared" si="3"/>
        <v>64260</v>
      </c>
      <c r="J16" s="448">
        <v>0</v>
      </c>
      <c r="K16" s="448">
        <v>0</v>
      </c>
      <c r="L16" s="448">
        <v>0</v>
      </c>
      <c r="M16" s="448">
        <v>0</v>
      </c>
      <c r="N16" s="448">
        <v>0</v>
      </c>
      <c r="O16" s="448">
        <v>0</v>
      </c>
      <c r="P16" s="448">
        <v>0</v>
      </c>
      <c r="Q16" s="449">
        <v>0</v>
      </c>
      <c r="R16" s="450"/>
      <c r="W16" s="451"/>
    </row>
    <row r="17" spans="3:24" s="417" customFormat="1" x14ac:dyDescent="0.25">
      <c r="C17" s="427" t="s">
        <v>129</v>
      </c>
      <c r="D17" s="428">
        <v>71.400000000000006</v>
      </c>
      <c r="E17" s="429">
        <v>1</v>
      </c>
      <c r="F17" s="448">
        <v>0</v>
      </c>
      <c r="G17" s="448">
        <v>0</v>
      </c>
      <c r="H17" s="448">
        <v>0</v>
      </c>
      <c r="I17" s="448">
        <v>0</v>
      </c>
      <c r="J17" s="448">
        <v>0</v>
      </c>
      <c r="K17" s="448">
        <v>0</v>
      </c>
      <c r="L17" s="448">
        <v>0</v>
      </c>
      <c r="M17" s="448">
        <v>0</v>
      </c>
      <c r="N17" s="448">
        <v>0</v>
      </c>
      <c r="O17" s="448">
        <v>0</v>
      </c>
      <c r="P17" s="448">
        <v>0</v>
      </c>
      <c r="Q17" s="449">
        <v>0</v>
      </c>
      <c r="R17" s="450"/>
      <c r="W17" s="451"/>
    </row>
    <row r="18" spans="3:24" s="417" customFormat="1" x14ac:dyDescent="0.25">
      <c r="C18" s="427" t="s">
        <v>66</v>
      </c>
      <c r="D18" s="428">
        <v>73.59</v>
      </c>
      <c r="E18" s="429">
        <v>4</v>
      </c>
      <c r="F18" s="448">
        <f t="shared" ref="F18:F28" si="4">+E18*D18*31</f>
        <v>9125.16</v>
      </c>
      <c r="G18" s="448">
        <f t="shared" ref="G18:G30" si="5">+E18*D18*29</f>
        <v>8536.44</v>
      </c>
      <c r="H18" s="448">
        <f t="shared" ref="H18:H30" si="6">+E18*D18*31</f>
        <v>9125.16</v>
      </c>
      <c r="I18" s="448">
        <f t="shared" ref="I18:I28" si="7">+E18*D18*30</f>
        <v>8830.8000000000011</v>
      </c>
      <c r="J18" s="448">
        <v>0</v>
      </c>
      <c r="K18" s="448">
        <v>0</v>
      </c>
      <c r="L18" s="448">
        <v>0</v>
      </c>
      <c r="M18" s="448">
        <v>0</v>
      </c>
      <c r="N18" s="448">
        <v>0</v>
      </c>
      <c r="O18" s="448">
        <v>0</v>
      </c>
      <c r="P18" s="448">
        <v>0</v>
      </c>
      <c r="Q18" s="449">
        <v>0</v>
      </c>
      <c r="R18" s="450"/>
      <c r="W18" s="451"/>
    </row>
    <row r="19" spans="3:24" s="417" customFormat="1" x14ac:dyDescent="0.25">
      <c r="C19" s="427" t="s">
        <v>49</v>
      </c>
      <c r="D19" s="428">
        <v>74.63</v>
      </c>
      <c r="E19" s="429">
        <v>2</v>
      </c>
      <c r="F19" s="448">
        <f t="shared" si="4"/>
        <v>4627.0599999999995</v>
      </c>
      <c r="G19" s="448">
        <f t="shared" si="5"/>
        <v>4328.54</v>
      </c>
      <c r="H19" s="448">
        <f t="shared" si="6"/>
        <v>4627.0599999999995</v>
      </c>
      <c r="I19" s="448">
        <f t="shared" si="7"/>
        <v>4477.7999999999993</v>
      </c>
      <c r="J19" s="448">
        <v>0</v>
      </c>
      <c r="K19" s="448">
        <v>0</v>
      </c>
      <c r="L19" s="448">
        <v>0</v>
      </c>
      <c r="M19" s="448">
        <v>0</v>
      </c>
      <c r="N19" s="448">
        <v>0</v>
      </c>
      <c r="O19" s="448">
        <v>0</v>
      </c>
      <c r="P19" s="448">
        <v>0</v>
      </c>
      <c r="Q19" s="449">
        <v>0</v>
      </c>
      <c r="R19" s="450"/>
      <c r="W19" s="451"/>
    </row>
    <row r="20" spans="3:24" s="417" customFormat="1" x14ac:dyDescent="0.25">
      <c r="C20" s="427" t="s">
        <v>50</v>
      </c>
      <c r="D20" s="428">
        <v>74.63</v>
      </c>
      <c r="E20" s="429">
        <v>1</v>
      </c>
      <c r="F20" s="448">
        <f t="shared" si="4"/>
        <v>2313.5299999999997</v>
      </c>
      <c r="G20" s="448">
        <f t="shared" si="5"/>
        <v>2164.27</v>
      </c>
      <c r="H20" s="448">
        <f t="shared" si="6"/>
        <v>2313.5299999999997</v>
      </c>
      <c r="I20" s="448">
        <f t="shared" si="7"/>
        <v>2238.8999999999996</v>
      </c>
      <c r="J20" s="448">
        <v>0</v>
      </c>
      <c r="K20" s="448">
        <v>0</v>
      </c>
      <c r="L20" s="448">
        <v>0</v>
      </c>
      <c r="M20" s="448">
        <v>0</v>
      </c>
      <c r="N20" s="448">
        <v>0</v>
      </c>
      <c r="O20" s="448">
        <v>0</v>
      </c>
      <c r="P20" s="448">
        <v>0</v>
      </c>
      <c r="Q20" s="449">
        <v>0</v>
      </c>
      <c r="R20" s="450"/>
      <c r="W20" s="451"/>
    </row>
    <row r="21" spans="3:24" s="417" customFormat="1" x14ac:dyDescent="0.25">
      <c r="C21" s="427" t="s">
        <v>60</v>
      </c>
      <c r="D21" s="428">
        <v>77.59</v>
      </c>
      <c r="E21" s="429">
        <v>4</v>
      </c>
      <c r="F21" s="448">
        <f t="shared" si="4"/>
        <v>9621.16</v>
      </c>
      <c r="G21" s="448">
        <f t="shared" si="5"/>
        <v>9000.44</v>
      </c>
      <c r="H21" s="448">
        <f t="shared" si="6"/>
        <v>9621.16</v>
      </c>
      <c r="I21" s="448">
        <f t="shared" si="7"/>
        <v>9310.8000000000011</v>
      </c>
      <c r="J21" s="448">
        <v>0</v>
      </c>
      <c r="K21" s="448">
        <v>0</v>
      </c>
      <c r="L21" s="448">
        <v>0</v>
      </c>
      <c r="M21" s="448">
        <v>0</v>
      </c>
      <c r="N21" s="448">
        <v>0</v>
      </c>
      <c r="O21" s="448">
        <v>0</v>
      </c>
      <c r="P21" s="448">
        <v>0</v>
      </c>
      <c r="Q21" s="448">
        <v>0</v>
      </c>
      <c r="R21" s="450"/>
      <c r="W21" s="451"/>
    </row>
    <row r="22" spans="3:24" s="417" customFormat="1" x14ac:dyDescent="0.25">
      <c r="C22" s="427" t="s">
        <v>76</v>
      </c>
      <c r="D22" s="428">
        <v>72.540000000000006</v>
      </c>
      <c r="E22" s="429">
        <v>1</v>
      </c>
      <c r="F22" s="448">
        <f t="shared" si="4"/>
        <v>2248.7400000000002</v>
      </c>
      <c r="G22" s="448">
        <f t="shared" si="5"/>
        <v>2103.6600000000003</v>
      </c>
      <c r="H22" s="448">
        <f t="shared" si="6"/>
        <v>2248.7400000000002</v>
      </c>
      <c r="I22" s="448">
        <f t="shared" si="7"/>
        <v>2176.2000000000003</v>
      </c>
      <c r="J22" s="448">
        <v>0</v>
      </c>
      <c r="K22" s="448">
        <v>0</v>
      </c>
      <c r="L22" s="448">
        <v>0</v>
      </c>
      <c r="M22" s="448">
        <v>0</v>
      </c>
      <c r="N22" s="448">
        <v>0</v>
      </c>
      <c r="O22" s="448">
        <v>0</v>
      </c>
      <c r="P22" s="448">
        <v>0</v>
      </c>
      <c r="Q22" s="448">
        <v>0</v>
      </c>
      <c r="R22" s="450"/>
      <c r="W22" s="451"/>
    </row>
    <row r="23" spans="3:24" s="417" customFormat="1" x14ac:dyDescent="0.25">
      <c r="C23" s="457" t="s">
        <v>52</v>
      </c>
      <c r="D23" s="428">
        <v>72.540000000000006</v>
      </c>
      <c r="E23" s="429">
        <v>1</v>
      </c>
      <c r="F23" s="448">
        <f t="shared" si="4"/>
        <v>2248.7400000000002</v>
      </c>
      <c r="G23" s="448">
        <f t="shared" si="5"/>
        <v>2103.6600000000003</v>
      </c>
      <c r="H23" s="448">
        <f t="shared" si="6"/>
        <v>2248.7400000000002</v>
      </c>
      <c r="I23" s="448">
        <f t="shared" si="7"/>
        <v>2176.2000000000003</v>
      </c>
      <c r="J23" s="448">
        <v>0</v>
      </c>
      <c r="K23" s="448">
        <v>0</v>
      </c>
      <c r="L23" s="448">
        <v>0</v>
      </c>
      <c r="M23" s="448">
        <v>0</v>
      </c>
      <c r="N23" s="448">
        <v>0</v>
      </c>
      <c r="O23" s="448">
        <v>0</v>
      </c>
      <c r="P23" s="448">
        <v>0</v>
      </c>
      <c r="Q23" s="448">
        <v>0</v>
      </c>
      <c r="R23" s="450"/>
      <c r="W23" s="451"/>
    </row>
    <row r="24" spans="3:24" s="417" customFormat="1" x14ac:dyDescent="0.25">
      <c r="C24" s="427" t="s">
        <v>37</v>
      </c>
      <c r="D24" s="428">
        <v>71.400000000000006</v>
      </c>
      <c r="E24" s="429">
        <v>7</v>
      </c>
      <c r="F24" s="448">
        <f t="shared" si="4"/>
        <v>15493.800000000003</v>
      </c>
      <c r="G24" s="448">
        <f t="shared" si="5"/>
        <v>14494.200000000003</v>
      </c>
      <c r="H24" s="448">
        <f t="shared" si="6"/>
        <v>15493.800000000003</v>
      </c>
      <c r="I24" s="448">
        <f t="shared" si="7"/>
        <v>14994.000000000002</v>
      </c>
      <c r="J24" s="448">
        <v>0</v>
      </c>
      <c r="K24" s="448">
        <v>0</v>
      </c>
      <c r="L24" s="448">
        <v>0</v>
      </c>
      <c r="M24" s="448">
        <v>0</v>
      </c>
      <c r="N24" s="448">
        <v>0</v>
      </c>
      <c r="O24" s="448">
        <v>0</v>
      </c>
      <c r="P24" s="448">
        <v>0</v>
      </c>
      <c r="Q24" s="448">
        <v>0</v>
      </c>
      <c r="R24" s="450"/>
      <c r="W24" s="451"/>
    </row>
    <row r="25" spans="3:24" s="417" customFormat="1" x14ac:dyDescent="0.25">
      <c r="C25" s="427" t="s">
        <v>61</v>
      </c>
      <c r="D25" s="428">
        <v>75.64</v>
      </c>
      <c r="E25" s="429">
        <v>2</v>
      </c>
      <c r="F25" s="448">
        <f t="shared" si="4"/>
        <v>4689.68</v>
      </c>
      <c r="G25" s="448">
        <f t="shared" si="5"/>
        <v>4387.12</v>
      </c>
      <c r="H25" s="448">
        <f t="shared" si="6"/>
        <v>4689.68</v>
      </c>
      <c r="I25" s="448">
        <f t="shared" si="7"/>
        <v>4538.3999999999996</v>
      </c>
      <c r="J25" s="448">
        <v>0</v>
      </c>
      <c r="K25" s="448">
        <v>0</v>
      </c>
      <c r="L25" s="448">
        <v>0</v>
      </c>
      <c r="M25" s="448">
        <v>0</v>
      </c>
      <c r="N25" s="448">
        <v>0</v>
      </c>
      <c r="O25" s="448">
        <v>0</v>
      </c>
      <c r="P25" s="448">
        <v>0</v>
      </c>
      <c r="Q25" s="448">
        <v>0</v>
      </c>
      <c r="R25" s="450"/>
      <c r="W25" s="451"/>
    </row>
    <row r="26" spans="3:24" s="417" customFormat="1" x14ac:dyDescent="0.25">
      <c r="C26" s="427" t="s">
        <v>62</v>
      </c>
      <c r="D26" s="428">
        <v>80.86</v>
      </c>
      <c r="E26" s="429">
        <v>1</v>
      </c>
      <c r="F26" s="448">
        <f t="shared" si="4"/>
        <v>2506.66</v>
      </c>
      <c r="G26" s="448">
        <f t="shared" si="5"/>
        <v>2344.94</v>
      </c>
      <c r="H26" s="448">
        <f t="shared" si="6"/>
        <v>2506.66</v>
      </c>
      <c r="I26" s="448">
        <f t="shared" si="7"/>
        <v>2425.8000000000002</v>
      </c>
      <c r="J26" s="448">
        <v>0</v>
      </c>
      <c r="K26" s="448">
        <v>0</v>
      </c>
      <c r="L26" s="448">
        <v>0</v>
      </c>
      <c r="M26" s="448">
        <v>0</v>
      </c>
      <c r="N26" s="448">
        <v>0</v>
      </c>
      <c r="O26" s="448">
        <v>0</v>
      </c>
      <c r="P26" s="448">
        <v>0</v>
      </c>
      <c r="Q26" s="448">
        <v>0</v>
      </c>
      <c r="R26" s="450"/>
      <c r="W26" s="451"/>
    </row>
    <row r="27" spans="3:24" s="417" customFormat="1" x14ac:dyDescent="0.25">
      <c r="C27" s="427" t="s">
        <v>63</v>
      </c>
      <c r="D27" s="428">
        <v>71.400000000000006</v>
      </c>
      <c r="E27" s="429">
        <v>1</v>
      </c>
      <c r="F27" s="448">
        <f t="shared" si="4"/>
        <v>2213.4</v>
      </c>
      <c r="G27" s="448">
        <f t="shared" si="5"/>
        <v>2070.6000000000004</v>
      </c>
      <c r="H27" s="448">
        <f t="shared" si="6"/>
        <v>2213.4</v>
      </c>
      <c r="I27" s="448">
        <f t="shared" si="7"/>
        <v>2142</v>
      </c>
      <c r="J27" s="448">
        <v>0</v>
      </c>
      <c r="K27" s="448">
        <v>0</v>
      </c>
      <c r="L27" s="448">
        <v>0</v>
      </c>
      <c r="M27" s="448">
        <v>0</v>
      </c>
      <c r="N27" s="448">
        <v>0</v>
      </c>
      <c r="O27" s="448">
        <v>0</v>
      </c>
      <c r="P27" s="448">
        <v>0</v>
      </c>
      <c r="Q27" s="448">
        <v>0</v>
      </c>
      <c r="R27" s="450"/>
      <c r="W27" s="451"/>
      <c r="X27" s="458"/>
    </row>
    <row r="28" spans="3:24" s="417" customFormat="1" x14ac:dyDescent="0.25">
      <c r="C28" s="427" t="s">
        <v>38</v>
      </c>
      <c r="D28" s="428">
        <v>78.25</v>
      </c>
      <c r="E28" s="429">
        <v>38</v>
      </c>
      <c r="F28" s="448">
        <f t="shared" si="4"/>
        <v>92178.5</v>
      </c>
      <c r="G28" s="448">
        <f t="shared" si="5"/>
        <v>86231.5</v>
      </c>
      <c r="H28" s="448">
        <f t="shared" si="6"/>
        <v>92178.5</v>
      </c>
      <c r="I28" s="448">
        <f t="shared" si="7"/>
        <v>89205</v>
      </c>
      <c r="J28" s="448">
        <v>0</v>
      </c>
      <c r="K28" s="448">
        <v>0</v>
      </c>
      <c r="L28" s="448">
        <v>0</v>
      </c>
      <c r="M28" s="448">
        <v>0</v>
      </c>
      <c r="N28" s="448">
        <v>0</v>
      </c>
      <c r="O28" s="448">
        <v>0</v>
      </c>
      <c r="P28" s="448">
        <v>0</v>
      </c>
      <c r="Q28" s="448">
        <v>0</v>
      </c>
      <c r="R28" s="450"/>
      <c r="W28" s="451"/>
    </row>
    <row r="29" spans="3:24" s="417" customFormat="1" x14ac:dyDescent="0.25">
      <c r="C29" s="427" t="s">
        <v>38</v>
      </c>
      <c r="D29" s="428">
        <v>78.25</v>
      </c>
      <c r="E29" s="429">
        <v>1</v>
      </c>
      <c r="F29" s="448">
        <f>+E29*D29*14</f>
        <v>1095.5</v>
      </c>
      <c r="G29" s="448">
        <f t="shared" si="5"/>
        <v>2269.25</v>
      </c>
      <c r="H29" s="448">
        <f t="shared" si="6"/>
        <v>2425.75</v>
      </c>
      <c r="I29" s="448">
        <f>+E29*D29*47</f>
        <v>3677.75</v>
      </c>
      <c r="J29" s="448">
        <v>0</v>
      </c>
      <c r="K29" s="448">
        <v>0</v>
      </c>
      <c r="L29" s="448">
        <v>0</v>
      </c>
      <c r="M29" s="448">
        <v>0</v>
      </c>
      <c r="N29" s="448">
        <v>0</v>
      </c>
      <c r="O29" s="448">
        <v>0</v>
      </c>
      <c r="P29" s="448">
        <v>0</v>
      </c>
      <c r="Q29" s="448">
        <v>0</v>
      </c>
      <c r="R29" s="450"/>
      <c r="W29" s="451"/>
    </row>
    <row r="30" spans="3:24" s="417" customFormat="1" x14ac:dyDescent="0.25">
      <c r="C30" s="427" t="s">
        <v>77</v>
      </c>
      <c r="D30" s="428">
        <v>72.540000000000006</v>
      </c>
      <c r="E30" s="429">
        <v>2</v>
      </c>
      <c r="F30" s="448">
        <f>+E30*D30*31</f>
        <v>4497.4800000000005</v>
      </c>
      <c r="G30" s="448">
        <f t="shared" si="5"/>
        <v>4207.3200000000006</v>
      </c>
      <c r="H30" s="448">
        <f t="shared" si="6"/>
        <v>4497.4800000000005</v>
      </c>
      <c r="I30" s="448">
        <f>+E30*D30*30</f>
        <v>4352.4000000000005</v>
      </c>
      <c r="J30" s="448">
        <v>0</v>
      </c>
      <c r="K30" s="448">
        <v>0</v>
      </c>
      <c r="L30" s="448">
        <v>0</v>
      </c>
      <c r="M30" s="448">
        <v>0</v>
      </c>
      <c r="N30" s="448">
        <v>0</v>
      </c>
      <c r="O30" s="448">
        <v>0</v>
      </c>
      <c r="P30" s="448">
        <v>0</v>
      </c>
      <c r="Q30" s="448">
        <v>0</v>
      </c>
      <c r="R30" s="450"/>
      <c r="W30" s="451"/>
    </row>
    <row r="31" spans="3:24" s="417" customFormat="1" x14ac:dyDescent="0.25">
      <c r="C31" s="427" t="s">
        <v>31</v>
      </c>
      <c r="D31" s="428">
        <v>71.400000000000006</v>
      </c>
      <c r="E31" s="429">
        <v>1</v>
      </c>
      <c r="F31" s="448">
        <v>0</v>
      </c>
      <c r="G31" s="448">
        <v>0</v>
      </c>
      <c r="H31" s="448">
        <v>0</v>
      </c>
      <c r="I31" s="448">
        <v>0</v>
      </c>
      <c r="J31" s="448">
        <v>0</v>
      </c>
      <c r="K31" s="448">
        <v>0</v>
      </c>
      <c r="L31" s="448">
        <v>0</v>
      </c>
      <c r="M31" s="448">
        <v>0</v>
      </c>
      <c r="N31" s="448">
        <v>0</v>
      </c>
      <c r="O31" s="448">
        <v>0</v>
      </c>
      <c r="P31" s="448">
        <v>0</v>
      </c>
      <c r="Q31" s="448">
        <v>0</v>
      </c>
      <c r="R31" s="450"/>
      <c r="W31" s="451"/>
    </row>
    <row r="32" spans="3:24" s="417" customFormat="1" x14ac:dyDescent="0.25">
      <c r="C32" s="427" t="s">
        <v>31</v>
      </c>
      <c r="D32" s="428">
        <v>71.400000000000006</v>
      </c>
      <c r="E32" s="429">
        <v>88</v>
      </c>
      <c r="F32" s="448">
        <f>+E32*D32*31</f>
        <v>194779.2</v>
      </c>
      <c r="G32" s="448">
        <f>+E32*D32*29</f>
        <v>182212.80000000002</v>
      </c>
      <c r="H32" s="448">
        <f>+E32*D32*31</f>
        <v>194779.2</v>
      </c>
      <c r="I32" s="448">
        <f>+E32*D32*30</f>
        <v>188496.00000000003</v>
      </c>
      <c r="J32" s="448">
        <v>0</v>
      </c>
      <c r="K32" s="448">
        <v>0</v>
      </c>
      <c r="L32" s="448">
        <v>0</v>
      </c>
      <c r="M32" s="448">
        <v>0</v>
      </c>
      <c r="N32" s="448">
        <v>0</v>
      </c>
      <c r="O32" s="448">
        <v>0</v>
      </c>
      <c r="P32" s="448">
        <v>0</v>
      </c>
      <c r="Q32" s="448">
        <v>0</v>
      </c>
      <c r="R32" s="450"/>
      <c r="W32" s="451"/>
    </row>
    <row r="33" spans="1:23" s="417" customFormat="1" x14ac:dyDescent="0.25">
      <c r="C33" s="427" t="s">
        <v>53</v>
      </c>
      <c r="D33" s="428">
        <v>71.400000000000006</v>
      </c>
      <c r="E33" s="429">
        <v>175</v>
      </c>
      <c r="F33" s="448">
        <f>+E33*D33*31</f>
        <v>387345.00000000006</v>
      </c>
      <c r="G33" s="448">
        <f>+E33*D33*29</f>
        <v>362355.00000000006</v>
      </c>
      <c r="H33" s="448">
        <f>+E33*D33*31</f>
        <v>387345.00000000006</v>
      </c>
      <c r="I33" s="448">
        <f>+E33*D33*30</f>
        <v>374850.00000000006</v>
      </c>
      <c r="J33" s="448">
        <v>0</v>
      </c>
      <c r="K33" s="448">
        <v>0</v>
      </c>
      <c r="L33" s="448">
        <v>0</v>
      </c>
      <c r="M33" s="448">
        <v>0</v>
      </c>
      <c r="N33" s="448">
        <v>0</v>
      </c>
      <c r="O33" s="448">
        <v>0</v>
      </c>
      <c r="P33" s="448">
        <v>0</v>
      </c>
      <c r="Q33" s="448">
        <v>0</v>
      </c>
      <c r="R33" s="450"/>
      <c r="W33" s="451"/>
    </row>
    <row r="34" spans="1:23" s="417" customFormat="1" x14ac:dyDescent="0.25">
      <c r="C34" s="427" t="s">
        <v>53</v>
      </c>
      <c r="D34" s="428">
        <v>71.399999999999807</v>
      </c>
      <c r="E34" s="429">
        <v>3</v>
      </c>
      <c r="F34" s="448">
        <v>0</v>
      </c>
      <c r="G34" s="448">
        <v>0</v>
      </c>
      <c r="H34" s="448">
        <v>0</v>
      </c>
      <c r="I34" s="448">
        <v>0</v>
      </c>
      <c r="J34" s="448">
        <v>0</v>
      </c>
      <c r="K34" s="448">
        <v>0</v>
      </c>
      <c r="L34" s="448">
        <v>0</v>
      </c>
      <c r="M34" s="448">
        <v>0</v>
      </c>
      <c r="N34" s="448">
        <v>0</v>
      </c>
      <c r="O34" s="448">
        <v>0</v>
      </c>
      <c r="P34" s="448">
        <v>0</v>
      </c>
      <c r="Q34" s="448">
        <v>0</v>
      </c>
      <c r="R34" s="450"/>
      <c r="W34" s="451"/>
    </row>
    <row r="35" spans="1:23" s="417" customFormat="1" x14ac:dyDescent="0.25">
      <c r="C35" s="459" t="s">
        <v>54</v>
      </c>
      <c r="D35" s="460">
        <v>72.540000000000006</v>
      </c>
      <c r="E35" s="429">
        <v>10</v>
      </c>
      <c r="F35" s="448">
        <f>+E35*D35*31</f>
        <v>22487.4</v>
      </c>
      <c r="G35" s="448">
        <f>+E35*D35*29</f>
        <v>21036.600000000002</v>
      </c>
      <c r="H35" s="448">
        <f>+E35*D35*31</f>
        <v>22487.4</v>
      </c>
      <c r="I35" s="448">
        <f>+E35*D35*30</f>
        <v>21762.000000000004</v>
      </c>
      <c r="J35" s="448">
        <v>0</v>
      </c>
      <c r="K35" s="448">
        <v>0</v>
      </c>
      <c r="L35" s="448">
        <v>0</v>
      </c>
      <c r="M35" s="448">
        <v>0</v>
      </c>
      <c r="N35" s="448">
        <v>0</v>
      </c>
      <c r="O35" s="448">
        <v>0</v>
      </c>
      <c r="P35" s="448">
        <v>0</v>
      </c>
      <c r="Q35" s="448">
        <v>0</v>
      </c>
      <c r="R35" s="450"/>
      <c r="W35" s="451"/>
    </row>
    <row r="36" spans="1:23" s="417" customFormat="1" x14ac:dyDescent="0.25">
      <c r="C36" s="427" t="s">
        <v>55</v>
      </c>
      <c r="D36" s="428">
        <v>71.400000000000006</v>
      </c>
      <c r="E36" s="429">
        <v>1</v>
      </c>
      <c r="F36" s="448">
        <f>+E36*D36*31</f>
        <v>2213.4</v>
      </c>
      <c r="G36" s="448">
        <f>+E36*D36*29</f>
        <v>2070.6000000000004</v>
      </c>
      <c r="H36" s="448">
        <f>+E36*D36*31</f>
        <v>2213.4</v>
      </c>
      <c r="I36" s="448">
        <f>+E36*D36*30</f>
        <v>2142</v>
      </c>
      <c r="J36" s="448">
        <v>0</v>
      </c>
      <c r="K36" s="448">
        <v>0</v>
      </c>
      <c r="L36" s="448">
        <v>0</v>
      </c>
      <c r="M36" s="448">
        <v>0</v>
      </c>
      <c r="N36" s="448">
        <v>0</v>
      </c>
      <c r="O36" s="448">
        <v>0</v>
      </c>
      <c r="P36" s="448">
        <v>0</v>
      </c>
      <c r="Q36" s="448">
        <v>0</v>
      </c>
      <c r="R36" s="450"/>
      <c r="W36" s="451"/>
    </row>
    <row r="37" spans="1:23" s="417" customFormat="1" x14ac:dyDescent="0.25">
      <c r="C37" s="427" t="s">
        <v>56</v>
      </c>
      <c r="D37" s="428">
        <v>74.63</v>
      </c>
      <c r="E37" s="429">
        <v>2</v>
      </c>
      <c r="F37" s="448">
        <f>+E37*D37*31</f>
        <v>4627.0599999999995</v>
      </c>
      <c r="G37" s="448">
        <f>+E37*D37*29</f>
        <v>4328.54</v>
      </c>
      <c r="H37" s="448">
        <f>+E37*D37*31</f>
        <v>4627.0599999999995</v>
      </c>
      <c r="I37" s="448">
        <f>+E37*D37*30</f>
        <v>4477.7999999999993</v>
      </c>
      <c r="J37" s="448">
        <v>0</v>
      </c>
      <c r="K37" s="448">
        <v>0</v>
      </c>
      <c r="L37" s="448">
        <v>0</v>
      </c>
      <c r="M37" s="448">
        <v>0</v>
      </c>
      <c r="N37" s="448">
        <v>0</v>
      </c>
      <c r="O37" s="448">
        <v>0</v>
      </c>
      <c r="P37" s="448">
        <v>0</v>
      </c>
      <c r="Q37" s="448">
        <v>0</v>
      </c>
      <c r="R37" s="450"/>
      <c r="W37" s="451"/>
    </row>
    <row r="38" spans="1:23" s="417" customFormat="1" x14ac:dyDescent="0.25">
      <c r="C38" s="427" t="s">
        <v>147</v>
      </c>
      <c r="D38" s="428">
        <v>75.64</v>
      </c>
      <c r="E38" s="429">
        <v>3</v>
      </c>
      <c r="F38" s="448">
        <f>+E38*D38*31</f>
        <v>7034.52</v>
      </c>
      <c r="G38" s="448">
        <f>+E38*D38*29</f>
        <v>6580.68</v>
      </c>
      <c r="H38" s="448">
        <f>+E38*D38*31</f>
        <v>7034.52</v>
      </c>
      <c r="I38" s="448">
        <f>+E38*D38*30</f>
        <v>6807.6</v>
      </c>
      <c r="J38" s="448">
        <v>0</v>
      </c>
      <c r="K38" s="448">
        <v>0</v>
      </c>
      <c r="L38" s="448">
        <v>0</v>
      </c>
      <c r="M38" s="448">
        <v>0</v>
      </c>
      <c r="N38" s="448">
        <v>0</v>
      </c>
      <c r="O38" s="448">
        <v>0</v>
      </c>
      <c r="P38" s="448">
        <v>0</v>
      </c>
      <c r="Q38" s="449">
        <v>0</v>
      </c>
      <c r="R38" s="450"/>
      <c r="W38" s="451"/>
    </row>
    <row r="39" spans="1:23" s="417" customFormat="1" x14ac:dyDescent="0.25">
      <c r="C39" s="427" t="s">
        <v>36</v>
      </c>
      <c r="D39" s="428">
        <v>80.86</v>
      </c>
      <c r="E39" s="429">
        <v>1</v>
      </c>
      <c r="F39" s="448">
        <f>+E39*D39*31</f>
        <v>2506.66</v>
      </c>
      <c r="G39" s="448">
        <f>+E39*D39*29</f>
        <v>2344.94</v>
      </c>
      <c r="H39" s="448">
        <f>+E39*D39*31</f>
        <v>2506.66</v>
      </c>
      <c r="I39" s="448">
        <f>+E39*D39*30</f>
        <v>2425.8000000000002</v>
      </c>
      <c r="J39" s="453">
        <v>0</v>
      </c>
      <c r="K39" s="453">
        <v>0</v>
      </c>
      <c r="L39" s="453">
        <v>0</v>
      </c>
      <c r="M39" s="453">
        <v>0</v>
      </c>
      <c r="N39" s="453">
        <v>0</v>
      </c>
      <c r="O39" s="453">
        <v>0</v>
      </c>
      <c r="P39" s="453">
        <v>0</v>
      </c>
      <c r="Q39" s="461">
        <v>0</v>
      </c>
      <c r="R39" s="450"/>
      <c r="T39" s="458"/>
      <c r="U39" s="462"/>
      <c r="W39" s="451"/>
    </row>
    <row r="41" spans="1:23" x14ac:dyDescent="0.25">
      <c r="E41" s="160">
        <f>SUM(E4:E40)</f>
        <v>485</v>
      </c>
      <c r="F41" s="448">
        <f>SUM(F4:F40)</f>
        <v>1075630.2099999997</v>
      </c>
    </row>
    <row r="47" spans="1:23" s="417" customFormat="1" x14ac:dyDescent="0.25">
      <c r="A47" s="446"/>
      <c r="B47" s="447"/>
      <c r="C47" s="427" t="s">
        <v>43</v>
      </c>
      <c r="D47" s="428">
        <v>72.540000000000006</v>
      </c>
      <c r="E47" s="429">
        <v>10</v>
      </c>
      <c r="F47" s="448">
        <f>+E47*D47*31</f>
        <v>22487.4</v>
      </c>
      <c r="G47" s="448">
        <f>+E47*D47*29</f>
        <v>21036.600000000002</v>
      </c>
      <c r="H47" s="448">
        <f>+E47*D47*31</f>
        <v>22487.4</v>
      </c>
      <c r="I47" s="448">
        <f>+E47*D47*30</f>
        <v>21762.000000000004</v>
      </c>
      <c r="J47" s="448">
        <v>0</v>
      </c>
      <c r="K47" s="448">
        <v>0</v>
      </c>
      <c r="L47" s="448">
        <v>0</v>
      </c>
      <c r="M47" s="448">
        <v>0</v>
      </c>
      <c r="N47" s="448">
        <v>0</v>
      </c>
      <c r="O47" s="448">
        <v>0</v>
      </c>
      <c r="P47" s="448">
        <v>0</v>
      </c>
      <c r="Q47" s="449">
        <v>0</v>
      </c>
      <c r="R47" s="450"/>
      <c r="W47" s="451"/>
    </row>
    <row r="48" spans="1:23" s="417" customFormat="1" x14ac:dyDescent="0.25">
      <c r="A48" s="446"/>
      <c r="B48" s="447"/>
      <c r="C48" s="427" t="s">
        <v>58</v>
      </c>
      <c r="D48" s="428">
        <v>77.59</v>
      </c>
      <c r="E48" s="429">
        <v>22</v>
      </c>
      <c r="F48" s="448">
        <f>+E48*D48*31</f>
        <v>52916.38</v>
      </c>
      <c r="G48" s="448">
        <f>+E48*D48*29</f>
        <v>49502.42</v>
      </c>
      <c r="H48" s="448">
        <f>+E48*D48*31</f>
        <v>52916.38</v>
      </c>
      <c r="I48" s="448">
        <f>+E48*D48*30</f>
        <v>51209.4</v>
      </c>
      <c r="J48" s="448">
        <v>0</v>
      </c>
      <c r="K48" s="448">
        <v>0</v>
      </c>
      <c r="L48" s="448">
        <v>0</v>
      </c>
      <c r="M48" s="448">
        <v>0</v>
      </c>
      <c r="N48" s="448">
        <v>0</v>
      </c>
      <c r="O48" s="448">
        <v>0</v>
      </c>
      <c r="P48" s="448">
        <v>0</v>
      </c>
      <c r="Q48" s="449">
        <v>0</v>
      </c>
      <c r="R48" s="450"/>
      <c r="W48" s="451"/>
    </row>
    <row r="49" spans="1:23" s="417" customFormat="1" x14ac:dyDescent="0.25">
      <c r="A49" s="446"/>
      <c r="B49" s="447"/>
      <c r="C49" s="427" t="s">
        <v>47</v>
      </c>
      <c r="D49" s="428">
        <v>71.400000000000006</v>
      </c>
      <c r="E49" s="429">
        <v>1</v>
      </c>
      <c r="F49" s="448">
        <f>+E49*D49*31</f>
        <v>2213.4</v>
      </c>
      <c r="G49" s="448">
        <f>+E49*D49*29</f>
        <v>2070.6000000000004</v>
      </c>
      <c r="H49" s="448">
        <f>+E49*D49*31</f>
        <v>2213.4</v>
      </c>
      <c r="I49" s="448">
        <f>+E49*D49*30</f>
        <v>2142</v>
      </c>
      <c r="J49" s="448">
        <v>0</v>
      </c>
      <c r="K49" s="448">
        <v>0</v>
      </c>
      <c r="L49" s="448">
        <v>0</v>
      </c>
      <c r="M49" s="448">
        <v>0</v>
      </c>
      <c r="N49" s="448">
        <v>0</v>
      </c>
      <c r="O49" s="448">
        <v>0</v>
      </c>
      <c r="P49" s="448">
        <v>0</v>
      </c>
      <c r="Q49" s="449">
        <v>0</v>
      </c>
      <c r="R49" s="450"/>
      <c r="W49" s="451"/>
    </row>
    <row r="50" spans="1:23" s="417" customFormat="1" x14ac:dyDescent="0.25">
      <c r="A50" s="446"/>
      <c r="B50" s="447"/>
      <c r="C50" s="427" t="s">
        <v>34</v>
      </c>
      <c r="D50" s="428">
        <v>71.400000000000006</v>
      </c>
      <c r="E50" s="429">
        <v>41</v>
      </c>
      <c r="F50" s="448">
        <f>+E50*D50*31</f>
        <v>90749.400000000009</v>
      </c>
      <c r="G50" s="448">
        <f>+E50*D50*29</f>
        <v>84894.6</v>
      </c>
      <c r="H50" s="448">
        <f>+E50*D50*31</f>
        <v>90749.400000000009</v>
      </c>
      <c r="I50" s="448">
        <f>+E50*D50*30</f>
        <v>87822</v>
      </c>
      <c r="J50" s="448">
        <v>0</v>
      </c>
      <c r="K50" s="448">
        <v>0</v>
      </c>
      <c r="L50" s="448">
        <v>0</v>
      </c>
      <c r="M50" s="448">
        <v>0</v>
      </c>
      <c r="N50" s="448">
        <v>0</v>
      </c>
      <c r="O50" s="448">
        <v>0</v>
      </c>
      <c r="P50" s="448">
        <v>0</v>
      </c>
      <c r="Q50" s="449">
        <v>0</v>
      </c>
      <c r="R50" s="450"/>
      <c r="W50" s="451"/>
    </row>
    <row r="51" spans="1:23" s="417" customFormat="1" x14ac:dyDescent="0.25">
      <c r="A51" s="446"/>
      <c r="B51" s="447"/>
      <c r="C51" s="427" t="s">
        <v>129</v>
      </c>
      <c r="D51" s="428">
        <v>71.400000000000006</v>
      </c>
      <c r="E51" s="429">
        <v>2</v>
      </c>
      <c r="F51" s="473">
        <f>+E51*D51*29</f>
        <v>4141.2000000000007</v>
      </c>
      <c r="G51" s="448">
        <f>+E51*D51*29</f>
        <v>4141.2000000000007</v>
      </c>
      <c r="H51" s="448">
        <f>+E51*D51*31</f>
        <v>4426.8</v>
      </c>
      <c r="I51" s="448">
        <f>+E51*D51*30</f>
        <v>4284</v>
      </c>
      <c r="J51" s="448">
        <v>0</v>
      </c>
      <c r="K51" s="448">
        <v>0</v>
      </c>
      <c r="L51" s="448">
        <v>0</v>
      </c>
      <c r="M51" s="448">
        <v>0</v>
      </c>
      <c r="N51" s="448">
        <v>0</v>
      </c>
      <c r="O51" s="448">
        <v>0</v>
      </c>
      <c r="P51" s="448">
        <v>0</v>
      </c>
      <c r="Q51" s="449">
        <v>0</v>
      </c>
      <c r="R51" s="450"/>
      <c r="W51" s="451"/>
    </row>
    <row r="52" spans="1:23" s="417" customFormat="1" x14ac:dyDescent="0.25">
      <c r="A52" s="446"/>
      <c r="B52" s="447"/>
      <c r="C52" s="427" t="s">
        <v>129</v>
      </c>
      <c r="D52" s="428">
        <v>71.400000000000006</v>
      </c>
      <c r="E52" s="429">
        <v>1</v>
      </c>
      <c r="F52" s="448">
        <v>0</v>
      </c>
      <c r="G52" s="448">
        <v>0</v>
      </c>
      <c r="H52" s="448">
        <v>0</v>
      </c>
      <c r="I52" s="448">
        <v>0</v>
      </c>
      <c r="J52" s="448">
        <v>0</v>
      </c>
      <c r="K52" s="448">
        <v>0</v>
      </c>
      <c r="L52" s="448">
        <v>0</v>
      </c>
      <c r="M52" s="448">
        <v>0</v>
      </c>
      <c r="N52" s="448">
        <v>0</v>
      </c>
      <c r="O52" s="448">
        <v>0</v>
      </c>
      <c r="P52" s="448">
        <v>0</v>
      </c>
      <c r="Q52" s="449">
        <v>0</v>
      </c>
      <c r="R52" s="450"/>
      <c r="W52" s="451"/>
    </row>
    <row r="53" spans="1:23" s="417" customFormat="1" x14ac:dyDescent="0.25">
      <c r="A53" s="446"/>
      <c r="B53" s="447"/>
      <c r="C53" s="427" t="s">
        <v>148</v>
      </c>
      <c r="D53" s="428">
        <v>72.540000000000006</v>
      </c>
      <c r="E53" s="429">
        <v>4</v>
      </c>
      <c r="F53" s="448">
        <f t="shared" ref="F53:F66" si="8">+E53*D53*31</f>
        <v>8994.9600000000009</v>
      </c>
      <c r="G53" s="448">
        <f t="shared" ref="G53:G66" si="9">+E53*D53*29</f>
        <v>8414.6400000000012</v>
      </c>
      <c r="H53" s="448">
        <f t="shared" ref="H53:H66" si="10">+E53*D53*31</f>
        <v>8994.9600000000009</v>
      </c>
      <c r="I53" s="448">
        <f t="shared" ref="I53:I66" si="11">+E53*D53*30</f>
        <v>8704.8000000000011</v>
      </c>
      <c r="J53" s="448">
        <v>0</v>
      </c>
      <c r="K53" s="448">
        <v>0</v>
      </c>
      <c r="L53" s="448">
        <v>0</v>
      </c>
      <c r="M53" s="448">
        <v>0</v>
      </c>
      <c r="N53" s="448">
        <v>0</v>
      </c>
      <c r="O53" s="448">
        <v>0</v>
      </c>
      <c r="P53" s="448">
        <v>0</v>
      </c>
      <c r="Q53" s="449">
        <v>0</v>
      </c>
      <c r="R53" s="450"/>
      <c r="W53" s="451"/>
    </row>
    <row r="54" spans="1:23" s="417" customFormat="1" x14ac:dyDescent="0.25">
      <c r="A54" s="446"/>
      <c r="B54" s="447"/>
      <c r="C54" s="427" t="s">
        <v>59</v>
      </c>
      <c r="D54" s="428">
        <v>73.59</v>
      </c>
      <c r="E54" s="429">
        <v>1</v>
      </c>
      <c r="F54" s="448">
        <f t="shared" si="8"/>
        <v>2281.29</v>
      </c>
      <c r="G54" s="448">
        <f t="shared" si="9"/>
        <v>2134.11</v>
      </c>
      <c r="H54" s="448">
        <f t="shared" si="10"/>
        <v>2281.29</v>
      </c>
      <c r="I54" s="448">
        <f t="shared" si="11"/>
        <v>2207.7000000000003</v>
      </c>
      <c r="J54" s="448">
        <v>0</v>
      </c>
      <c r="K54" s="448">
        <v>0</v>
      </c>
      <c r="L54" s="448">
        <v>0</v>
      </c>
      <c r="M54" s="448">
        <v>0</v>
      </c>
      <c r="N54" s="448">
        <v>0</v>
      </c>
      <c r="O54" s="448">
        <v>0</v>
      </c>
      <c r="P54" s="448">
        <v>0</v>
      </c>
      <c r="Q54" s="449">
        <v>0</v>
      </c>
      <c r="R54" s="450"/>
      <c r="W54" s="451"/>
    </row>
    <row r="55" spans="1:23" s="417" customFormat="1" x14ac:dyDescent="0.25">
      <c r="A55" s="446"/>
      <c r="B55" s="447"/>
      <c r="C55" s="427" t="s">
        <v>60</v>
      </c>
      <c r="D55" s="428">
        <v>77.59</v>
      </c>
      <c r="E55" s="429">
        <v>7</v>
      </c>
      <c r="F55" s="448">
        <f t="shared" si="8"/>
        <v>16837.03</v>
      </c>
      <c r="G55" s="448">
        <f t="shared" si="9"/>
        <v>15750.77</v>
      </c>
      <c r="H55" s="448">
        <f t="shared" si="10"/>
        <v>16837.03</v>
      </c>
      <c r="I55" s="448">
        <f t="shared" si="11"/>
        <v>16293.9</v>
      </c>
      <c r="J55" s="448">
        <v>0</v>
      </c>
      <c r="K55" s="448">
        <v>0</v>
      </c>
      <c r="L55" s="448">
        <v>0</v>
      </c>
      <c r="M55" s="448">
        <v>0</v>
      </c>
      <c r="N55" s="448">
        <v>0</v>
      </c>
      <c r="O55" s="448">
        <v>0</v>
      </c>
      <c r="P55" s="448">
        <v>0</v>
      </c>
      <c r="Q55" s="449">
        <v>0</v>
      </c>
      <c r="R55" s="450"/>
      <c r="W55" s="451"/>
    </row>
    <row r="56" spans="1:23" s="417" customFormat="1" x14ac:dyDescent="0.25">
      <c r="A56" s="446"/>
      <c r="B56" s="447"/>
      <c r="C56" s="427" t="s">
        <v>37</v>
      </c>
      <c r="D56" s="428">
        <v>71.400000000000006</v>
      </c>
      <c r="E56" s="429">
        <v>32</v>
      </c>
      <c r="F56" s="448">
        <f t="shared" si="8"/>
        <v>70828.800000000003</v>
      </c>
      <c r="G56" s="448">
        <f t="shared" si="9"/>
        <v>66259.200000000012</v>
      </c>
      <c r="H56" s="448">
        <f t="shared" si="10"/>
        <v>70828.800000000003</v>
      </c>
      <c r="I56" s="448">
        <f t="shared" si="11"/>
        <v>68544</v>
      </c>
      <c r="J56" s="448">
        <v>0</v>
      </c>
      <c r="K56" s="448">
        <v>0</v>
      </c>
      <c r="L56" s="448">
        <v>0</v>
      </c>
      <c r="M56" s="448">
        <v>0</v>
      </c>
      <c r="N56" s="448">
        <v>0</v>
      </c>
      <c r="O56" s="448">
        <v>0</v>
      </c>
      <c r="P56" s="448">
        <v>0</v>
      </c>
      <c r="Q56" s="449">
        <v>0</v>
      </c>
      <c r="R56" s="450"/>
      <c r="W56" s="451"/>
    </row>
    <row r="57" spans="1:23" s="417" customFormat="1" x14ac:dyDescent="0.25">
      <c r="A57" s="446"/>
      <c r="B57" s="447"/>
      <c r="C57" s="427" t="s">
        <v>61</v>
      </c>
      <c r="D57" s="428">
        <v>75.64</v>
      </c>
      <c r="E57" s="429">
        <v>2</v>
      </c>
      <c r="F57" s="448">
        <f t="shared" si="8"/>
        <v>4689.68</v>
      </c>
      <c r="G57" s="448">
        <f t="shared" si="9"/>
        <v>4387.12</v>
      </c>
      <c r="H57" s="448">
        <f t="shared" si="10"/>
        <v>4689.68</v>
      </c>
      <c r="I57" s="448">
        <f t="shared" si="11"/>
        <v>4538.3999999999996</v>
      </c>
      <c r="J57" s="448">
        <v>0</v>
      </c>
      <c r="K57" s="448">
        <v>0</v>
      </c>
      <c r="L57" s="448">
        <v>0</v>
      </c>
      <c r="M57" s="448">
        <v>0</v>
      </c>
      <c r="N57" s="448">
        <v>0</v>
      </c>
      <c r="O57" s="448">
        <v>0</v>
      </c>
      <c r="P57" s="448">
        <v>0</v>
      </c>
      <c r="Q57" s="449">
        <v>0</v>
      </c>
      <c r="R57" s="450"/>
      <c r="W57" s="451"/>
    </row>
    <row r="58" spans="1:23" s="417" customFormat="1" x14ac:dyDescent="0.25">
      <c r="A58" s="446"/>
      <c r="B58" s="447"/>
      <c r="C58" s="427" t="s">
        <v>134</v>
      </c>
      <c r="D58" s="428">
        <v>75.64</v>
      </c>
      <c r="E58" s="429">
        <v>1</v>
      </c>
      <c r="F58" s="448">
        <f t="shared" si="8"/>
        <v>2344.84</v>
      </c>
      <c r="G58" s="448">
        <f t="shared" si="9"/>
        <v>2193.56</v>
      </c>
      <c r="H58" s="448">
        <f t="shared" si="10"/>
        <v>2344.84</v>
      </c>
      <c r="I58" s="448">
        <f t="shared" si="11"/>
        <v>2269.1999999999998</v>
      </c>
      <c r="J58" s="448">
        <v>0</v>
      </c>
      <c r="K58" s="448">
        <v>0</v>
      </c>
      <c r="L58" s="448">
        <v>0</v>
      </c>
      <c r="M58" s="448">
        <v>0</v>
      </c>
      <c r="N58" s="448">
        <v>0</v>
      </c>
      <c r="O58" s="448">
        <v>0</v>
      </c>
      <c r="P58" s="448">
        <v>0</v>
      </c>
      <c r="Q58" s="449">
        <v>0</v>
      </c>
      <c r="R58" s="450"/>
      <c r="W58" s="451"/>
    </row>
    <row r="59" spans="1:23" s="417" customFormat="1" x14ac:dyDescent="0.25">
      <c r="A59" s="446"/>
      <c r="B59" s="447"/>
      <c r="C59" s="427" t="s">
        <v>135</v>
      </c>
      <c r="D59" s="428">
        <v>75.64</v>
      </c>
      <c r="E59" s="429">
        <v>1</v>
      </c>
      <c r="F59" s="448">
        <f t="shared" si="8"/>
        <v>2344.84</v>
      </c>
      <c r="G59" s="448">
        <f t="shared" si="9"/>
        <v>2193.56</v>
      </c>
      <c r="H59" s="448">
        <f t="shared" si="10"/>
        <v>2344.84</v>
      </c>
      <c r="I59" s="448">
        <f t="shared" si="11"/>
        <v>2269.1999999999998</v>
      </c>
      <c r="J59" s="448">
        <v>0</v>
      </c>
      <c r="K59" s="448">
        <v>0</v>
      </c>
      <c r="L59" s="448">
        <v>0</v>
      </c>
      <c r="M59" s="448">
        <v>0</v>
      </c>
      <c r="N59" s="448">
        <v>0</v>
      </c>
      <c r="O59" s="448">
        <v>0</v>
      </c>
      <c r="P59" s="448">
        <v>0</v>
      </c>
      <c r="Q59" s="449">
        <v>0</v>
      </c>
      <c r="R59" s="450"/>
      <c r="W59" s="451"/>
    </row>
    <row r="60" spans="1:23" s="417" customFormat="1" x14ac:dyDescent="0.25">
      <c r="A60" s="446"/>
      <c r="B60" s="447"/>
      <c r="C60" s="427" t="s">
        <v>63</v>
      </c>
      <c r="D60" s="428">
        <v>71.400000000000006</v>
      </c>
      <c r="E60" s="429">
        <v>6</v>
      </c>
      <c r="F60" s="448">
        <f t="shared" si="8"/>
        <v>13280.400000000001</v>
      </c>
      <c r="G60" s="448">
        <f t="shared" si="9"/>
        <v>12423.6</v>
      </c>
      <c r="H60" s="448">
        <f t="shared" si="10"/>
        <v>13280.400000000001</v>
      </c>
      <c r="I60" s="448">
        <f t="shared" si="11"/>
        <v>12852.000000000002</v>
      </c>
      <c r="J60" s="448">
        <v>0</v>
      </c>
      <c r="K60" s="448">
        <v>0</v>
      </c>
      <c r="L60" s="448">
        <v>0</v>
      </c>
      <c r="M60" s="448">
        <v>0</v>
      </c>
      <c r="N60" s="448">
        <v>0</v>
      </c>
      <c r="O60" s="448">
        <v>0</v>
      </c>
      <c r="P60" s="448">
        <v>0</v>
      </c>
      <c r="Q60" s="449">
        <v>0</v>
      </c>
      <c r="R60" s="450"/>
      <c r="W60" s="451"/>
    </row>
    <row r="61" spans="1:23" s="417" customFormat="1" x14ac:dyDescent="0.25">
      <c r="A61" s="446"/>
      <c r="B61" s="447"/>
      <c r="C61" s="427" t="s">
        <v>38</v>
      </c>
      <c r="D61" s="428">
        <v>78.25</v>
      </c>
      <c r="E61" s="429">
        <v>2</v>
      </c>
      <c r="F61" s="448">
        <f t="shared" si="8"/>
        <v>4851.5</v>
      </c>
      <c r="G61" s="448">
        <f t="shared" si="9"/>
        <v>4538.5</v>
      </c>
      <c r="H61" s="448">
        <f t="shared" si="10"/>
        <v>4851.5</v>
      </c>
      <c r="I61" s="448">
        <f t="shared" si="11"/>
        <v>4695</v>
      </c>
      <c r="J61" s="448">
        <v>0</v>
      </c>
      <c r="K61" s="448">
        <v>0</v>
      </c>
      <c r="L61" s="448">
        <v>0</v>
      </c>
      <c r="M61" s="448">
        <v>0</v>
      </c>
      <c r="N61" s="448">
        <v>0</v>
      </c>
      <c r="O61" s="448">
        <v>0</v>
      </c>
      <c r="P61" s="448">
        <v>0</v>
      </c>
      <c r="Q61" s="449">
        <v>0</v>
      </c>
      <c r="R61" s="450"/>
      <c r="W61" s="451"/>
    </row>
    <row r="62" spans="1:23" s="417" customFormat="1" x14ac:dyDescent="0.25">
      <c r="A62" s="446"/>
      <c r="B62" s="447"/>
      <c r="C62" s="427" t="s">
        <v>31</v>
      </c>
      <c r="D62" s="428">
        <v>71.400000000000006</v>
      </c>
      <c r="E62" s="452">
        <v>1</v>
      </c>
      <c r="F62" s="448">
        <f t="shared" si="8"/>
        <v>2213.4</v>
      </c>
      <c r="G62" s="448">
        <f t="shared" si="9"/>
        <v>2070.6000000000004</v>
      </c>
      <c r="H62" s="448">
        <f t="shared" si="10"/>
        <v>2213.4</v>
      </c>
      <c r="I62" s="448">
        <f t="shared" si="11"/>
        <v>2142</v>
      </c>
      <c r="J62" s="448">
        <v>0</v>
      </c>
      <c r="K62" s="448">
        <v>0</v>
      </c>
      <c r="L62" s="448">
        <v>0</v>
      </c>
      <c r="M62" s="448">
        <v>0</v>
      </c>
      <c r="N62" s="448">
        <v>0</v>
      </c>
      <c r="O62" s="448">
        <v>0</v>
      </c>
      <c r="P62" s="448">
        <v>0</v>
      </c>
      <c r="Q62" s="449">
        <v>0</v>
      </c>
      <c r="R62" s="450"/>
      <c r="W62" s="451"/>
    </row>
    <row r="63" spans="1:23" s="417" customFormat="1" x14ac:dyDescent="0.25">
      <c r="A63" s="446"/>
      <c r="B63" s="447"/>
      <c r="C63" s="427" t="s">
        <v>53</v>
      </c>
      <c r="D63" s="428">
        <v>71.400000000000006</v>
      </c>
      <c r="E63" s="429">
        <v>10</v>
      </c>
      <c r="F63" s="448">
        <f t="shared" si="8"/>
        <v>22134</v>
      </c>
      <c r="G63" s="448">
        <f t="shared" si="9"/>
        <v>20706</v>
      </c>
      <c r="H63" s="448">
        <f t="shared" si="10"/>
        <v>22134</v>
      </c>
      <c r="I63" s="448">
        <f t="shared" si="11"/>
        <v>21420</v>
      </c>
      <c r="J63" s="448">
        <v>0</v>
      </c>
      <c r="K63" s="448">
        <v>0</v>
      </c>
      <c r="L63" s="448">
        <v>0</v>
      </c>
      <c r="M63" s="448">
        <v>0</v>
      </c>
      <c r="N63" s="448">
        <v>0</v>
      </c>
      <c r="O63" s="448">
        <v>0</v>
      </c>
      <c r="P63" s="448">
        <v>0</v>
      </c>
      <c r="Q63" s="449">
        <v>0</v>
      </c>
      <c r="R63" s="450"/>
      <c r="W63" s="451"/>
    </row>
    <row r="64" spans="1:23" s="417" customFormat="1" x14ac:dyDescent="0.25">
      <c r="A64" s="446"/>
      <c r="B64" s="447"/>
      <c r="C64" s="427" t="s">
        <v>54</v>
      </c>
      <c r="D64" s="428">
        <v>72.540000000000006</v>
      </c>
      <c r="E64" s="429">
        <v>3</v>
      </c>
      <c r="F64" s="448">
        <f t="shared" si="8"/>
        <v>6746.22</v>
      </c>
      <c r="G64" s="448">
        <f t="shared" si="9"/>
        <v>6310.9800000000005</v>
      </c>
      <c r="H64" s="448">
        <f t="shared" si="10"/>
        <v>6746.22</v>
      </c>
      <c r="I64" s="448">
        <f t="shared" si="11"/>
        <v>6528.6</v>
      </c>
      <c r="J64" s="448">
        <v>0</v>
      </c>
      <c r="K64" s="448">
        <v>0</v>
      </c>
      <c r="L64" s="448">
        <v>0</v>
      </c>
      <c r="M64" s="448">
        <v>0</v>
      </c>
      <c r="N64" s="448">
        <v>0</v>
      </c>
      <c r="O64" s="448">
        <v>0</v>
      </c>
      <c r="P64" s="448">
        <v>0</v>
      </c>
      <c r="Q64" s="449">
        <v>0</v>
      </c>
      <c r="R64" s="450"/>
      <c r="W64" s="451"/>
    </row>
    <row r="65" spans="1:23" s="417" customFormat="1" x14ac:dyDescent="0.25">
      <c r="A65" s="446"/>
      <c r="B65" s="447"/>
      <c r="C65" s="427" t="s">
        <v>147</v>
      </c>
      <c r="D65" s="428">
        <v>75.64</v>
      </c>
      <c r="E65" s="429">
        <v>1</v>
      </c>
      <c r="F65" s="448">
        <f t="shared" si="8"/>
        <v>2344.84</v>
      </c>
      <c r="G65" s="448">
        <f t="shared" si="9"/>
        <v>2193.56</v>
      </c>
      <c r="H65" s="448">
        <f t="shared" si="10"/>
        <v>2344.84</v>
      </c>
      <c r="I65" s="448">
        <f t="shared" si="11"/>
        <v>2269.1999999999998</v>
      </c>
      <c r="J65" s="448">
        <v>0</v>
      </c>
      <c r="K65" s="448">
        <v>0</v>
      </c>
      <c r="L65" s="448">
        <v>0</v>
      </c>
      <c r="M65" s="448">
        <v>0</v>
      </c>
      <c r="N65" s="448">
        <v>0</v>
      </c>
      <c r="O65" s="448">
        <v>0</v>
      </c>
      <c r="P65" s="448">
        <v>0</v>
      </c>
      <c r="Q65" s="449">
        <v>0</v>
      </c>
      <c r="R65" s="450"/>
      <c r="W65" s="451"/>
    </row>
    <row r="66" spans="1:23" s="417" customFormat="1" x14ac:dyDescent="0.25">
      <c r="A66" s="446"/>
      <c r="B66" s="447"/>
      <c r="C66" s="427" t="s">
        <v>36</v>
      </c>
      <c r="D66" s="428">
        <v>80.86</v>
      </c>
      <c r="E66" s="429">
        <v>1</v>
      </c>
      <c r="F66" s="448">
        <f t="shared" si="8"/>
        <v>2506.66</v>
      </c>
      <c r="G66" s="448">
        <f t="shared" si="9"/>
        <v>2344.94</v>
      </c>
      <c r="H66" s="448">
        <f t="shared" si="10"/>
        <v>2506.66</v>
      </c>
      <c r="I66" s="448">
        <f t="shared" si="11"/>
        <v>2425.8000000000002</v>
      </c>
      <c r="J66" s="448">
        <v>0</v>
      </c>
      <c r="K66" s="448">
        <v>0</v>
      </c>
      <c r="L66" s="448">
        <v>0</v>
      </c>
      <c r="M66" s="448">
        <v>0</v>
      </c>
      <c r="N66" s="448">
        <v>0</v>
      </c>
      <c r="O66" s="448">
        <v>0</v>
      </c>
      <c r="P66" s="448">
        <v>0</v>
      </c>
      <c r="Q66" s="449">
        <v>0</v>
      </c>
      <c r="R66" s="450"/>
      <c r="W66" s="451"/>
    </row>
    <row r="68" spans="1:23" x14ac:dyDescent="0.25">
      <c r="E68" s="426">
        <f>SUM(E47:E67)</f>
        <v>149</v>
      </c>
      <c r="F68" s="16">
        <f>SUM(F47:F67)</f>
        <v>334906.24000000011</v>
      </c>
    </row>
    <row r="73" spans="1:23" s="417" customFormat="1" x14ac:dyDescent="0.25">
      <c r="A73" s="446"/>
      <c r="B73" s="447"/>
      <c r="C73" s="427" t="s">
        <v>31</v>
      </c>
      <c r="D73" s="428">
        <v>71.400000000000006</v>
      </c>
      <c r="E73" s="452">
        <v>2</v>
      </c>
      <c r="F73" s="448">
        <f t="shared" ref="F73:F76" si="12">+E73*D73*31</f>
        <v>4426.8</v>
      </c>
      <c r="G73" s="448">
        <f t="shared" ref="G73:G76" si="13">+E73*D73*29</f>
        <v>4141.2000000000007</v>
      </c>
      <c r="H73" s="448">
        <f t="shared" ref="H73:H76" si="14">+E73*D73*31</f>
        <v>4426.8</v>
      </c>
      <c r="I73" s="448">
        <f t="shared" ref="I73:I76" si="15">+E73*D73*30</f>
        <v>4284</v>
      </c>
      <c r="J73" s="448">
        <v>0</v>
      </c>
      <c r="K73" s="448">
        <v>0</v>
      </c>
      <c r="L73" s="448">
        <v>0</v>
      </c>
      <c r="M73" s="448">
        <v>0</v>
      </c>
      <c r="N73" s="448">
        <v>0</v>
      </c>
      <c r="O73" s="448">
        <v>0</v>
      </c>
      <c r="P73" s="448">
        <v>0</v>
      </c>
      <c r="Q73" s="449">
        <v>0</v>
      </c>
      <c r="R73" s="450"/>
      <c r="W73" s="451"/>
    </row>
    <row r="74" spans="1:23" s="417" customFormat="1" x14ac:dyDescent="0.25">
      <c r="A74" s="446"/>
      <c r="B74" s="447"/>
      <c r="C74" s="427" t="s">
        <v>53</v>
      </c>
      <c r="D74" s="428">
        <v>71.400000000000006</v>
      </c>
      <c r="E74" s="452">
        <v>12</v>
      </c>
      <c r="F74" s="448">
        <f t="shared" si="12"/>
        <v>26560.800000000003</v>
      </c>
      <c r="G74" s="448">
        <f t="shared" si="13"/>
        <v>24847.200000000001</v>
      </c>
      <c r="H74" s="448">
        <f t="shared" si="14"/>
        <v>26560.800000000003</v>
      </c>
      <c r="I74" s="448">
        <f t="shared" si="15"/>
        <v>25704.000000000004</v>
      </c>
      <c r="J74" s="448">
        <v>0</v>
      </c>
      <c r="K74" s="448">
        <v>0</v>
      </c>
      <c r="L74" s="448">
        <v>0</v>
      </c>
      <c r="M74" s="448">
        <v>0</v>
      </c>
      <c r="N74" s="448">
        <v>0</v>
      </c>
      <c r="O74" s="448">
        <v>0</v>
      </c>
      <c r="P74" s="448">
        <v>0</v>
      </c>
      <c r="Q74" s="449">
        <v>0</v>
      </c>
      <c r="R74" s="450"/>
      <c r="W74" s="451"/>
    </row>
    <row r="75" spans="1:23" s="417" customFormat="1" x14ac:dyDescent="0.25">
      <c r="A75" s="446"/>
      <c r="B75" s="447"/>
      <c r="C75" s="427" t="s">
        <v>34</v>
      </c>
      <c r="D75" s="428">
        <v>71.400000000000006</v>
      </c>
      <c r="E75" s="452">
        <v>2</v>
      </c>
      <c r="F75" s="448">
        <f t="shared" si="12"/>
        <v>4426.8</v>
      </c>
      <c r="G75" s="448">
        <f t="shared" si="13"/>
        <v>4141.2000000000007</v>
      </c>
      <c r="H75" s="448">
        <f t="shared" si="14"/>
        <v>4426.8</v>
      </c>
      <c r="I75" s="448">
        <f t="shared" si="15"/>
        <v>4284</v>
      </c>
      <c r="J75" s="448">
        <v>0</v>
      </c>
      <c r="K75" s="448">
        <v>0</v>
      </c>
      <c r="L75" s="448">
        <v>0</v>
      </c>
      <c r="M75" s="448">
        <v>0</v>
      </c>
      <c r="N75" s="448">
        <v>0</v>
      </c>
      <c r="O75" s="448">
        <v>0</v>
      </c>
      <c r="P75" s="448">
        <v>0</v>
      </c>
      <c r="Q75" s="449">
        <v>0</v>
      </c>
      <c r="R75" s="450"/>
      <c r="W75" s="451"/>
    </row>
    <row r="76" spans="1:23" s="417" customFormat="1" x14ac:dyDescent="0.25">
      <c r="A76" s="446"/>
      <c r="B76" s="447"/>
      <c r="C76" s="427" t="s">
        <v>37</v>
      </c>
      <c r="D76" s="428">
        <v>71.400000000000006</v>
      </c>
      <c r="E76" s="452">
        <v>1</v>
      </c>
      <c r="F76" s="448">
        <f t="shared" si="12"/>
        <v>2213.4</v>
      </c>
      <c r="G76" s="448">
        <f t="shared" si="13"/>
        <v>2070.6000000000004</v>
      </c>
      <c r="H76" s="448">
        <f t="shared" si="14"/>
        <v>2213.4</v>
      </c>
      <c r="I76" s="448">
        <f t="shared" si="15"/>
        <v>2142</v>
      </c>
      <c r="J76" s="448">
        <v>0</v>
      </c>
      <c r="K76" s="448">
        <v>0</v>
      </c>
      <c r="L76" s="448">
        <v>0</v>
      </c>
      <c r="M76" s="448">
        <v>0</v>
      </c>
      <c r="N76" s="448">
        <v>0</v>
      </c>
      <c r="O76" s="448">
        <v>0</v>
      </c>
      <c r="P76" s="448">
        <v>0</v>
      </c>
      <c r="Q76" s="449">
        <v>0</v>
      </c>
      <c r="R76" s="450"/>
      <c r="W76" s="451"/>
    </row>
    <row r="77" spans="1:23" s="417" customFormat="1" x14ac:dyDescent="0.25">
      <c r="A77" s="446"/>
      <c r="B77" s="447"/>
      <c r="C77" s="427" t="s">
        <v>43</v>
      </c>
      <c r="D77" s="428">
        <v>72.540000000000006</v>
      </c>
      <c r="E77" s="452">
        <v>4</v>
      </c>
      <c r="F77" s="448">
        <f t="shared" ref="F77:F80" si="16">+E77*D77*31</f>
        <v>8994.9600000000009</v>
      </c>
      <c r="G77" s="448">
        <f t="shared" ref="G77:G80" si="17">+E77*D77*29</f>
        <v>8414.6400000000012</v>
      </c>
      <c r="H77" s="448">
        <f t="shared" ref="H77:H80" si="18">+E77*D77*31</f>
        <v>8994.9600000000009</v>
      </c>
      <c r="I77" s="448">
        <f t="shared" ref="I77:I80" si="19">+E77*D77*30</f>
        <v>8704.8000000000011</v>
      </c>
      <c r="J77" s="448">
        <v>0</v>
      </c>
      <c r="K77" s="448">
        <v>0</v>
      </c>
      <c r="L77" s="448">
        <v>0</v>
      </c>
      <c r="M77" s="448">
        <v>0</v>
      </c>
      <c r="N77" s="448">
        <v>0</v>
      </c>
      <c r="O77" s="448">
        <v>0</v>
      </c>
      <c r="P77" s="448">
        <v>0</v>
      </c>
      <c r="Q77" s="449">
        <v>0</v>
      </c>
      <c r="R77" s="450"/>
      <c r="W77" s="451"/>
    </row>
    <row r="78" spans="1:23" s="417" customFormat="1" x14ac:dyDescent="0.25">
      <c r="A78" s="446"/>
      <c r="B78" s="447"/>
      <c r="C78" s="427" t="s">
        <v>51</v>
      </c>
      <c r="D78" s="428">
        <v>72.540000000000006</v>
      </c>
      <c r="E78" s="452">
        <v>1</v>
      </c>
      <c r="F78" s="448">
        <f t="shared" si="16"/>
        <v>2248.7400000000002</v>
      </c>
      <c r="G78" s="448">
        <f t="shared" si="17"/>
        <v>2103.6600000000003</v>
      </c>
      <c r="H78" s="448">
        <f t="shared" si="18"/>
        <v>2248.7400000000002</v>
      </c>
      <c r="I78" s="448">
        <f t="shared" si="19"/>
        <v>2176.2000000000003</v>
      </c>
      <c r="J78" s="448">
        <v>0</v>
      </c>
      <c r="K78" s="448">
        <v>0</v>
      </c>
      <c r="L78" s="448">
        <v>0</v>
      </c>
      <c r="M78" s="448">
        <v>0</v>
      </c>
      <c r="N78" s="448">
        <v>0</v>
      </c>
      <c r="O78" s="448">
        <v>0</v>
      </c>
      <c r="P78" s="448">
        <v>0</v>
      </c>
      <c r="Q78" s="449">
        <v>0</v>
      </c>
      <c r="R78" s="450"/>
      <c r="W78" s="451"/>
    </row>
    <row r="79" spans="1:23" s="417" customFormat="1" x14ac:dyDescent="0.25">
      <c r="A79" s="446"/>
      <c r="B79" s="447"/>
      <c r="C79" s="427" t="s">
        <v>31</v>
      </c>
      <c r="D79" s="428">
        <v>71.400000000000006</v>
      </c>
      <c r="E79" s="452">
        <v>6</v>
      </c>
      <c r="F79" s="448">
        <f t="shared" si="16"/>
        <v>13280.400000000001</v>
      </c>
      <c r="G79" s="448">
        <f t="shared" si="17"/>
        <v>12423.6</v>
      </c>
      <c r="H79" s="448">
        <f t="shared" si="18"/>
        <v>13280.400000000001</v>
      </c>
      <c r="I79" s="448">
        <f t="shared" si="19"/>
        <v>12852.000000000002</v>
      </c>
      <c r="J79" s="448">
        <v>0</v>
      </c>
      <c r="K79" s="448">
        <v>0</v>
      </c>
      <c r="L79" s="448">
        <v>0</v>
      </c>
      <c r="M79" s="448">
        <v>0</v>
      </c>
      <c r="N79" s="448">
        <v>0</v>
      </c>
      <c r="O79" s="448">
        <v>0</v>
      </c>
      <c r="P79" s="448">
        <v>0</v>
      </c>
      <c r="Q79" s="449">
        <v>0</v>
      </c>
      <c r="R79" s="450"/>
      <c r="W79" s="451"/>
    </row>
    <row r="80" spans="1:23" s="417" customFormat="1" x14ac:dyDescent="0.25">
      <c r="A80" s="446"/>
      <c r="B80" s="447"/>
      <c r="C80" s="427" t="s">
        <v>53</v>
      </c>
      <c r="D80" s="428">
        <v>71.400000000000006</v>
      </c>
      <c r="E80" s="452">
        <v>4</v>
      </c>
      <c r="F80" s="448">
        <f t="shared" si="16"/>
        <v>8853.6</v>
      </c>
      <c r="G80" s="448">
        <f t="shared" si="17"/>
        <v>8282.4000000000015</v>
      </c>
      <c r="H80" s="448">
        <f t="shared" si="18"/>
        <v>8853.6</v>
      </c>
      <c r="I80" s="448">
        <f t="shared" si="19"/>
        <v>8568</v>
      </c>
      <c r="J80" s="448">
        <v>0</v>
      </c>
      <c r="K80" s="448">
        <v>0</v>
      </c>
      <c r="L80" s="448">
        <v>0</v>
      </c>
      <c r="M80" s="448">
        <v>0</v>
      </c>
      <c r="N80" s="448">
        <v>0</v>
      </c>
      <c r="O80" s="448">
        <v>0</v>
      </c>
      <c r="P80" s="448">
        <v>0</v>
      </c>
      <c r="Q80" s="449">
        <v>0</v>
      </c>
      <c r="R80" s="450"/>
      <c r="W80" s="451"/>
    </row>
    <row r="81" spans="1:23" s="417" customFormat="1" x14ac:dyDescent="0.25">
      <c r="A81" s="446"/>
      <c r="B81" s="447"/>
      <c r="C81" s="427" t="s">
        <v>46</v>
      </c>
      <c r="D81" s="428">
        <v>74.63</v>
      </c>
      <c r="E81" s="452">
        <v>2</v>
      </c>
      <c r="F81" s="448">
        <f t="shared" ref="F81:F83" si="20">+E81*D81*31</f>
        <v>4627.0599999999995</v>
      </c>
      <c r="G81" s="448">
        <f t="shared" ref="G81:G83" si="21">+E81*D81*29</f>
        <v>4328.54</v>
      </c>
      <c r="H81" s="448">
        <f t="shared" ref="H81:H83" si="22">+E81*D81*31</f>
        <v>4627.0599999999995</v>
      </c>
      <c r="I81" s="448">
        <f t="shared" ref="I81:I83" si="23">+E81*D81*30</f>
        <v>4477.7999999999993</v>
      </c>
      <c r="J81" s="448">
        <v>0</v>
      </c>
      <c r="K81" s="448">
        <v>0</v>
      </c>
      <c r="L81" s="448">
        <v>0</v>
      </c>
      <c r="M81" s="448">
        <v>0</v>
      </c>
      <c r="N81" s="448">
        <v>0</v>
      </c>
      <c r="O81" s="448">
        <v>0</v>
      </c>
      <c r="P81" s="448">
        <v>0</v>
      </c>
      <c r="Q81" s="449">
        <v>0</v>
      </c>
      <c r="R81" s="450"/>
      <c r="W81" s="451"/>
    </row>
    <row r="82" spans="1:23" s="417" customFormat="1" x14ac:dyDescent="0.25">
      <c r="A82" s="446"/>
      <c r="B82" s="447"/>
      <c r="C82" s="427" t="s">
        <v>31</v>
      </c>
      <c r="D82" s="428">
        <v>71.400000000000006</v>
      </c>
      <c r="E82" s="452">
        <v>1</v>
      </c>
      <c r="F82" s="448">
        <f t="shared" si="20"/>
        <v>2213.4</v>
      </c>
      <c r="G82" s="448">
        <f t="shared" si="21"/>
        <v>2070.6000000000004</v>
      </c>
      <c r="H82" s="448">
        <f t="shared" si="22"/>
        <v>2213.4</v>
      </c>
      <c r="I82" s="448">
        <f t="shared" si="23"/>
        <v>2142</v>
      </c>
      <c r="J82" s="448">
        <v>0</v>
      </c>
      <c r="K82" s="448">
        <v>0</v>
      </c>
      <c r="L82" s="448">
        <v>0</v>
      </c>
      <c r="M82" s="448">
        <v>0</v>
      </c>
      <c r="N82" s="448">
        <v>0</v>
      </c>
      <c r="O82" s="448">
        <v>0</v>
      </c>
      <c r="P82" s="448">
        <v>0</v>
      </c>
      <c r="Q82" s="449">
        <v>0</v>
      </c>
      <c r="R82" s="450"/>
      <c r="W82" s="451"/>
    </row>
    <row r="83" spans="1:23" s="417" customFormat="1" x14ac:dyDescent="0.25">
      <c r="A83" s="446"/>
      <c r="B83" s="447"/>
      <c r="C83" s="427" t="s">
        <v>53</v>
      </c>
      <c r="D83" s="428">
        <v>71.400000000000006</v>
      </c>
      <c r="E83" s="452">
        <v>13</v>
      </c>
      <c r="F83" s="448">
        <f t="shared" si="20"/>
        <v>28774.2</v>
      </c>
      <c r="G83" s="448">
        <f t="shared" si="21"/>
        <v>26917.800000000003</v>
      </c>
      <c r="H83" s="448">
        <f t="shared" si="22"/>
        <v>28774.2</v>
      </c>
      <c r="I83" s="448">
        <f t="shared" si="23"/>
        <v>27846</v>
      </c>
      <c r="J83" s="448">
        <v>0</v>
      </c>
      <c r="K83" s="448">
        <v>0</v>
      </c>
      <c r="L83" s="448">
        <v>0</v>
      </c>
      <c r="M83" s="448">
        <v>0</v>
      </c>
      <c r="N83" s="448">
        <v>0</v>
      </c>
      <c r="O83" s="448">
        <v>0</v>
      </c>
      <c r="P83" s="448">
        <v>0</v>
      </c>
      <c r="Q83" s="449">
        <v>0</v>
      </c>
      <c r="R83" s="450"/>
      <c r="W83" s="451"/>
    </row>
    <row r="84" spans="1:23" s="417" customFormat="1" x14ac:dyDescent="0.25">
      <c r="A84" s="446"/>
      <c r="B84" s="447"/>
      <c r="C84" s="427" t="s">
        <v>34</v>
      </c>
      <c r="D84" s="428">
        <v>71.400000000000006</v>
      </c>
      <c r="E84" s="452">
        <v>5</v>
      </c>
      <c r="F84" s="448">
        <f t="shared" ref="F84:F87" si="24">+E84*D84*31</f>
        <v>11067</v>
      </c>
      <c r="G84" s="448">
        <f t="shared" ref="G84:G87" si="25">+E84*D84*29</f>
        <v>10353</v>
      </c>
      <c r="H84" s="448">
        <f t="shared" ref="H84:H87" si="26">+E84*D84*31</f>
        <v>11067</v>
      </c>
      <c r="I84" s="448">
        <f t="shared" ref="I84:I87" si="27">+E84*D84*30</f>
        <v>10710</v>
      </c>
      <c r="J84" s="448">
        <v>0</v>
      </c>
      <c r="K84" s="448">
        <v>0</v>
      </c>
      <c r="L84" s="448">
        <v>0</v>
      </c>
      <c r="M84" s="448">
        <v>0</v>
      </c>
      <c r="N84" s="448">
        <v>0</v>
      </c>
      <c r="O84" s="448">
        <v>0</v>
      </c>
      <c r="P84" s="448">
        <v>0</v>
      </c>
      <c r="Q84" s="449">
        <v>0</v>
      </c>
      <c r="R84" s="450"/>
      <c r="W84" s="451"/>
    </row>
    <row r="85" spans="1:23" s="417" customFormat="1" x14ac:dyDescent="0.25">
      <c r="A85" s="446"/>
      <c r="B85" s="447"/>
      <c r="C85" s="427" t="s">
        <v>37</v>
      </c>
      <c r="D85" s="428">
        <v>71.400000000000006</v>
      </c>
      <c r="E85" s="452">
        <v>1</v>
      </c>
      <c r="F85" s="448">
        <f t="shared" si="24"/>
        <v>2213.4</v>
      </c>
      <c r="G85" s="448">
        <f t="shared" si="25"/>
        <v>2070.6000000000004</v>
      </c>
      <c r="H85" s="448">
        <f t="shared" si="26"/>
        <v>2213.4</v>
      </c>
      <c r="I85" s="448">
        <f t="shared" si="27"/>
        <v>2142</v>
      </c>
      <c r="J85" s="448">
        <v>0</v>
      </c>
      <c r="K85" s="448">
        <v>0</v>
      </c>
      <c r="L85" s="448">
        <v>0</v>
      </c>
      <c r="M85" s="448">
        <v>0</v>
      </c>
      <c r="N85" s="448">
        <v>0</v>
      </c>
      <c r="O85" s="448">
        <v>0</v>
      </c>
      <c r="P85" s="448">
        <v>0</v>
      </c>
      <c r="Q85" s="449">
        <v>0</v>
      </c>
      <c r="R85" s="450"/>
      <c r="W85" s="451"/>
    </row>
    <row r="86" spans="1:23" s="417" customFormat="1" x14ac:dyDescent="0.25">
      <c r="A86" s="446"/>
      <c r="B86" s="447"/>
      <c r="C86" s="427" t="s">
        <v>31</v>
      </c>
      <c r="D86" s="428">
        <v>71.400000000000006</v>
      </c>
      <c r="E86" s="452">
        <v>1</v>
      </c>
      <c r="F86" s="448">
        <f t="shared" si="24"/>
        <v>2213.4</v>
      </c>
      <c r="G86" s="448">
        <f t="shared" si="25"/>
        <v>2070.6000000000004</v>
      </c>
      <c r="H86" s="448">
        <f t="shared" si="26"/>
        <v>2213.4</v>
      </c>
      <c r="I86" s="448">
        <f t="shared" si="27"/>
        <v>2142</v>
      </c>
      <c r="J86" s="448">
        <v>0</v>
      </c>
      <c r="K86" s="448">
        <v>0</v>
      </c>
      <c r="L86" s="448">
        <v>0</v>
      </c>
      <c r="M86" s="448">
        <v>0</v>
      </c>
      <c r="N86" s="448">
        <v>0</v>
      </c>
      <c r="O86" s="448">
        <v>0</v>
      </c>
      <c r="P86" s="448">
        <v>0</v>
      </c>
      <c r="Q86" s="449">
        <v>0</v>
      </c>
      <c r="R86" s="450"/>
      <c r="W86" s="451"/>
    </row>
    <row r="87" spans="1:23" s="417" customFormat="1" x14ac:dyDescent="0.25">
      <c r="A87" s="446"/>
      <c r="B87" s="447"/>
      <c r="C87" s="427" t="s">
        <v>53</v>
      </c>
      <c r="D87" s="428">
        <v>71.400000000000006</v>
      </c>
      <c r="E87" s="452">
        <v>14</v>
      </c>
      <c r="F87" s="448">
        <f t="shared" si="24"/>
        <v>30987.600000000006</v>
      </c>
      <c r="G87" s="448">
        <f t="shared" si="25"/>
        <v>28988.400000000005</v>
      </c>
      <c r="H87" s="448">
        <f t="shared" si="26"/>
        <v>30987.600000000006</v>
      </c>
      <c r="I87" s="448">
        <f t="shared" si="27"/>
        <v>29988.000000000004</v>
      </c>
      <c r="J87" s="448">
        <v>0</v>
      </c>
      <c r="K87" s="448">
        <v>0</v>
      </c>
      <c r="L87" s="448">
        <v>0</v>
      </c>
      <c r="M87" s="448">
        <v>0</v>
      </c>
      <c r="N87" s="448">
        <v>0</v>
      </c>
      <c r="O87" s="448">
        <v>0</v>
      </c>
      <c r="P87" s="448">
        <v>0</v>
      </c>
      <c r="Q87" s="449">
        <v>0</v>
      </c>
      <c r="R87" s="450"/>
      <c r="W87" s="451"/>
    </row>
    <row r="88" spans="1:23" s="417" customFormat="1" x14ac:dyDescent="0.25">
      <c r="A88" s="446"/>
      <c r="B88" s="447"/>
      <c r="C88" s="427" t="s">
        <v>34</v>
      </c>
      <c r="D88" s="428">
        <v>71.400000000000006</v>
      </c>
      <c r="E88" s="452">
        <v>1</v>
      </c>
      <c r="F88" s="448">
        <f t="shared" ref="F88:F89" si="28">+E88*D88*31</f>
        <v>2213.4</v>
      </c>
      <c r="G88" s="448">
        <f t="shared" ref="G88:G89" si="29">+E88*D88*29</f>
        <v>2070.6000000000004</v>
      </c>
      <c r="H88" s="448">
        <f t="shared" ref="H88:H89" si="30">+E88*D88*31</f>
        <v>2213.4</v>
      </c>
      <c r="I88" s="448">
        <f t="shared" ref="I88:I89" si="31">+E88*D88*30</f>
        <v>2142</v>
      </c>
      <c r="J88" s="448">
        <v>0</v>
      </c>
      <c r="K88" s="448">
        <v>0</v>
      </c>
      <c r="L88" s="448">
        <v>0</v>
      </c>
      <c r="M88" s="448">
        <v>0</v>
      </c>
      <c r="N88" s="448">
        <v>0</v>
      </c>
      <c r="O88" s="448">
        <v>0</v>
      </c>
      <c r="P88" s="448">
        <v>0</v>
      </c>
      <c r="Q88" s="449">
        <v>0</v>
      </c>
      <c r="R88" s="450"/>
      <c r="W88" s="451"/>
    </row>
    <row r="89" spans="1:23" s="417" customFormat="1" x14ac:dyDescent="0.25">
      <c r="A89" s="446"/>
      <c r="B89" s="447"/>
      <c r="C89" s="427" t="s">
        <v>53</v>
      </c>
      <c r="D89" s="428">
        <v>71.400000000000006</v>
      </c>
      <c r="E89" s="452">
        <v>8</v>
      </c>
      <c r="F89" s="448">
        <f t="shared" si="28"/>
        <v>17707.2</v>
      </c>
      <c r="G89" s="448">
        <f t="shared" si="29"/>
        <v>16564.800000000003</v>
      </c>
      <c r="H89" s="448">
        <f t="shared" si="30"/>
        <v>17707.2</v>
      </c>
      <c r="I89" s="448">
        <f t="shared" si="31"/>
        <v>17136</v>
      </c>
      <c r="J89" s="448">
        <v>0</v>
      </c>
      <c r="K89" s="448">
        <v>0</v>
      </c>
      <c r="L89" s="448">
        <v>0</v>
      </c>
      <c r="M89" s="448">
        <v>0</v>
      </c>
      <c r="N89" s="448">
        <v>0</v>
      </c>
      <c r="O89" s="448">
        <v>0</v>
      </c>
      <c r="P89" s="448">
        <v>0</v>
      </c>
      <c r="Q89" s="449">
        <v>0</v>
      </c>
      <c r="R89" s="450"/>
      <c r="W89" s="451"/>
    </row>
    <row r="90" spans="1:23" s="417" customFormat="1" x14ac:dyDescent="0.25">
      <c r="A90" s="446"/>
      <c r="B90" s="447"/>
      <c r="C90" s="427" t="s">
        <v>31</v>
      </c>
      <c r="D90" s="428">
        <v>71.400000000000006</v>
      </c>
      <c r="E90" s="452">
        <v>1</v>
      </c>
      <c r="F90" s="448">
        <f t="shared" ref="F90:F91" si="32">+E90*D90*31</f>
        <v>2213.4</v>
      </c>
      <c r="G90" s="448">
        <f t="shared" ref="G90:G91" si="33">+E90*D90*29</f>
        <v>2070.6000000000004</v>
      </c>
      <c r="H90" s="448">
        <f t="shared" ref="H90:H91" si="34">+E90*D90*31</f>
        <v>2213.4</v>
      </c>
      <c r="I90" s="448">
        <f t="shared" ref="I90:I91" si="35">+E90*D90*30</f>
        <v>2142</v>
      </c>
      <c r="J90" s="448">
        <v>0</v>
      </c>
      <c r="K90" s="448">
        <v>0</v>
      </c>
      <c r="L90" s="448">
        <v>0</v>
      </c>
      <c r="M90" s="448">
        <v>0</v>
      </c>
      <c r="N90" s="448">
        <v>0</v>
      </c>
      <c r="O90" s="448">
        <v>0</v>
      </c>
      <c r="P90" s="448">
        <v>0</v>
      </c>
      <c r="Q90" s="449">
        <v>0</v>
      </c>
      <c r="R90" s="450"/>
      <c r="W90" s="451"/>
    </row>
    <row r="91" spans="1:23" s="417" customFormat="1" ht="15.75" customHeight="1" x14ac:dyDescent="0.25">
      <c r="A91" s="446"/>
      <c r="B91" s="447"/>
      <c r="C91" s="427" t="s">
        <v>53</v>
      </c>
      <c r="D91" s="428">
        <v>71.400000000000006</v>
      </c>
      <c r="E91" s="452">
        <v>5</v>
      </c>
      <c r="F91" s="448">
        <f t="shared" si="32"/>
        <v>11067</v>
      </c>
      <c r="G91" s="448">
        <f t="shared" si="33"/>
        <v>10353</v>
      </c>
      <c r="H91" s="448">
        <f t="shared" si="34"/>
        <v>11067</v>
      </c>
      <c r="I91" s="448">
        <f t="shared" si="35"/>
        <v>10710</v>
      </c>
      <c r="J91" s="448">
        <v>0</v>
      </c>
      <c r="K91" s="448">
        <v>0</v>
      </c>
      <c r="L91" s="448">
        <v>0</v>
      </c>
      <c r="M91" s="448">
        <v>0</v>
      </c>
      <c r="N91" s="448">
        <v>0</v>
      </c>
      <c r="O91" s="448">
        <v>0</v>
      </c>
      <c r="P91" s="448">
        <v>0</v>
      </c>
      <c r="Q91" s="449">
        <v>0</v>
      </c>
      <c r="R91" s="450"/>
      <c r="W91" s="451"/>
    </row>
    <row r="92" spans="1:23" s="417" customFormat="1" x14ac:dyDescent="0.25">
      <c r="A92" s="446"/>
      <c r="B92" s="447"/>
      <c r="C92" s="427" t="s">
        <v>43</v>
      </c>
      <c r="D92" s="428">
        <v>72.540000000000006</v>
      </c>
      <c r="E92" s="452">
        <v>3</v>
      </c>
      <c r="F92" s="448">
        <f t="shared" ref="F92:F98" si="36">+E92*D92*31</f>
        <v>6746.22</v>
      </c>
      <c r="G92" s="448">
        <f t="shared" ref="G92:G98" si="37">+E92*D92*29</f>
        <v>6310.9800000000005</v>
      </c>
      <c r="H92" s="448">
        <f t="shared" ref="H92:H98" si="38">+E92*D92*31</f>
        <v>6746.22</v>
      </c>
      <c r="I92" s="448">
        <f t="shared" ref="I92:I98" si="39">+E92*D92*30</f>
        <v>6528.6</v>
      </c>
      <c r="J92" s="476">
        <v>0</v>
      </c>
      <c r="K92" s="476">
        <v>0</v>
      </c>
      <c r="L92" s="476">
        <v>0</v>
      </c>
      <c r="M92" s="476">
        <v>0</v>
      </c>
      <c r="N92" s="476">
        <v>0</v>
      </c>
      <c r="O92" s="476">
        <v>0</v>
      </c>
      <c r="P92" s="476">
        <v>0</v>
      </c>
      <c r="Q92" s="476">
        <v>0</v>
      </c>
      <c r="R92" s="450"/>
      <c r="W92" s="451"/>
    </row>
    <row r="93" spans="1:23" s="417" customFormat="1" x14ac:dyDescent="0.25">
      <c r="A93" s="446"/>
      <c r="B93" s="455"/>
      <c r="C93" s="427" t="s">
        <v>71</v>
      </c>
      <c r="D93" s="428">
        <v>71.400000000000006</v>
      </c>
      <c r="E93" s="452">
        <v>7</v>
      </c>
      <c r="F93" s="448">
        <f t="shared" si="36"/>
        <v>15493.800000000003</v>
      </c>
      <c r="G93" s="448">
        <f t="shared" si="37"/>
        <v>14494.200000000003</v>
      </c>
      <c r="H93" s="448">
        <f t="shared" si="38"/>
        <v>15493.800000000003</v>
      </c>
      <c r="I93" s="448">
        <f t="shared" si="39"/>
        <v>14994.000000000002</v>
      </c>
      <c r="J93" s="476">
        <v>0</v>
      </c>
      <c r="K93" s="476">
        <v>0</v>
      </c>
      <c r="L93" s="476">
        <v>0</v>
      </c>
      <c r="M93" s="476">
        <v>0</v>
      </c>
      <c r="N93" s="476">
        <v>0</v>
      </c>
      <c r="O93" s="476">
        <v>0</v>
      </c>
      <c r="P93" s="476">
        <v>0</v>
      </c>
      <c r="Q93" s="476">
        <v>0</v>
      </c>
      <c r="R93" s="450"/>
      <c r="W93" s="451"/>
    </row>
    <row r="94" spans="1:23" s="417" customFormat="1" x14ac:dyDescent="0.25">
      <c r="A94" s="446"/>
      <c r="B94" s="455"/>
      <c r="C94" s="427" t="s">
        <v>34</v>
      </c>
      <c r="D94" s="428">
        <v>71.400000000000006</v>
      </c>
      <c r="E94" s="452">
        <v>2</v>
      </c>
      <c r="F94" s="448">
        <f t="shared" si="36"/>
        <v>4426.8</v>
      </c>
      <c r="G94" s="448">
        <f t="shared" si="37"/>
        <v>4141.2000000000007</v>
      </c>
      <c r="H94" s="448">
        <f t="shared" si="38"/>
        <v>4426.8</v>
      </c>
      <c r="I94" s="448">
        <f t="shared" si="39"/>
        <v>4284</v>
      </c>
      <c r="J94" s="476">
        <v>0</v>
      </c>
      <c r="K94" s="476">
        <v>0</v>
      </c>
      <c r="L94" s="476">
        <v>0</v>
      </c>
      <c r="M94" s="476">
        <v>0</v>
      </c>
      <c r="N94" s="476">
        <v>0</v>
      </c>
      <c r="O94" s="476">
        <v>0</v>
      </c>
      <c r="P94" s="476">
        <v>0</v>
      </c>
      <c r="Q94" s="476">
        <v>0</v>
      </c>
      <c r="R94" s="450"/>
      <c r="W94" s="451"/>
    </row>
    <row r="95" spans="1:23" s="417" customFormat="1" x14ac:dyDescent="0.25">
      <c r="A95" s="446"/>
      <c r="B95" s="455"/>
      <c r="C95" s="427" t="s">
        <v>66</v>
      </c>
      <c r="D95" s="428">
        <v>73.59</v>
      </c>
      <c r="E95" s="452">
        <v>1</v>
      </c>
      <c r="F95" s="448">
        <f t="shared" si="36"/>
        <v>2281.29</v>
      </c>
      <c r="G95" s="448">
        <f t="shared" si="37"/>
        <v>2134.11</v>
      </c>
      <c r="H95" s="448">
        <f t="shared" si="38"/>
        <v>2281.29</v>
      </c>
      <c r="I95" s="448">
        <f t="shared" si="39"/>
        <v>2207.7000000000003</v>
      </c>
      <c r="J95" s="476">
        <v>0</v>
      </c>
      <c r="K95" s="476">
        <v>0</v>
      </c>
      <c r="L95" s="476">
        <v>0</v>
      </c>
      <c r="M95" s="476">
        <v>0</v>
      </c>
      <c r="N95" s="476">
        <v>0</v>
      </c>
      <c r="O95" s="476">
        <v>0</v>
      </c>
      <c r="P95" s="476">
        <v>0</v>
      </c>
      <c r="Q95" s="476">
        <v>0</v>
      </c>
      <c r="R95" s="450"/>
      <c r="W95" s="451"/>
    </row>
    <row r="96" spans="1:23" s="417" customFormat="1" x14ac:dyDescent="0.25">
      <c r="A96" s="446"/>
      <c r="B96" s="455"/>
      <c r="C96" s="427" t="s">
        <v>38</v>
      </c>
      <c r="D96" s="428">
        <v>78.25</v>
      </c>
      <c r="E96" s="452">
        <v>1</v>
      </c>
      <c r="F96" s="448">
        <f t="shared" si="36"/>
        <v>2425.75</v>
      </c>
      <c r="G96" s="448">
        <f t="shared" si="37"/>
        <v>2269.25</v>
      </c>
      <c r="H96" s="448">
        <f t="shared" si="38"/>
        <v>2425.75</v>
      </c>
      <c r="I96" s="448">
        <f t="shared" si="39"/>
        <v>2347.5</v>
      </c>
      <c r="J96" s="476">
        <v>0</v>
      </c>
      <c r="K96" s="476">
        <v>0</v>
      </c>
      <c r="L96" s="476">
        <v>0</v>
      </c>
      <c r="M96" s="476">
        <v>0</v>
      </c>
      <c r="N96" s="476">
        <v>0</v>
      </c>
      <c r="O96" s="476">
        <v>0</v>
      </c>
      <c r="P96" s="476">
        <v>0</v>
      </c>
      <c r="Q96" s="476">
        <v>0</v>
      </c>
      <c r="R96" s="450"/>
      <c r="W96" s="451"/>
    </row>
    <row r="97" spans="1:23" s="417" customFormat="1" x14ac:dyDescent="0.25">
      <c r="A97" s="446"/>
      <c r="B97" s="455"/>
      <c r="C97" s="427" t="s">
        <v>149</v>
      </c>
      <c r="D97" s="428">
        <v>71.400000000000006</v>
      </c>
      <c r="E97" s="452">
        <v>7</v>
      </c>
      <c r="F97" s="448">
        <f t="shared" si="36"/>
        <v>15493.800000000003</v>
      </c>
      <c r="G97" s="448">
        <f t="shared" si="37"/>
        <v>14494.200000000003</v>
      </c>
      <c r="H97" s="448">
        <f t="shared" si="38"/>
        <v>15493.800000000003</v>
      </c>
      <c r="I97" s="448">
        <f t="shared" si="39"/>
        <v>14994.000000000002</v>
      </c>
      <c r="J97" s="476">
        <v>0</v>
      </c>
      <c r="K97" s="476">
        <v>0</v>
      </c>
      <c r="L97" s="476">
        <v>0</v>
      </c>
      <c r="M97" s="476">
        <v>0</v>
      </c>
      <c r="N97" s="476">
        <v>0</v>
      </c>
      <c r="O97" s="476">
        <v>0</v>
      </c>
      <c r="P97" s="476">
        <v>0</v>
      </c>
      <c r="Q97" s="476">
        <v>0</v>
      </c>
      <c r="R97" s="450"/>
      <c r="W97" s="451"/>
    </row>
    <row r="98" spans="1:23" s="417" customFormat="1" x14ac:dyDescent="0.25">
      <c r="A98" s="446"/>
      <c r="B98" s="477"/>
      <c r="C98" s="427" t="s">
        <v>53</v>
      </c>
      <c r="D98" s="428">
        <v>71.400000000000006</v>
      </c>
      <c r="E98" s="452">
        <v>15</v>
      </c>
      <c r="F98" s="448">
        <f t="shared" si="36"/>
        <v>33201</v>
      </c>
      <c r="G98" s="448">
        <f t="shared" si="37"/>
        <v>31059</v>
      </c>
      <c r="H98" s="448">
        <f t="shared" si="38"/>
        <v>33201</v>
      </c>
      <c r="I98" s="448">
        <f t="shared" si="39"/>
        <v>32130</v>
      </c>
      <c r="J98" s="476">
        <v>0</v>
      </c>
      <c r="K98" s="476">
        <v>0</v>
      </c>
      <c r="L98" s="476">
        <v>0</v>
      </c>
      <c r="M98" s="476">
        <v>0</v>
      </c>
      <c r="N98" s="476">
        <v>0</v>
      </c>
      <c r="O98" s="476">
        <v>0</v>
      </c>
      <c r="P98" s="476">
        <v>0</v>
      </c>
      <c r="Q98" s="476">
        <v>0</v>
      </c>
      <c r="R98" s="450"/>
      <c r="W98" s="451"/>
    </row>
    <row r="100" spans="1:23" x14ac:dyDescent="0.25">
      <c r="E100" s="200">
        <f>SUM(E73:E99)</f>
        <v>120</v>
      </c>
      <c r="F100" s="448">
        <f>SUM(F73:F99)</f>
        <v>266371.22000000003</v>
      </c>
    </row>
    <row r="105" spans="1:23" s="417" customFormat="1" x14ac:dyDescent="0.25">
      <c r="A105" s="446"/>
      <c r="B105" s="447"/>
      <c r="C105" s="465" t="s">
        <v>43</v>
      </c>
      <c r="D105" s="460">
        <v>72.540000000000006</v>
      </c>
      <c r="E105" s="452">
        <v>17</v>
      </c>
      <c r="F105" s="448">
        <f t="shared" ref="F105:F123" si="40">+E105*D105*31</f>
        <v>38228.58</v>
      </c>
      <c r="G105" s="448">
        <f t="shared" ref="G105:G123" si="41">+E105*D105*29</f>
        <v>35762.22</v>
      </c>
      <c r="H105" s="448">
        <f t="shared" ref="H105:H123" si="42">+E105*D105*31</f>
        <v>38228.58</v>
      </c>
      <c r="I105" s="448">
        <f t="shared" ref="I105:I123" si="43">+E105*D105*30</f>
        <v>36995.4</v>
      </c>
      <c r="J105" s="448">
        <v>0</v>
      </c>
      <c r="K105" s="448">
        <v>0</v>
      </c>
      <c r="L105" s="448">
        <v>0</v>
      </c>
      <c r="M105" s="448">
        <v>0</v>
      </c>
      <c r="N105" s="448">
        <v>0</v>
      </c>
      <c r="O105" s="448">
        <v>0</v>
      </c>
      <c r="P105" s="448">
        <v>0</v>
      </c>
      <c r="Q105" s="449">
        <v>0</v>
      </c>
      <c r="R105" s="450"/>
      <c r="W105" s="451"/>
    </row>
    <row r="106" spans="1:23" s="417" customFormat="1" x14ac:dyDescent="0.25">
      <c r="A106" s="446"/>
      <c r="B106" s="447"/>
      <c r="C106" s="427" t="s">
        <v>71</v>
      </c>
      <c r="D106" s="428">
        <v>71.400000000000006</v>
      </c>
      <c r="E106" s="452">
        <v>1</v>
      </c>
      <c r="F106" s="448">
        <v>0</v>
      </c>
      <c r="G106" s="448">
        <v>0</v>
      </c>
      <c r="H106" s="448">
        <v>0</v>
      </c>
      <c r="I106" s="448">
        <v>0</v>
      </c>
      <c r="J106" s="448">
        <v>0</v>
      </c>
      <c r="K106" s="448">
        <v>0</v>
      </c>
      <c r="L106" s="448">
        <v>0</v>
      </c>
      <c r="M106" s="448">
        <v>0</v>
      </c>
      <c r="N106" s="448">
        <v>0</v>
      </c>
      <c r="O106" s="448">
        <v>0</v>
      </c>
      <c r="P106" s="448">
        <v>0</v>
      </c>
      <c r="Q106" s="449">
        <v>0</v>
      </c>
      <c r="R106" s="450"/>
      <c r="W106" s="451"/>
    </row>
    <row r="107" spans="1:23" s="417" customFormat="1" x14ac:dyDescent="0.25">
      <c r="A107" s="446"/>
      <c r="B107" s="447"/>
      <c r="C107" s="427" t="s">
        <v>71</v>
      </c>
      <c r="D107" s="428">
        <v>71.400000000000006</v>
      </c>
      <c r="E107" s="452">
        <v>14</v>
      </c>
      <c r="F107" s="448">
        <f t="shared" si="40"/>
        <v>30987.600000000006</v>
      </c>
      <c r="G107" s="448">
        <f t="shared" si="41"/>
        <v>28988.400000000005</v>
      </c>
      <c r="H107" s="448">
        <f t="shared" si="42"/>
        <v>30987.600000000006</v>
      </c>
      <c r="I107" s="448">
        <f t="shared" si="43"/>
        <v>29988.000000000004</v>
      </c>
      <c r="J107" s="448">
        <v>0</v>
      </c>
      <c r="K107" s="448">
        <v>0</v>
      </c>
      <c r="L107" s="448">
        <v>0</v>
      </c>
      <c r="M107" s="448">
        <v>0</v>
      </c>
      <c r="N107" s="448">
        <v>0</v>
      </c>
      <c r="O107" s="448">
        <v>0</v>
      </c>
      <c r="P107" s="448">
        <v>0</v>
      </c>
      <c r="Q107" s="449">
        <v>0</v>
      </c>
      <c r="R107" s="450"/>
      <c r="W107" s="451"/>
    </row>
    <row r="108" spans="1:23" s="417" customFormat="1" x14ac:dyDescent="0.25">
      <c r="A108" s="446"/>
      <c r="B108" s="447"/>
      <c r="C108" s="427" t="s">
        <v>47</v>
      </c>
      <c r="D108" s="428">
        <v>71.400000000000006</v>
      </c>
      <c r="E108" s="452">
        <v>3</v>
      </c>
      <c r="F108" s="448">
        <f t="shared" si="40"/>
        <v>6640.2000000000007</v>
      </c>
      <c r="G108" s="448">
        <f t="shared" si="41"/>
        <v>6211.8</v>
      </c>
      <c r="H108" s="448">
        <f t="shared" si="42"/>
        <v>6640.2000000000007</v>
      </c>
      <c r="I108" s="448">
        <f t="shared" si="43"/>
        <v>6426.0000000000009</v>
      </c>
      <c r="J108" s="448">
        <v>0</v>
      </c>
      <c r="K108" s="448">
        <v>0</v>
      </c>
      <c r="L108" s="448">
        <v>0</v>
      </c>
      <c r="M108" s="448">
        <v>0</v>
      </c>
      <c r="N108" s="448">
        <v>0</v>
      </c>
      <c r="O108" s="448">
        <v>0</v>
      </c>
      <c r="P108" s="448">
        <v>0</v>
      </c>
      <c r="Q108" s="449">
        <v>0</v>
      </c>
      <c r="R108" s="450"/>
      <c r="S108" s="458"/>
      <c r="U108" s="462"/>
      <c r="W108" s="451"/>
    </row>
    <row r="109" spans="1:23" s="417" customFormat="1" x14ac:dyDescent="0.25">
      <c r="A109" s="446"/>
      <c r="B109" s="447"/>
      <c r="C109" s="463" t="s">
        <v>72</v>
      </c>
      <c r="D109" s="428">
        <v>71.400000000000006</v>
      </c>
      <c r="E109" s="452">
        <v>1</v>
      </c>
      <c r="F109" s="448">
        <f t="shared" si="40"/>
        <v>2213.4</v>
      </c>
      <c r="G109" s="448">
        <f t="shared" si="41"/>
        <v>2070.6000000000004</v>
      </c>
      <c r="H109" s="448">
        <f t="shared" si="42"/>
        <v>2213.4</v>
      </c>
      <c r="I109" s="448">
        <f t="shared" si="43"/>
        <v>2142</v>
      </c>
      <c r="J109" s="448">
        <v>0</v>
      </c>
      <c r="K109" s="448">
        <v>0</v>
      </c>
      <c r="L109" s="448">
        <v>0</v>
      </c>
      <c r="M109" s="448">
        <v>0</v>
      </c>
      <c r="N109" s="448">
        <v>0</v>
      </c>
      <c r="O109" s="448">
        <v>0</v>
      </c>
      <c r="P109" s="448">
        <v>0</v>
      </c>
      <c r="Q109" s="449">
        <v>0</v>
      </c>
      <c r="R109" s="450"/>
      <c r="W109" s="451"/>
    </row>
    <row r="110" spans="1:23" s="417" customFormat="1" x14ac:dyDescent="0.25">
      <c r="A110" s="446"/>
      <c r="B110" s="447"/>
      <c r="C110" s="427" t="s">
        <v>82</v>
      </c>
      <c r="D110" s="428">
        <v>71.400000000000006</v>
      </c>
      <c r="E110" s="452">
        <v>3</v>
      </c>
      <c r="F110" s="448">
        <f t="shared" si="40"/>
        <v>6640.2000000000007</v>
      </c>
      <c r="G110" s="448">
        <f t="shared" si="41"/>
        <v>6211.8</v>
      </c>
      <c r="H110" s="448">
        <f t="shared" si="42"/>
        <v>6640.2000000000007</v>
      </c>
      <c r="I110" s="448">
        <f t="shared" si="43"/>
        <v>6426.0000000000009</v>
      </c>
      <c r="J110" s="448">
        <v>0</v>
      </c>
      <c r="K110" s="448">
        <v>0</v>
      </c>
      <c r="L110" s="448">
        <v>0</v>
      </c>
      <c r="M110" s="448">
        <v>0</v>
      </c>
      <c r="N110" s="448">
        <v>0</v>
      </c>
      <c r="O110" s="448">
        <v>0</v>
      </c>
      <c r="P110" s="448">
        <v>0</v>
      </c>
      <c r="Q110" s="449">
        <v>0</v>
      </c>
      <c r="R110" s="450"/>
      <c r="W110" s="451"/>
    </row>
    <row r="111" spans="1:23" s="417" customFormat="1" x14ac:dyDescent="0.25">
      <c r="A111" s="446"/>
      <c r="B111" s="447"/>
      <c r="C111" s="427" t="s">
        <v>83</v>
      </c>
      <c r="D111" s="428">
        <v>75.64</v>
      </c>
      <c r="E111" s="452">
        <v>1</v>
      </c>
      <c r="F111" s="448">
        <f t="shared" si="40"/>
        <v>2344.84</v>
      </c>
      <c r="G111" s="448">
        <f t="shared" si="41"/>
        <v>2193.56</v>
      </c>
      <c r="H111" s="448">
        <f t="shared" si="42"/>
        <v>2344.84</v>
      </c>
      <c r="I111" s="448">
        <f t="shared" si="43"/>
        <v>2269.1999999999998</v>
      </c>
      <c r="J111" s="448">
        <v>0</v>
      </c>
      <c r="K111" s="448">
        <v>0</v>
      </c>
      <c r="L111" s="448">
        <v>0</v>
      </c>
      <c r="M111" s="448">
        <v>0</v>
      </c>
      <c r="N111" s="448">
        <v>0</v>
      </c>
      <c r="O111" s="448">
        <v>0</v>
      </c>
      <c r="P111" s="448">
        <v>0</v>
      </c>
      <c r="Q111" s="449">
        <v>0</v>
      </c>
      <c r="R111" s="454"/>
      <c r="W111" s="451"/>
    </row>
    <row r="112" spans="1:23" s="417" customFormat="1" x14ac:dyDescent="0.25">
      <c r="A112" s="446"/>
      <c r="B112" s="447"/>
      <c r="C112" s="427" t="s">
        <v>34</v>
      </c>
      <c r="D112" s="428">
        <v>71.400000000000006</v>
      </c>
      <c r="E112" s="452">
        <v>24</v>
      </c>
      <c r="F112" s="448">
        <f t="shared" si="40"/>
        <v>53121.600000000006</v>
      </c>
      <c r="G112" s="448">
        <f t="shared" si="41"/>
        <v>49694.400000000001</v>
      </c>
      <c r="H112" s="448">
        <f t="shared" si="42"/>
        <v>53121.600000000006</v>
      </c>
      <c r="I112" s="448">
        <f t="shared" si="43"/>
        <v>51408.000000000007</v>
      </c>
      <c r="J112" s="448">
        <v>0</v>
      </c>
      <c r="K112" s="448">
        <v>0</v>
      </c>
      <c r="L112" s="448">
        <v>0</v>
      </c>
      <c r="M112" s="448">
        <v>0</v>
      </c>
      <c r="N112" s="448">
        <v>0</v>
      </c>
      <c r="O112" s="448">
        <v>0</v>
      </c>
      <c r="P112" s="448">
        <v>0</v>
      </c>
      <c r="Q112" s="449">
        <v>0</v>
      </c>
      <c r="R112" s="450"/>
      <c r="W112" s="451"/>
    </row>
    <row r="113" spans="1:23" s="417" customFormat="1" x14ac:dyDescent="0.25">
      <c r="A113" s="446"/>
      <c r="B113" s="447"/>
      <c r="C113" s="427" t="s">
        <v>84</v>
      </c>
      <c r="D113" s="428">
        <v>76.59</v>
      </c>
      <c r="E113" s="452">
        <v>1</v>
      </c>
      <c r="F113" s="448">
        <f t="shared" si="40"/>
        <v>2374.29</v>
      </c>
      <c r="G113" s="448">
        <f t="shared" si="41"/>
        <v>2221.11</v>
      </c>
      <c r="H113" s="448">
        <f t="shared" si="42"/>
        <v>2374.29</v>
      </c>
      <c r="I113" s="448">
        <f t="shared" si="43"/>
        <v>2297.7000000000003</v>
      </c>
      <c r="J113" s="448">
        <v>0</v>
      </c>
      <c r="K113" s="448">
        <v>0</v>
      </c>
      <c r="L113" s="448">
        <v>0</v>
      </c>
      <c r="M113" s="448">
        <v>0</v>
      </c>
      <c r="N113" s="448">
        <v>0</v>
      </c>
      <c r="O113" s="448">
        <v>0</v>
      </c>
      <c r="P113" s="448">
        <v>0</v>
      </c>
      <c r="Q113" s="449">
        <v>0</v>
      </c>
      <c r="R113" s="450"/>
      <c r="W113" s="451"/>
    </row>
    <row r="114" spans="1:23" s="417" customFormat="1" x14ac:dyDescent="0.25">
      <c r="A114" s="446"/>
      <c r="B114" s="447"/>
      <c r="C114" s="427" t="s">
        <v>76</v>
      </c>
      <c r="D114" s="428">
        <v>72.540000000000006</v>
      </c>
      <c r="E114" s="452">
        <v>2</v>
      </c>
      <c r="F114" s="448">
        <f t="shared" si="40"/>
        <v>4497.4800000000005</v>
      </c>
      <c r="G114" s="448">
        <f t="shared" si="41"/>
        <v>4207.3200000000006</v>
      </c>
      <c r="H114" s="448">
        <f t="shared" si="42"/>
        <v>4497.4800000000005</v>
      </c>
      <c r="I114" s="448">
        <f t="shared" si="43"/>
        <v>4352.4000000000005</v>
      </c>
      <c r="J114" s="448">
        <v>0</v>
      </c>
      <c r="K114" s="448">
        <v>0</v>
      </c>
      <c r="L114" s="448">
        <v>0</v>
      </c>
      <c r="M114" s="448">
        <v>0</v>
      </c>
      <c r="N114" s="448">
        <v>0</v>
      </c>
      <c r="O114" s="448">
        <v>0</v>
      </c>
      <c r="P114" s="448">
        <v>0</v>
      </c>
      <c r="Q114" s="449">
        <v>0</v>
      </c>
      <c r="R114" s="450"/>
      <c r="W114" s="451"/>
    </row>
    <row r="115" spans="1:23" s="417" customFormat="1" ht="15.75" customHeight="1" x14ac:dyDescent="0.25">
      <c r="A115" s="446"/>
      <c r="B115" s="447"/>
      <c r="C115" s="478" t="s">
        <v>35</v>
      </c>
      <c r="D115" s="428">
        <v>72.540000000000006</v>
      </c>
      <c r="E115" s="452">
        <v>1</v>
      </c>
      <c r="F115" s="448">
        <f t="shared" si="40"/>
        <v>2248.7400000000002</v>
      </c>
      <c r="G115" s="448">
        <f t="shared" si="41"/>
        <v>2103.6600000000003</v>
      </c>
      <c r="H115" s="448">
        <f t="shared" si="42"/>
        <v>2248.7400000000002</v>
      </c>
      <c r="I115" s="448">
        <f t="shared" si="43"/>
        <v>2176.2000000000003</v>
      </c>
      <c r="J115" s="448">
        <v>0</v>
      </c>
      <c r="K115" s="448">
        <v>0</v>
      </c>
      <c r="L115" s="448">
        <v>0</v>
      </c>
      <c r="M115" s="448">
        <v>0</v>
      </c>
      <c r="N115" s="448">
        <v>0</v>
      </c>
      <c r="O115" s="448">
        <v>0</v>
      </c>
      <c r="P115" s="448">
        <v>0</v>
      </c>
      <c r="Q115" s="449">
        <v>0</v>
      </c>
      <c r="R115" s="450"/>
      <c r="W115" s="451"/>
    </row>
    <row r="116" spans="1:23" s="417" customFormat="1" x14ac:dyDescent="0.25">
      <c r="A116" s="446"/>
      <c r="B116" s="447"/>
      <c r="C116" s="427" t="s">
        <v>38</v>
      </c>
      <c r="D116" s="428">
        <v>78.25</v>
      </c>
      <c r="E116" s="452">
        <v>4</v>
      </c>
      <c r="F116" s="448">
        <f t="shared" si="40"/>
        <v>9703</v>
      </c>
      <c r="G116" s="448">
        <f t="shared" si="41"/>
        <v>9077</v>
      </c>
      <c r="H116" s="448">
        <f t="shared" si="42"/>
        <v>9703</v>
      </c>
      <c r="I116" s="448">
        <f t="shared" si="43"/>
        <v>9390</v>
      </c>
      <c r="J116" s="448">
        <v>0</v>
      </c>
      <c r="K116" s="448">
        <v>0</v>
      </c>
      <c r="L116" s="448">
        <v>0</v>
      </c>
      <c r="M116" s="448">
        <v>0</v>
      </c>
      <c r="N116" s="448">
        <v>0</v>
      </c>
      <c r="O116" s="448">
        <v>0</v>
      </c>
      <c r="P116" s="448">
        <v>0</v>
      </c>
      <c r="Q116" s="449">
        <v>0</v>
      </c>
      <c r="R116" s="450"/>
      <c r="W116" s="451"/>
    </row>
    <row r="117" spans="1:23" s="417" customFormat="1" x14ac:dyDescent="0.25">
      <c r="A117" s="446"/>
      <c r="B117" s="447"/>
      <c r="C117" s="427" t="s">
        <v>30</v>
      </c>
      <c r="D117" s="428">
        <v>72.540000000000006</v>
      </c>
      <c r="E117" s="452">
        <v>1</v>
      </c>
      <c r="F117" s="448">
        <f t="shared" si="40"/>
        <v>2248.7400000000002</v>
      </c>
      <c r="G117" s="448">
        <f t="shared" si="41"/>
        <v>2103.6600000000003</v>
      </c>
      <c r="H117" s="448">
        <f t="shared" si="42"/>
        <v>2248.7400000000002</v>
      </c>
      <c r="I117" s="448">
        <f t="shared" si="43"/>
        <v>2176.2000000000003</v>
      </c>
      <c r="J117" s="448">
        <v>0</v>
      </c>
      <c r="K117" s="448">
        <v>0</v>
      </c>
      <c r="L117" s="448">
        <v>0</v>
      </c>
      <c r="M117" s="448">
        <v>0</v>
      </c>
      <c r="N117" s="448">
        <v>0</v>
      </c>
      <c r="O117" s="448">
        <v>0</v>
      </c>
      <c r="P117" s="448">
        <v>0</v>
      </c>
      <c r="Q117" s="449">
        <v>0</v>
      </c>
      <c r="R117" s="450"/>
      <c r="W117" s="451"/>
    </row>
    <row r="118" spans="1:23" s="417" customFormat="1" x14ac:dyDescent="0.25">
      <c r="A118" s="446"/>
      <c r="B118" s="447"/>
      <c r="C118" s="427" t="s">
        <v>31</v>
      </c>
      <c r="D118" s="428">
        <v>71.400000000000006</v>
      </c>
      <c r="E118" s="452">
        <v>128</v>
      </c>
      <c r="F118" s="448">
        <f t="shared" si="40"/>
        <v>283315.20000000001</v>
      </c>
      <c r="G118" s="448">
        <f t="shared" si="41"/>
        <v>265036.80000000005</v>
      </c>
      <c r="H118" s="448">
        <f t="shared" si="42"/>
        <v>283315.20000000001</v>
      </c>
      <c r="I118" s="448">
        <f t="shared" si="43"/>
        <v>274176</v>
      </c>
      <c r="J118" s="448">
        <v>0</v>
      </c>
      <c r="K118" s="448">
        <v>0</v>
      </c>
      <c r="L118" s="448">
        <v>0</v>
      </c>
      <c r="M118" s="448">
        <v>0</v>
      </c>
      <c r="N118" s="448">
        <v>0</v>
      </c>
      <c r="O118" s="448">
        <v>0</v>
      </c>
      <c r="P118" s="448">
        <v>0</v>
      </c>
      <c r="Q118" s="449">
        <v>0</v>
      </c>
      <c r="R118" s="450"/>
      <c r="W118" s="451"/>
    </row>
    <row r="119" spans="1:23" s="417" customFormat="1" x14ac:dyDescent="0.25">
      <c r="A119" s="446"/>
      <c r="B119" s="447"/>
      <c r="C119" s="427" t="s">
        <v>31</v>
      </c>
      <c r="D119" s="428">
        <v>71.400000000000006</v>
      </c>
      <c r="E119" s="452">
        <v>1</v>
      </c>
      <c r="F119" s="448">
        <f>+E119*D119*0</f>
        <v>0</v>
      </c>
      <c r="G119" s="448">
        <f t="shared" si="41"/>
        <v>2070.6000000000004</v>
      </c>
      <c r="H119" s="448">
        <f t="shared" si="42"/>
        <v>2213.4</v>
      </c>
      <c r="I119" s="448">
        <f>+E119*D119*61</f>
        <v>4355.4000000000005</v>
      </c>
      <c r="J119" s="448">
        <v>0</v>
      </c>
      <c r="K119" s="448">
        <v>0</v>
      </c>
      <c r="L119" s="448">
        <v>0</v>
      </c>
      <c r="M119" s="448">
        <v>0</v>
      </c>
      <c r="N119" s="448">
        <v>0</v>
      </c>
      <c r="O119" s="448">
        <v>0</v>
      </c>
      <c r="P119" s="448">
        <v>0</v>
      </c>
      <c r="Q119" s="449">
        <v>0</v>
      </c>
      <c r="R119" s="450"/>
      <c r="W119" s="451"/>
    </row>
    <row r="120" spans="1:23" s="417" customFormat="1" x14ac:dyDescent="0.25">
      <c r="A120" s="446"/>
      <c r="B120" s="447"/>
      <c r="C120" s="427" t="s">
        <v>31</v>
      </c>
      <c r="D120" s="428">
        <v>71.400000000000006</v>
      </c>
      <c r="E120" s="452">
        <v>2</v>
      </c>
      <c r="F120" s="448">
        <v>0</v>
      </c>
      <c r="G120" s="448">
        <v>0</v>
      </c>
      <c r="H120" s="448">
        <v>0</v>
      </c>
      <c r="I120" s="448">
        <v>0</v>
      </c>
      <c r="J120" s="448">
        <v>0</v>
      </c>
      <c r="K120" s="448">
        <v>0</v>
      </c>
      <c r="L120" s="448">
        <v>0</v>
      </c>
      <c r="M120" s="448">
        <v>0</v>
      </c>
      <c r="N120" s="448">
        <v>0</v>
      </c>
      <c r="O120" s="448">
        <v>0</v>
      </c>
      <c r="P120" s="448">
        <v>0</v>
      </c>
      <c r="Q120" s="449">
        <v>0</v>
      </c>
      <c r="R120" s="450"/>
      <c r="W120" s="451"/>
    </row>
    <row r="121" spans="1:23" s="417" customFormat="1" x14ac:dyDescent="0.25">
      <c r="A121" s="446"/>
      <c r="B121" s="447"/>
      <c r="C121" s="427" t="s">
        <v>53</v>
      </c>
      <c r="D121" s="428">
        <v>71.399999999999906</v>
      </c>
      <c r="E121" s="452">
        <v>26</v>
      </c>
      <c r="F121" s="448">
        <f t="shared" si="40"/>
        <v>57548.399999999929</v>
      </c>
      <c r="G121" s="448">
        <f t="shared" si="41"/>
        <v>53835.599999999933</v>
      </c>
      <c r="H121" s="448">
        <f t="shared" si="42"/>
        <v>57548.399999999929</v>
      </c>
      <c r="I121" s="448">
        <f t="shared" si="43"/>
        <v>55691.999999999927</v>
      </c>
      <c r="J121" s="448">
        <v>0</v>
      </c>
      <c r="K121" s="448">
        <v>0</v>
      </c>
      <c r="L121" s="448">
        <v>0</v>
      </c>
      <c r="M121" s="448">
        <v>0</v>
      </c>
      <c r="N121" s="448">
        <v>0</v>
      </c>
      <c r="O121" s="448">
        <v>0</v>
      </c>
      <c r="P121" s="448">
        <v>0</v>
      </c>
      <c r="Q121" s="449">
        <v>0</v>
      </c>
      <c r="R121" s="450"/>
      <c r="W121" s="451"/>
    </row>
    <row r="122" spans="1:23" s="417" customFormat="1" x14ac:dyDescent="0.25">
      <c r="A122" s="472"/>
      <c r="B122" s="447"/>
      <c r="C122" s="18" t="s">
        <v>147</v>
      </c>
      <c r="D122" s="19">
        <v>75.64</v>
      </c>
      <c r="E122" s="452">
        <v>1</v>
      </c>
      <c r="F122" s="448">
        <f t="shared" si="40"/>
        <v>2344.84</v>
      </c>
      <c r="G122" s="448">
        <f t="shared" si="41"/>
        <v>2193.56</v>
      </c>
      <c r="H122" s="448">
        <f t="shared" si="42"/>
        <v>2344.84</v>
      </c>
      <c r="I122" s="448">
        <f t="shared" si="43"/>
        <v>2269.1999999999998</v>
      </c>
      <c r="J122" s="448">
        <v>0</v>
      </c>
      <c r="K122" s="448">
        <v>0</v>
      </c>
      <c r="L122" s="448">
        <v>0</v>
      </c>
      <c r="M122" s="448">
        <v>0</v>
      </c>
      <c r="N122" s="448">
        <v>0</v>
      </c>
      <c r="O122" s="448">
        <v>0</v>
      </c>
      <c r="P122" s="448">
        <v>0</v>
      </c>
      <c r="Q122" s="449">
        <v>0</v>
      </c>
      <c r="R122" s="450"/>
      <c r="W122" s="451"/>
    </row>
    <row r="123" spans="1:23" s="417" customFormat="1" x14ac:dyDescent="0.25">
      <c r="A123" s="446"/>
      <c r="B123" s="447"/>
      <c r="C123" s="427" t="s">
        <v>85</v>
      </c>
      <c r="D123" s="428">
        <v>78.25</v>
      </c>
      <c r="E123" s="452">
        <v>1</v>
      </c>
      <c r="F123" s="448">
        <f t="shared" si="40"/>
        <v>2425.75</v>
      </c>
      <c r="G123" s="448">
        <f t="shared" si="41"/>
        <v>2269.25</v>
      </c>
      <c r="H123" s="448">
        <f t="shared" si="42"/>
        <v>2425.75</v>
      </c>
      <c r="I123" s="448">
        <f t="shared" si="43"/>
        <v>2347.5</v>
      </c>
      <c r="J123" s="448">
        <v>0</v>
      </c>
      <c r="K123" s="448">
        <v>0</v>
      </c>
      <c r="L123" s="448">
        <v>0</v>
      </c>
      <c r="M123" s="448">
        <v>0</v>
      </c>
      <c r="N123" s="448">
        <v>0</v>
      </c>
      <c r="O123" s="448">
        <v>0</v>
      </c>
      <c r="P123" s="448">
        <v>0</v>
      </c>
      <c r="Q123" s="449">
        <v>0</v>
      </c>
      <c r="R123" s="450"/>
      <c r="W123" s="451"/>
    </row>
    <row r="125" spans="1:23" x14ac:dyDescent="0.25">
      <c r="E125" s="200">
        <f>SUM(E105:E124)</f>
        <v>232</v>
      </c>
      <c r="F125" s="448">
        <f>SUM(F105:F124)</f>
        <v>506882.85999999993</v>
      </c>
    </row>
  </sheetData>
  <sortState xmlns:xlrd2="http://schemas.microsoft.com/office/spreadsheetml/2017/richdata2" ref="A47:AC77">
    <sortCondition ref="C47:C77"/>
  </sortState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75"/>
  <sheetViews>
    <sheetView topLeftCell="A11" zoomScale="85" zoomScaleNormal="85" workbookViewId="0">
      <pane xSplit="6" ySplit="3" topLeftCell="G23" activePane="bottomRight" state="frozen"/>
      <selection activeCell="A11" sqref="A11"/>
      <selection pane="topRight" activeCell="G11" sqref="G11"/>
      <selection pane="bottomLeft" activeCell="A14" sqref="A14"/>
      <selection pane="bottomRight" activeCell="E22" sqref="E22"/>
    </sheetView>
  </sheetViews>
  <sheetFormatPr baseColWidth="10" defaultColWidth="10.7109375" defaultRowHeight="15" x14ac:dyDescent="0.25"/>
  <cols>
    <col min="1" max="1" width="1.28515625" customWidth="1"/>
    <col min="2" max="2" width="10.5703125" customWidth="1"/>
    <col min="3" max="3" width="30.5703125" customWidth="1"/>
    <col min="4" max="4" width="15.140625" bestFit="1" customWidth="1"/>
    <col min="5" max="5" width="13.7109375" customWidth="1"/>
    <col min="6" max="6" width="20.140625" style="36" customWidth="1"/>
    <col min="7" max="7" width="15.7109375" customWidth="1"/>
    <col min="8" max="8" width="15.5703125" customWidth="1"/>
    <col min="9" max="9" width="16.7109375" customWidth="1"/>
    <col min="10" max="11" width="17.42578125" customWidth="1"/>
    <col min="12" max="12" width="17.140625" customWidth="1"/>
    <col min="13" max="13" width="17.28515625" customWidth="1"/>
    <col min="14" max="14" width="18.140625" customWidth="1"/>
    <col min="15" max="15" width="18.5703125" customWidth="1"/>
    <col min="16" max="17" width="17.42578125" customWidth="1"/>
    <col min="18" max="18" width="18.7109375" style="37" customWidth="1"/>
    <col min="19" max="19" width="15.42578125" style="16" hidden="1" customWidth="1"/>
    <col min="20" max="20" width="17.140625" hidden="1" customWidth="1"/>
    <col min="21" max="24" width="11.5703125" customWidth="1"/>
    <col min="25" max="25" width="32.85546875" bestFit="1" customWidth="1"/>
  </cols>
  <sheetData>
    <row r="1" spans="1:25" ht="21" hidden="1" customHeight="1" x14ac:dyDescent="0.25"/>
    <row r="2" spans="1:25" ht="21" hidden="1" customHeight="1" x14ac:dyDescent="0.25"/>
    <row r="3" spans="1:25" ht="21.75" hidden="1" thickBot="1" x14ac:dyDescent="0.4">
      <c r="B3" s="577" t="s">
        <v>92</v>
      </c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</row>
    <row r="4" spans="1:25" ht="21.75" hidden="1" thickBot="1" x14ac:dyDescent="0.4">
      <c r="B4" s="577" t="s">
        <v>93</v>
      </c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</row>
    <row r="5" spans="1:25" ht="15.75" hidden="1" thickBot="1" x14ac:dyDescent="0.3"/>
    <row r="6" spans="1:25" ht="16.5" hidden="1" thickBot="1" x14ac:dyDescent="0.3">
      <c r="C6" s="38" t="s">
        <v>94</v>
      </c>
      <c r="D6" s="39"/>
      <c r="E6" s="38"/>
      <c r="F6" s="40"/>
    </row>
    <row r="7" spans="1:25" ht="16.5" hidden="1" thickBot="1" x14ac:dyDescent="0.3">
      <c r="C7" s="38" t="s">
        <v>93</v>
      </c>
      <c r="D7" s="41"/>
      <c r="E7" s="38"/>
      <c r="F7" s="42"/>
    </row>
    <row r="8" spans="1:25" ht="16.5" hidden="1" thickBot="1" x14ac:dyDescent="0.3">
      <c r="C8" s="38" t="s">
        <v>95</v>
      </c>
      <c r="D8" s="41"/>
      <c r="E8" s="38"/>
      <c r="F8" s="42"/>
      <c r="I8" s="43"/>
      <c r="L8" s="16"/>
    </row>
    <row r="9" spans="1:25" ht="16.5" hidden="1" thickBot="1" x14ac:dyDescent="0.3">
      <c r="C9" s="38" t="s">
        <v>96</v>
      </c>
      <c r="D9" s="41"/>
      <c r="E9" s="38"/>
      <c r="F9" s="42"/>
      <c r="H9" s="16"/>
    </row>
    <row r="10" spans="1:25" ht="16.5" hidden="1" thickBot="1" x14ac:dyDescent="0.3">
      <c r="C10" s="38"/>
      <c r="D10" s="41"/>
      <c r="E10" s="38"/>
      <c r="F10" s="42"/>
      <c r="G10" s="16"/>
      <c r="H10" s="16"/>
      <c r="L10" s="16"/>
      <c r="M10" s="16"/>
      <c r="Q10" s="16"/>
    </row>
    <row r="11" spans="1:25" ht="66" customHeight="1" thickBot="1" x14ac:dyDescent="0.3">
      <c r="A11" s="44"/>
      <c r="B11" s="579" t="s">
        <v>97</v>
      </c>
      <c r="C11" s="580"/>
      <c r="D11" s="580"/>
      <c r="E11" s="580"/>
      <c r="F11" s="580"/>
      <c r="G11" s="580"/>
      <c r="H11" s="580"/>
      <c r="I11" s="580"/>
      <c r="J11" s="580"/>
      <c r="K11" s="580"/>
      <c r="L11" s="580"/>
      <c r="M11" s="580"/>
      <c r="N11" s="580"/>
      <c r="O11" s="580"/>
      <c r="P11" s="580"/>
      <c r="Q11" s="580"/>
      <c r="R11" s="581"/>
      <c r="T11" s="16">
        <v>29810393</v>
      </c>
      <c r="Y11" s="45"/>
    </row>
    <row r="12" spans="1:25" x14ac:dyDescent="0.25">
      <c r="A12" s="46"/>
      <c r="B12" s="47"/>
      <c r="C12" s="582" t="s">
        <v>98</v>
      </c>
      <c r="D12" s="584" t="s">
        <v>99</v>
      </c>
      <c r="E12" s="584" t="s">
        <v>100</v>
      </c>
      <c r="F12" s="586" t="s">
        <v>101</v>
      </c>
      <c r="G12" s="588" t="s">
        <v>102</v>
      </c>
      <c r="H12" s="588"/>
      <c r="I12" s="588"/>
      <c r="J12" s="588"/>
      <c r="K12" s="588"/>
      <c r="L12" s="588"/>
      <c r="M12" s="588"/>
      <c r="N12" s="588"/>
      <c r="O12" s="588"/>
      <c r="P12" s="588"/>
      <c r="Q12" s="588"/>
      <c r="R12" s="589"/>
    </row>
    <row r="13" spans="1:25" ht="23.25" customHeight="1" x14ac:dyDescent="0.25">
      <c r="A13" s="46"/>
      <c r="B13" s="48"/>
      <c r="C13" s="583"/>
      <c r="D13" s="585"/>
      <c r="E13" s="585"/>
      <c r="F13" s="587"/>
      <c r="G13" s="49" t="s">
        <v>103</v>
      </c>
      <c r="H13" s="49" t="s">
        <v>104</v>
      </c>
      <c r="I13" s="49" t="s">
        <v>105</v>
      </c>
      <c r="J13" s="49" t="s">
        <v>106</v>
      </c>
      <c r="K13" s="49" t="s">
        <v>107</v>
      </c>
      <c r="L13" s="49" t="s">
        <v>108</v>
      </c>
      <c r="M13" s="49" t="s">
        <v>109</v>
      </c>
      <c r="N13" s="49" t="s">
        <v>110</v>
      </c>
      <c r="O13" s="49" t="s">
        <v>111</v>
      </c>
      <c r="P13" s="49" t="s">
        <v>112</v>
      </c>
      <c r="Q13" s="49" t="s">
        <v>113</v>
      </c>
      <c r="R13" s="50" t="s">
        <v>114</v>
      </c>
      <c r="S13" s="16" t="s">
        <v>115</v>
      </c>
    </row>
    <row r="14" spans="1:25" ht="15" customHeight="1" x14ac:dyDescent="0.25">
      <c r="A14" s="46"/>
      <c r="B14" s="48"/>
      <c r="C14" s="51" t="s">
        <v>116</v>
      </c>
      <c r="D14" s="52"/>
      <c r="E14" s="53"/>
      <c r="F14" s="54"/>
      <c r="G14" s="54"/>
      <c r="H14" s="55"/>
      <c r="I14" s="55"/>
      <c r="J14" s="56"/>
      <c r="K14" s="57"/>
      <c r="L14" s="55"/>
      <c r="M14" s="55"/>
      <c r="N14" s="58"/>
      <c r="O14" s="58"/>
      <c r="P14" s="58"/>
      <c r="Q14" s="54"/>
      <c r="R14" s="59"/>
      <c r="T14" s="16" t="e">
        <f>SUM(G15:M15)</f>
        <v>#REF!</v>
      </c>
    </row>
    <row r="15" spans="1:25" ht="15.75" thickBot="1" x14ac:dyDescent="0.3">
      <c r="A15" s="46"/>
      <c r="B15" s="60"/>
      <c r="C15" s="61" t="s">
        <v>117</v>
      </c>
      <c r="D15" s="62"/>
      <c r="E15" s="63" t="e">
        <f>+E20+E474+E495+E535</f>
        <v>#REF!</v>
      </c>
      <c r="F15" s="64" t="e">
        <f>F22+F55+F73+F223+F323+F509+F357+F428+F476+F497+F550+F537+F352</f>
        <v>#REF!</v>
      </c>
      <c r="G15" s="65" t="e">
        <f t="shared" ref="G15:R15" si="0">G20+G474+G495+G535</f>
        <v>#REF!</v>
      </c>
      <c r="H15" s="65" t="e">
        <f t="shared" si="0"/>
        <v>#REF!</v>
      </c>
      <c r="I15" s="65" t="e">
        <f t="shared" si="0"/>
        <v>#REF!</v>
      </c>
      <c r="J15" s="65" t="e">
        <f t="shared" si="0"/>
        <v>#REF!</v>
      </c>
      <c r="K15" s="65" t="e">
        <f t="shared" si="0"/>
        <v>#REF!</v>
      </c>
      <c r="L15" s="65" t="e">
        <f t="shared" si="0"/>
        <v>#REF!</v>
      </c>
      <c r="M15" s="65" t="e">
        <f t="shared" si="0"/>
        <v>#REF!</v>
      </c>
      <c r="N15" s="65" t="e">
        <f t="shared" si="0"/>
        <v>#REF!</v>
      </c>
      <c r="O15" s="65" t="e">
        <f t="shared" si="0"/>
        <v>#REF!</v>
      </c>
      <c r="P15" s="65" t="e">
        <f t="shared" si="0"/>
        <v>#REF!</v>
      </c>
      <c r="Q15" s="65" t="e">
        <f t="shared" si="0"/>
        <v>#REF!</v>
      </c>
      <c r="R15" s="66" t="e">
        <f t="shared" si="0"/>
        <v>#REF!</v>
      </c>
      <c r="S15" s="37" t="e">
        <f>SUM(G15:R15)</f>
        <v>#REF!</v>
      </c>
      <c r="T15" s="16">
        <v>14283024.039999999</v>
      </c>
    </row>
    <row r="16" spans="1:25" x14ac:dyDescent="0.25">
      <c r="A16" s="46"/>
      <c r="B16" s="67"/>
      <c r="C16" s="68" t="s">
        <v>118</v>
      </c>
      <c r="D16" s="69"/>
      <c r="E16" s="70"/>
      <c r="F16" s="71" t="e">
        <f>+F23+F56+F74+F224+F324+F358+F429+F477+F510+F538+F551+F353+F498</f>
        <v>#REF!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3"/>
      <c r="S16" s="16" t="e">
        <f>+T11-S15</f>
        <v>#REF!</v>
      </c>
      <c r="T16" s="16" t="e">
        <f>+T15-T14</f>
        <v>#REF!</v>
      </c>
    </row>
    <row r="17" spans="1:23" x14ac:dyDescent="0.25">
      <c r="A17" s="46"/>
      <c r="B17" s="74"/>
      <c r="C17" s="68" t="s">
        <v>119</v>
      </c>
      <c r="D17" s="69"/>
      <c r="E17" s="70"/>
      <c r="F17" s="71" t="e">
        <f>F53+#REF!+F71+#REF!+#REF!+#REF!+#REF!+#REF!+#REF!+#REF!+#REF!+F221+#REF!+#REF!+#REF!+F321+F350+F534+F426+F473+F507+F574+F548+#REF!+#REF!+#REF!+F494+F355</f>
        <v>#REF!</v>
      </c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5"/>
      <c r="T17" s="76"/>
    </row>
    <row r="18" spans="1:23" x14ac:dyDescent="0.25">
      <c r="A18" s="46"/>
      <c r="B18" s="74"/>
      <c r="C18" s="77" t="s">
        <v>120</v>
      </c>
      <c r="D18" s="78"/>
      <c r="E18" s="79"/>
      <c r="F18" s="80">
        <v>0</v>
      </c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/>
      <c r="T18" s="76"/>
    </row>
    <row r="19" spans="1:23" ht="14.25" customHeight="1" thickBot="1" x14ac:dyDescent="0.3">
      <c r="A19" s="46"/>
      <c r="B19" s="83"/>
      <c r="C19" s="84"/>
      <c r="D19" s="85"/>
      <c r="E19" s="86"/>
      <c r="F19" s="87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9"/>
      <c r="T19" s="76"/>
    </row>
    <row r="20" spans="1:23" x14ac:dyDescent="0.25">
      <c r="A20" s="46"/>
      <c r="B20" s="90"/>
      <c r="C20" s="91" t="s">
        <v>86</v>
      </c>
      <c r="D20" s="92"/>
      <c r="E20" s="93" t="e">
        <f>E22+E55+E73+E223+E323+E357+E428+E352</f>
        <v>#REF!</v>
      </c>
      <c r="F20" s="94" t="e">
        <f>F22+F55+F73+F223+F323+F357+F428</f>
        <v>#REF!</v>
      </c>
      <c r="G20" s="95" t="e">
        <f t="shared" ref="G20:R20" si="1">G22+G55+G73+G223+G323+G357+G428+G352</f>
        <v>#REF!</v>
      </c>
      <c r="H20" s="95" t="e">
        <f t="shared" si="1"/>
        <v>#REF!</v>
      </c>
      <c r="I20" s="95" t="e">
        <f t="shared" si="1"/>
        <v>#REF!</v>
      </c>
      <c r="J20" s="95" t="e">
        <f t="shared" si="1"/>
        <v>#REF!</v>
      </c>
      <c r="K20" s="95" t="e">
        <f t="shared" si="1"/>
        <v>#REF!</v>
      </c>
      <c r="L20" s="95" t="e">
        <f t="shared" si="1"/>
        <v>#REF!</v>
      </c>
      <c r="M20" s="95" t="e">
        <f t="shared" si="1"/>
        <v>#REF!</v>
      </c>
      <c r="N20" s="95" t="e">
        <f t="shared" si="1"/>
        <v>#REF!</v>
      </c>
      <c r="O20" s="95" t="e">
        <f t="shared" si="1"/>
        <v>#REF!</v>
      </c>
      <c r="P20" s="95" t="e">
        <f t="shared" si="1"/>
        <v>#REF!</v>
      </c>
      <c r="Q20" s="95" t="e">
        <f t="shared" si="1"/>
        <v>#REF!</v>
      </c>
      <c r="R20" s="96" t="e">
        <f t="shared" si="1"/>
        <v>#REF!</v>
      </c>
    </row>
    <row r="21" spans="1:23" ht="29.25" customHeight="1" x14ac:dyDescent="0.25">
      <c r="A21" s="46"/>
      <c r="B21" s="48"/>
      <c r="C21" s="97" t="s">
        <v>33</v>
      </c>
      <c r="D21" s="98"/>
      <c r="E21" s="98"/>
      <c r="F21" s="99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1"/>
      <c r="U21" s="16"/>
      <c r="V21" s="16"/>
      <c r="W21" s="16"/>
    </row>
    <row r="22" spans="1:23" ht="26.25" customHeight="1" x14ac:dyDescent="0.25">
      <c r="A22" s="46"/>
      <c r="B22" s="102"/>
      <c r="C22" s="590" t="s">
        <v>121</v>
      </c>
      <c r="D22" s="590"/>
      <c r="E22" s="103">
        <f>SUM(E25:E52)</f>
        <v>68</v>
      </c>
      <c r="F22" s="104">
        <f>SUM(F25:F53)</f>
        <v>879464</v>
      </c>
      <c r="G22" s="105">
        <f t="shared" ref="G22:Q22" si="2">SUM(G25:G52)</f>
        <v>68881.38</v>
      </c>
      <c r="H22" s="105">
        <f t="shared" si="2"/>
        <v>62215.439999999988</v>
      </c>
      <c r="I22" s="105">
        <f t="shared" si="2"/>
        <v>73522.38</v>
      </c>
      <c r="J22" s="105">
        <f t="shared" si="2"/>
        <v>73156.799999999988</v>
      </c>
      <c r="K22" s="105">
        <f t="shared" si="2"/>
        <v>77733.119999999995</v>
      </c>
      <c r="L22" s="105">
        <f t="shared" si="2"/>
        <v>73119.599999999991</v>
      </c>
      <c r="M22" s="105">
        <f t="shared" si="2"/>
        <v>77698.92</v>
      </c>
      <c r="N22" s="105">
        <f t="shared" si="2"/>
        <v>75228.320000000007</v>
      </c>
      <c r="O22" s="105">
        <f t="shared" si="2"/>
        <v>68517.600000000006</v>
      </c>
      <c r="P22" s="105">
        <f t="shared" si="2"/>
        <v>66339.38</v>
      </c>
      <c r="Q22" s="105">
        <f t="shared" si="2"/>
        <v>64199.4</v>
      </c>
      <c r="R22" s="106">
        <f>SUM(R25:R53)</f>
        <v>98851.6599999998</v>
      </c>
      <c r="S22" s="16">
        <f>F22-SUM(G22:R22)</f>
        <v>0</v>
      </c>
    </row>
    <row r="23" spans="1:23" x14ac:dyDescent="0.25">
      <c r="A23" s="46"/>
      <c r="B23" s="102"/>
      <c r="C23" s="107"/>
      <c r="D23" s="107"/>
      <c r="E23" s="103"/>
      <c r="F23" s="104">
        <f>SUM(F25:F52)</f>
        <v>846951.7200000002</v>
      </c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</row>
    <row r="24" spans="1:23" x14ac:dyDescent="0.25">
      <c r="A24" s="46"/>
      <c r="B24" s="108"/>
      <c r="C24" s="109"/>
      <c r="D24" s="109"/>
      <c r="E24" s="110" t="s">
        <v>122</v>
      </c>
      <c r="F24" s="111">
        <v>0</v>
      </c>
      <c r="G24" s="112"/>
      <c r="H24" s="112"/>
      <c r="I24" s="112"/>
      <c r="J24" s="112"/>
      <c r="K24" s="112"/>
      <c r="L24" s="112"/>
      <c r="M24" s="112"/>
      <c r="N24" s="113"/>
      <c r="O24" s="112"/>
      <c r="P24" s="112"/>
      <c r="Q24" s="112"/>
      <c r="R24" s="114"/>
    </row>
    <row r="25" spans="1:23" s="5" customFormat="1" x14ac:dyDescent="0.25">
      <c r="A25" s="115"/>
      <c r="B25" s="116">
        <v>1</v>
      </c>
      <c r="C25" s="18" t="s">
        <v>34</v>
      </c>
      <c r="D25" s="19">
        <v>71.400000000000006</v>
      </c>
      <c r="E25" s="24">
        <v>9</v>
      </c>
      <c r="F25" s="117">
        <f t="shared" ref="F25:F52" si="3">+E25*S25*D25</f>
        <v>136231.20000000001</v>
      </c>
      <c r="G25" s="35">
        <f t="shared" ref="G25:G36" si="4">E25*D25*31</f>
        <v>19920.600000000002</v>
      </c>
      <c r="H25" s="118">
        <f>E25*D25*28</f>
        <v>17992.8</v>
      </c>
      <c r="I25" s="35">
        <f t="shared" ref="I25:I36" si="5">E25*D25*31</f>
        <v>19920.600000000002</v>
      </c>
      <c r="J25" s="35">
        <f t="shared" ref="J25:J36" si="6">E25*D25*30</f>
        <v>19278</v>
      </c>
      <c r="K25" s="35">
        <f t="shared" ref="K25:K36" si="7">E25*D25*31</f>
        <v>19920.600000000002</v>
      </c>
      <c r="L25" s="35">
        <f t="shared" ref="L25:L38" si="8">E25*D25*30</f>
        <v>19278</v>
      </c>
      <c r="M25" s="35">
        <f t="shared" ref="M25:M36" si="9">E25*D25*31</f>
        <v>19920.600000000002</v>
      </c>
      <c r="N25" s="35">
        <v>0</v>
      </c>
      <c r="O25" s="35">
        <v>0</v>
      </c>
      <c r="P25" s="35">
        <v>0</v>
      </c>
      <c r="Q25" s="35">
        <v>0</v>
      </c>
      <c r="R25" s="119">
        <v>0</v>
      </c>
      <c r="S25" s="120">
        <v>212</v>
      </c>
    </row>
    <row r="26" spans="1:23" s="5" customFormat="1" x14ac:dyDescent="0.25">
      <c r="A26" s="115"/>
      <c r="B26" s="116">
        <v>14</v>
      </c>
      <c r="C26" s="18" t="s">
        <v>34</v>
      </c>
      <c r="D26" s="19">
        <v>71.400000000000006</v>
      </c>
      <c r="E26" s="21">
        <v>1</v>
      </c>
      <c r="F26" s="117">
        <f t="shared" si="3"/>
        <v>12923.400000000001</v>
      </c>
      <c r="G26" s="35">
        <f t="shared" si="4"/>
        <v>2213.4</v>
      </c>
      <c r="H26" s="118">
        <f>E26*D26*28</f>
        <v>1999.2000000000003</v>
      </c>
      <c r="I26" s="35">
        <f t="shared" si="5"/>
        <v>2213.4</v>
      </c>
      <c r="J26" s="35">
        <f t="shared" si="6"/>
        <v>2142</v>
      </c>
      <c r="K26" s="35">
        <f t="shared" si="7"/>
        <v>2213.4</v>
      </c>
      <c r="L26" s="35">
        <f t="shared" si="8"/>
        <v>2142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119">
        <v>0</v>
      </c>
      <c r="S26" s="120">
        <f>31+28+31+30+31+30</f>
        <v>181</v>
      </c>
    </row>
    <row r="27" spans="1:23" x14ac:dyDescent="0.25">
      <c r="A27" s="46"/>
      <c r="B27" s="121">
        <v>1</v>
      </c>
      <c r="C27" s="122" t="s">
        <v>34</v>
      </c>
      <c r="D27" s="123">
        <v>71.400000000000006</v>
      </c>
      <c r="E27" s="20">
        <v>1</v>
      </c>
      <c r="F27" s="124">
        <f t="shared" si="3"/>
        <v>0</v>
      </c>
      <c r="G27" s="125">
        <v>0</v>
      </c>
      <c r="H27" s="126">
        <v>0</v>
      </c>
      <c r="I27" s="125">
        <v>0</v>
      </c>
      <c r="J27" s="125"/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7">
        <v>0</v>
      </c>
      <c r="S27" s="128">
        <v>0</v>
      </c>
    </row>
    <row r="28" spans="1:23" s="5" customFormat="1" x14ac:dyDescent="0.25">
      <c r="A28" s="115"/>
      <c r="B28" s="116">
        <v>1</v>
      </c>
      <c r="C28" s="18" t="s">
        <v>34</v>
      </c>
      <c r="D28" s="19">
        <v>71.400000000000006</v>
      </c>
      <c r="E28" s="24">
        <v>1</v>
      </c>
      <c r="F28" s="117">
        <f t="shared" si="3"/>
        <v>13351.800000000001</v>
      </c>
      <c r="G28" s="35">
        <v>0</v>
      </c>
      <c r="H28" s="118">
        <v>0</v>
      </c>
      <c r="I28" s="35">
        <f>E28*D28*31+D28*E28*34</f>
        <v>4641</v>
      </c>
      <c r="J28" s="35">
        <f t="shared" ref="J28" si="10">E28*D28*30</f>
        <v>2142</v>
      </c>
      <c r="K28" s="35">
        <f t="shared" ref="K28" si="11">E28*D28*31</f>
        <v>2213.4</v>
      </c>
      <c r="L28" s="35">
        <f t="shared" ref="L28" si="12">E28*D28*30</f>
        <v>2142</v>
      </c>
      <c r="M28" s="35">
        <f t="shared" si="9"/>
        <v>2213.4</v>
      </c>
      <c r="N28" s="35">
        <v>0</v>
      </c>
      <c r="O28" s="35">
        <v>0</v>
      </c>
      <c r="P28" s="35">
        <v>0</v>
      </c>
      <c r="Q28" s="35">
        <v>0</v>
      </c>
      <c r="R28" s="119">
        <v>0</v>
      </c>
      <c r="S28" s="120">
        <f>212-31-28+34</f>
        <v>187</v>
      </c>
    </row>
    <row r="29" spans="1:23" s="5" customFormat="1" x14ac:dyDescent="0.25">
      <c r="A29" s="115"/>
      <c r="B29" s="116">
        <v>2</v>
      </c>
      <c r="C29" s="18" t="s">
        <v>35</v>
      </c>
      <c r="D29" s="19">
        <v>72.540000000000006</v>
      </c>
      <c r="E29" s="21">
        <v>1</v>
      </c>
      <c r="F29" s="117">
        <f t="shared" si="3"/>
        <v>15378.480000000001</v>
      </c>
      <c r="G29" s="35">
        <f t="shared" si="4"/>
        <v>2248.7400000000002</v>
      </c>
      <c r="H29" s="118">
        <f t="shared" ref="H29:H36" si="13">E29*D29*28</f>
        <v>2031.1200000000001</v>
      </c>
      <c r="I29" s="35">
        <f t="shared" si="5"/>
        <v>2248.7400000000002</v>
      </c>
      <c r="J29" s="35">
        <f t="shared" si="6"/>
        <v>2176.2000000000003</v>
      </c>
      <c r="K29" s="35">
        <f t="shared" si="7"/>
        <v>2248.7400000000002</v>
      </c>
      <c r="L29" s="35">
        <f t="shared" si="8"/>
        <v>2176.2000000000003</v>
      </c>
      <c r="M29" s="35">
        <f t="shared" si="9"/>
        <v>2248.7400000000002</v>
      </c>
      <c r="N29" s="35">
        <v>0</v>
      </c>
      <c r="O29" s="35">
        <v>0</v>
      </c>
      <c r="P29" s="35">
        <v>0</v>
      </c>
      <c r="Q29" s="35">
        <v>0</v>
      </c>
      <c r="R29" s="119">
        <v>0</v>
      </c>
      <c r="S29" s="120">
        <v>212</v>
      </c>
    </row>
    <row r="30" spans="1:23" s="5" customFormat="1" x14ac:dyDescent="0.25">
      <c r="A30" s="115"/>
      <c r="B30" s="116">
        <v>3</v>
      </c>
      <c r="C30" s="18" t="s">
        <v>36</v>
      </c>
      <c r="D30" s="19">
        <v>80.86</v>
      </c>
      <c r="E30" s="21">
        <v>4</v>
      </c>
      <c r="F30" s="117">
        <f t="shared" si="3"/>
        <v>68569.279999999999</v>
      </c>
      <c r="G30" s="35">
        <f t="shared" si="4"/>
        <v>10026.64</v>
      </c>
      <c r="H30" s="118">
        <f t="shared" si="13"/>
        <v>9056.32</v>
      </c>
      <c r="I30" s="35">
        <f t="shared" si="5"/>
        <v>10026.64</v>
      </c>
      <c r="J30" s="35">
        <f t="shared" si="6"/>
        <v>9703.2000000000007</v>
      </c>
      <c r="K30" s="35">
        <f t="shared" si="7"/>
        <v>10026.64</v>
      </c>
      <c r="L30" s="35">
        <f t="shared" si="8"/>
        <v>9703.2000000000007</v>
      </c>
      <c r="M30" s="35">
        <f t="shared" si="9"/>
        <v>10026.64</v>
      </c>
      <c r="N30" s="35">
        <v>0</v>
      </c>
      <c r="O30" s="35">
        <v>0</v>
      </c>
      <c r="P30" s="35">
        <v>0</v>
      </c>
      <c r="Q30" s="35">
        <v>0</v>
      </c>
      <c r="R30" s="119">
        <v>0</v>
      </c>
      <c r="S30" s="120">
        <v>212</v>
      </c>
    </row>
    <row r="31" spans="1:23" s="5" customFormat="1" x14ac:dyDescent="0.25">
      <c r="A31" s="115"/>
      <c r="B31" s="116">
        <v>4</v>
      </c>
      <c r="C31" s="18" t="s">
        <v>37</v>
      </c>
      <c r="D31" s="19">
        <v>71.400000000000006</v>
      </c>
      <c r="E31" s="21">
        <v>4</v>
      </c>
      <c r="F31" s="117">
        <f t="shared" si="3"/>
        <v>60547.200000000004</v>
      </c>
      <c r="G31" s="35">
        <f t="shared" si="4"/>
        <v>8853.6</v>
      </c>
      <c r="H31" s="118">
        <f t="shared" si="13"/>
        <v>7996.8000000000011</v>
      </c>
      <c r="I31" s="35">
        <f t="shared" si="5"/>
        <v>8853.6</v>
      </c>
      <c r="J31" s="35">
        <f t="shared" si="6"/>
        <v>8568</v>
      </c>
      <c r="K31" s="35">
        <f t="shared" si="7"/>
        <v>8853.6</v>
      </c>
      <c r="L31" s="35">
        <f t="shared" si="8"/>
        <v>8568</v>
      </c>
      <c r="M31" s="35">
        <f t="shared" si="9"/>
        <v>8853.6</v>
      </c>
      <c r="N31" s="35">
        <v>0</v>
      </c>
      <c r="O31" s="35">
        <v>0</v>
      </c>
      <c r="P31" s="35">
        <v>0</v>
      </c>
      <c r="Q31" s="35">
        <v>0</v>
      </c>
      <c r="R31" s="119">
        <v>0</v>
      </c>
      <c r="S31" s="120">
        <v>212</v>
      </c>
    </row>
    <row r="32" spans="1:23" s="5" customFormat="1" x14ac:dyDescent="0.25">
      <c r="A32" s="115"/>
      <c r="B32" s="116">
        <v>5</v>
      </c>
      <c r="C32" s="18" t="s">
        <v>38</v>
      </c>
      <c r="D32" s="19">
        <v>78.25</v>
      </c>
      <c r="E32" s="21">
        <v>1</v>
      </c>
      <c r="F32" s="117">
        <f t="shared" si="3"/>
        <v>16589</v>
      </c>
      <c r="G32" s="35">
        <f t="shared" si="4"/>
        <v>2425.75</v>
      </c>
      <c r="H32" s="118">
        <f t="shared" si="13"/>
        <v>2191</v>
      </c>
      <c r="I32" s="35">
        <f t="shared" si="5"/>
        <v>2425.75</v>
      </c>
      <c r="J32" s="35">
        <f t="shared" si="6"/>
        <v>2347.5</v>
      </c>
      <c r="K32" s="35">
        <f t="shared" si="7"/>
        <v>2425.75</v>
      </c>
      <c r="L32" s="35">
        <f t="shared" si="8"/>
        <v>2347.5</v>
      </c>
      <c r="M32" s="35">
        <f t="shared" si="9"/>
        <v>2425.75</v>
      </c>
      <c r="N32" s="35">
        <v>0</v>
      </c>
      <c r="O32" s="35">
        <v>0</v>
      </c>
      <c r="P32" s="35">
        <v>0</v>
      </c>
      <c r="Q32" s="35">
        <v>0</v>
      </c>
      <c r="R32" s="119">
        <v>0</v>
      </c>
      <c r="S32" s="120">
        <v>212</v>
      </c>
    </row>
    <row r="33" spans="1:19" s="5" customFormat="1" x14ac:dyDescent="0.25">
      <c r="A33" s="115"/>
      <c r="B33" s="116">
        <v>6</v>
      </c>
      <c r="C33" s="18" t="s">
        <v>30</v>
      </c>
      <c r="D33" s="19">
        <v>72.540000000000006</v>
      </c>
      <c r="E33" s="21">
        <v>2</v>
      </c>
      <c r="F33" s="117">
        <f t="shared" si="3"/>
        <v>30756.960000000003</v>
      </c>
      <c r="G33" s="35">
        <f t="shared" si="4"/>
        <v>4497.4800000000005</v>
      </c>
      <c r="H33" s="118">
        <f t="shared" si="13"/>
        <v>4062.2400000000002</v>
      </c>
      <c r="I33" s="35">
        <f t="shared" si="5"/>
        <v>4497.4800000000005</v>
      </c>
      <c r="J33" s="35">
        <f t="shared" si="6"/>
        <v>4352.4000000000005</v>
      </c>
      <c r="K33" s="35">
        <f t="shared" si="7"/>
        <v>4497.4800000000005</v>
      </c>
      <c r="L33" s="35">
        <f t="shared" si="8"/>
        <v>4352.4000000000005</v>
      </c>
      <c r="M33" s="35">
        <f t="shared" si="9"/>
        <v>4497.4800000000005</v>
      </c>
      <c r="N33" s="35">
        <v>0</v>
      </c>
      <c r="O33" s="35">
        <v>0</v>
      </c>
      <c r="P33" s="35">
        <v>0</v>
      </c>
      <c r="Q33" s="35">
        <v>0</v>
      </c>
      <c r="R33" s="119">
        <v>0</v>
      </c>
      <c r="S33" s="120">
        <v>212</v>
      </c>
    </row>
    <row r="34" spans="1:19" s="5" customFormat="1" x14ac:dyDescent="0.25">
      <c r="A34" s="115"/>
      <c r="B34" s="116">
        <v>7</v>
      </c>
      <c r="C34" s="18" t="s">
        <v>39</v>
      </c>
      <c r="D34" s="19">
        <v>73.59</v>
      </c>
      <c r="E34" s="21">
        <v>1</v>
      </c>
      <c r="F34" s="117">
        <f t="shared" si="3"/>
        <v>15601.08</v>
      </c>
      <c r="G34" s="35">
        <f t="shared" si="4"/>
        <v>2281.29</v>
      </c>
      <c r="H34" s="118">
        <f t="shared" si="13"/>
        <v>2060.52</v>
      </c>
      <c r="I34" s="35">
        <f t="shared" si="5"/>
        <v>2281.29</v>
      </c>
      <c r="J34" s="35">
        <f t="shared" si="6"/>
        <v>2207.7000000000003</v>
      </c>
      <c r="K34" s="35">
        <f t="shared" si="7"/>
        <v>2281.29</v>
      </c>
      <c r="L34" s="35">
        <f t="shared" si="8"/>
        <v>2207.7000000000003</v>
      </c>
      <c r="M34" s="35">
        <f t="shared" si="9"/>
        <v>2281.29</v>
      </c>
      <c r="N34" s="35">
        <v>0</v>
      </c>
      <c r="O34" s="35">
        <v>0</v>
      </c>
      <c r="P34" s="35">
        <v>0</v>
      </c>
      <c r="Q34" s="35">
        <v>0</v>
      </c>
      <c r="R34" s="119">
        <v>0</v>
      </c>
      <c r="S34" s="120">
        <v>212</v>
      </c>
    </row>
    <row r="35" spans="1:19" s="5" customFormat="1" x14ac:dyDescent="0.25">
      <c r="A35" s="115"/>
      <c r="B35" s="116">
        <v>8</v>
      </c>
      <c r="C35" s="18" t="s">
        <v>40</v>
      </c>
      <c r="D35" s="19">
        <v>75.64</v>
      </c>
      <c r="E35" s="21">
        <v>5</v>
      </c>
      <c r="F35" s="117">
        <f t="shared" si="3"/>
        <v>80178.399999999994</v>
      </c>
      <c r="G35" s="35">
        <f t="shared" si="4"/>
        <v>11724.199999999999</v>
      </c>
      <c r="H35" s="118">
        <f t="shared" si="13"/>
        <v>10589.6</v>
      </c>
      <c r="I35" s="35">
        <f t="shared" si="5"/>
        <v>11724.199999999999</v>
      </c>
      <c r="J35" s="35">
        <f t="shared" si="6"/>
        <v>11346</v>
      </c>
      <c r="K35" s="35">
        <f t="shared" si="7"/>
        <v>11724.199999999999</v>
      </c>
      <c r="L35" s="35">
        <f t="shared" si="8"/>
        <v>11346</v>
      </c>
      <c r="M35" s="35">
        <f t="shared" si="9"/>
        <v>11724.199999999999</v>
      </c>
      <c r="N35" s="35">
        <v>0</v>
      </c>
      <c r="O35" s="35">
        <v>0</v>
      </c>
      <c r="P35" s="35">
        <v>0</v>
      </c>
      <c r="Q35" s="35">
        <v>0</v>
      </c>
      <c r="R35" s="119">
        <v>0</v>
      </c>
      <c r="S35" s="120">
        <v>212</v>
      </c>
    </row>
    <row r="36" spans="1:19" s="5" customFormat="1" ht="12.75" customHeight="1" x14ac:dyDescent="0.25">
      <c r="A36" s="115"/>
      <c r="B36" s="116">
        <v>9</v>
      </c>
      <c r="C36" s="18" t="s">
        <v>41</v>
      </c>
      <c r="D36" s="19">
        <v>75.64</v>
      </c>
      <c r="E36" s="21">
        <v>2</v>
      </c>
      <c r="F36" s="117">
        <f t="shared" si="3"/>
        <v>32071.360000000001</v>
      </c>
      <c r="G36" s="35">
        <f t="shared" si="4"/>
        <v>4689.68</v>
      </c>
      <c r="H36" s="118">
        <f t="shared" si="13"/>
        <v>4235.84</v>
      </c>
      <c r="I36" s="35">
        <f t="shared" si="5"/>
        <v>4689.68</v>
      </c>
      <c r="J36" s="35">
        <f t="shared" si="6"/>
        <v>4538.3999999999996</v>
      </c>
      <c r="K36" s="35">
        <f t="shared" si="7"/>
        <v>4689.68</v>
      </c>
      <c r="L36" s="35">
        <f t="shared" si="8"/>
        <v>4538.3999999999996</v>
      </c>
      <c r="M36" s="35">
        <f t="shared" si="9"/>
        <v>4689.68</v>
      </c>
      <c r="N36" s="35">
        <v>0</v>
      </c>
      <c r="O36" s="35">
        <v>0</v>
      </c>
      <c r="P36" s="35">
        <v>0</v>
      </c>
      <c r="Q36" s="35">
        <v>0</v>
      </c>
      <c r="R36" s="119">
        <v>0</v>
      </c>
      <c r="S36" s="120">
        <v>212</v>
      </c>
    </row>
    <row r="37" spans="1:19" s="5" customFormat="1" x14ac:dyDescent="0.25">
      <c r="A37" s="115"/>
      <c r="B37" s="116">
        <v>10</v>
      </c>
      <c r="C37" s="18" t="s">
        <v>30</v>
      </c>
      <c r="D37" s="19">
        <v>72.540000000000006</v>
      </c>
      <c r="E37" s="21">
        <v>1</v>
      </c>
      <c r="F37" s="117">
        <f t="shared" si="3"/>
        <v>6601.14</v>
      </c>
      <c r="G37" s="35">
        <v>0</v>
      </c>
      <c r="H37" s="118">
        <v>0</v>
      </c>
      <c r="I37" s="35">
        <v>0</v>
      </c>
      <c r="J37" s="35">
        <v>0</v>
      </c>
      <c r="K37" s="35">
        <f>E37*D37*30+D37*E37*31</f>
        <v>4424.9400000000005</v>
      </c>
      <c r="L37" s="35">
        <f t="shared" si="8"/>
        <v>2176.2000000000003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119">
        <v>0</v>
      </c>
      <c r="S37" s="120">
        <f>30+31+30</f>
        <v>91</v>
      </c>
    </row>
    <row r="38" spans="1:19" s="5" customFormat="1" x14ac:dyDescent="0.25">
      <c r="A38" s="115"/>
      <c r="B38" s="116">
        <v>1</v>
      </c>
      <c r="C38" s="18" t="s">
        <v>34</v>
      </c>
      <c r="D38" s="19">
        <v>71.400000000000006</v>
      </c>
      <c r="E38" s="21">
        <v>1</v>
      </c>
      <c r="F38" s="117">
        <f t="shared" si="3"/>
        <v>10924.2</v>
      </c>
      <c r="G38" s="35">
        <v>0</v>
      </c>
      <c r="H38" s="118">
        <v>0</v>
      </c>
      <c r="I38" s="35">
        <v>0</v>
      </c>
      <c r="J38" s="35">
        <f>E38*D38*30+D38*E38*31</f>
        <v>4355.3999999999996</v>
      </c>
      <c r="K38" s="35">
        <f t="shared" ref="K38" si="14">E38*D38*31</f>
        <v>2213.4</v>
      </c>
      <c r="L38" s="35">
        <f t="shared" si="8"/>
        <v>2142</v>
      </c>
      <c r="M38" s="35">
        <f t="shared" ref="M38" si="15">E38*D38*31</f>
        <v>2213.4</v>
      </c>
      <c r="N38" s="35">
        <v>0</v>
      </c>
      <c r="O38" s="35">
        <v>0</v>
      </c>
      <c r="P38" s="35">
        <v>0</v>
      </c>
      <c r="Q38" s="35">
        <v>0</v>
      </c>
      <c r="R38" s="119">
        <v>0</v>
      </c>
      <c r="S38" s="120">
        <f>31+30+31+30+31</f>
        <v>153</v>
      </c>
    </row>
    <row r="39" spans="1:19" s="135" customFormat="1" x14ac:dyDescent="0.25">
      <c r="A39" s="129"/>
      <c r="B39" s="130">
        <v>1</v>
      </c>
      <c r="C39" s="131" t="s">
        <v>34</v>
      </c>
      <c r="D39" s="25">
        <v>71.400000000000006</v>
      </c>
      <c r="E39" s="29">
        <v>11</v>
      </c>
      <c r="F39" s="132">
        <f t="shared" si="3"/>
        <v>120166.20000000001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f>+D39*E39*31</f>
        <v>24347.4</v>
      </c>
      <c r="O39" s="26">
        <f>+D39*E39*30</f>
        <v>23562.000000000004</v>
      </c>
      <c r="P39" s="26">
        <f>+D39*E39*31</f>
        <v>24347.4</v>
      </c>
      <c r="Q39" s="26">
        <f>+D39*E39*30</f>
        <v>23562.000000000004</v>
      </c>
      <c r="R39" s="133">
        <f>+D39*E39*31</f>
        <v>24347.4</v>
      </c>
      <c r="S39" s="134">
        <f>31+30+31+30+31</f>
        <v>153</v>
      </c>
    </row>
    <row r="40" spans="1:19" s="135" customFormat="1" x14ac:dyDescent="0.25">
      <c r="A40" s="129"/>
      <c r="B40" s="130">
        <v>2</v>
      </c>
      <c r="C40" s="27" t="s">
        <v>35</v>
      </c>
      <c r="D40" s="25">
        <v>72.540000000000006</v>
      </c>
      <c r="E40" s="29">
        <v>1</v>
      </c>
      <c r="F40" s="132">
        <f t="shared" si="3"/>
        <v>11098.62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f t="shared" ref="N40:N49" si="16">+D40*E40*31</f>
        <v>2248.7400000000002</v>
      </c>
      <c r="O40" s="26">
        <f t="shared" ref="O40:O49" si="17">+D40*E40*30</f>
        <v>2176.2000000000003</v>
      </c>
      <c r="P40" s="26">
        <f t="shared" ref="P40:P49" si="18">+D40*E40*31</f>
        <v>2248.7400000000002</v>
      </c>
      <c r="Q40" s="26">
        <f t="shared" ref="Q40:Q49" si="19">+D40*E40*30</f>
        <v>2176.2000000000003</v>
      </c>
      <c r="R40" s="133">
        <f t="shared" ref="R40:R49" si="20">+D40*E40*31</f>
        <v>2248.7400000000002</v>
      </c>
      <c r="S40" s="134">
        <f t="shared" ref="S40:S49" si="21">31+30+31+30+31</f>
        <v>153</v>
      </c>
    </row>
    <row r="41" spans="1:19" s="135" customFormat="1" x14ac:dyDescent="0.25">
      <c r="A41" s="129"/>
      <c r="B41" s="130">
        <v>3</v>
      </c>
      <c r="C41" s="27" t="s">
        <v>36</v>
      </c>
      <c r="D41" s="25">
        <v>80.86</v>
      </c>
      <c r="E41" s="29">
        <v>3</v>
      </c>
      <c r="F41" s="132">
        <f t="shared" si="3"/>
        <v>37114.74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f t="shared" si="16"/>
        <v>7519.98</v>
      </c>
      <c r="O41" s="26">
        <f t="shared" si="17"/>
        <v>7277.4</v>
      </c>
      <c r="P41" s="26">
        <f t="shared" si="18"/>
        <v>7519.98</v>
      </c>
      <c r="Q41" s="26">
        <f t="shared" si="19"/>
        <v>7277.4</v>
      </c>
      <c r="R41" s="133">
        <f t="shared" si="20"/>
        <v>7519.98</v>
      </c>
      <c r="S41" s="134">
        <f t="shared" si="21"/>
        <v>153</v>
      </c>
    </row>
    <row r="42" spans="1:19" s="5" customFormat="1" x14ac:dyDescent="0.25">
      <c r="A42" s="115"/>
      <c r="B42" s="116">
        <v>3</v>
      </c>
      <c r="C42" s="18" t="s">
        <v>36</v>
      </c>
      <c r="D42" s="19">
        <v>80.86</v>
      </c>
      <c r="E42" s="21">
        <v>1</v>
      </c>
      <c r="F42" s="117">
        <f t="shared" si="3"/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119">
        <v>0</v>
      </c>
      <c r="S42" s="120">
        <v>0</v>
      </c>
    </row>
    <row r="43" spans="1:19" s="135" customFormat="1" x14ac:dyDescent="0.25">
      <c r="A43" s="129"/>
      <c r="B43" s="130">
        <v>4</v>
      </c>
      <c r="C43" s="27" t="s">
        <v>37</v>
      </c>
      <c r="D43" s="25">
        <v>71.400000000000006</v>
      </c>
      <c r="E43" s="29">
        <v>4</v>
      </c>
      <c r="F43" s="132">
        <f t="shared" si="3"/>
        <v>43696.800000000003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f t="shared" si="16"/>
        <v>8853.6</v>
      </c>
      <c r="O43" s="26">
        <f t="shared" si="17"/>
        <v>8568</v>
      </c>
      <c r="P43" s="26">
        <f t="shared" si="18"/>
        <v>8853.6</v>
      </c>
      <c r="Q43" s="26">
        <f t="shared" si="19"/>
        <v>8568</v>
      </c>
      <c r="R43" s="133">
        <f t="shared" si="20"/>
        <v>8853.6</v>
      </c>
      <c r="S43" s="134">
        <f t="shared" si="21"/>
        <v>153</v>
      </c>
    </row>
    <row r="44" spans="1:19" s="135" customFormat="1" x14ac:dyDescent="0.25">
      <c r="A44" s="129"/>
      <c r="B44" s="130">
        <v>5</v>
      </c>
      <c r="C44" s="27" t="s">
        <v>38</v>
      </c>
      <c r="D44" s="25">
        <v>78.25</v>
      </c>
      <c r="E44" s="29">
        <v>1</v>
      </c>
      <c r="F44" s="132">
        <f t="shared" si="3"/>
        <v>11972.25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f t="shared" si="16"/>
        <v>2425.75</v>
      </c>
      <c r="O44" s="26">
        <f t="shared" si="17"/>
        <v>2347.5</v>
      </c>
      <c r="P44" s="26">
        <f t="shared" si="18"/>
        <v>2425.75</v>
      </c>
      <c r="Q44" s="26">
        <f t="shared" si="19"/>
        <v>2347.5</v>
      </c>
      <c r="R44" s="133">
        <f t="shared" si="20"/>
        <v>2425.75</v>
      </c>
      <c r="S44" s="134">
        <f t="shared" si="21"/>
        <v>153</v>
      </c>
    </row>
    <row r="45" spans="1:19" s="135" customFormat="1" x14ac:dyDescent="0.25">
      <c r="A45" s="129"/>
      <c r="B45" s="130">
        <v>6</v>
      </c>
      <c r="C45" s="27" t="s">
        <v>30</v>
      </c>
      <c r="D45" s="25">
        <v>72.540000000000006</v>
      </c>
      <c r="E45" s="29">
        <v>1</v>
      </c>
      <c r="F45" s="132">
        <f t="shared" si="3"/>
        <v>11098.62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f t="shared" si="16"/>
        <v>2248.7400000000002</v>
      </c>
      <c r="O45" s="26">
        <f t="shared" si="17"/>
        <v>2176.2000000000003</v>
      </c>
      <c r="P45" s="26">
        <f t="shared" si="18"/>
        <v>2248.7400000000002</v>
      </c>
      <c r="Q45" s="26">
        <f t="shared" si="19"/>
        <v>2176.2000000000003</v>
      </c>
      <c r="R45" s="133">
        <f t="shared" si="20"/>
        <v>2248.7400000000002</v>
      </c>
      <c r="S45" s="134">
        <f t="shared" si="21"/>
        <v>153</v>
      </c>
    </row>
    <row r="46" spans="1:19" s="5" customFormat="1" x14ac:dyDescent="0.25">
      <c r="A46" s="115"/>
      <c r="B46" s="116">
        <v>6</v>
      </c>
      <c r="C46" s="18" t="s">
        <v>30</v>
      </c>
      <c r="D46" s="19">
        <v>72.540000000000006</v>
      </c>
      <c r="E46" s="21">
        <v>1</v>
      </c>
      <c r="F46" s="117">
        <f t="shared" si="3"/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119">
        <v>0</v>
      </c>
      <c r="S46" s="120">
        <v>0</v>
      </c>
    </row>
    <row r="47" spans="1:19" s="135" customFormat="1" x14ac:dyDescent="0.25">
      <c r="A47" s="129"/>
      <c r="B47" s="130">
        <v>7</v>
      </c>
      <c r="C47" s="27" t="s">
        <v>39</v>
      </c>
      <c r="D47" s="25">
        <v>73.59</v>
      </c>
      <c r="E47" s="29">
        <v>1</v>
      </c>
      <c r="F47" s="132">
        <f t="shared" si="3"/>
        <v>11259.27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f t="shared" si="16"/>
        <v>2281.29</v>
      </c>
      <c r="O47" s="26">
        <f t="shared" si="17"/>
        <v>2207.7000000000003</v>
      </c>
      <c r="P47" s="26">
        <f t="shared" si="18"/>
        <v>2281.29</v>
      </c>
      <c r="Q47" s="26">
        <f t="shared" si="19"/>
        <v>2207.7000000000003</v>
      </c>
      <c r="R47" s="133">
        <f t="shared" si="20"/>
        <v>2281.29</v>
      </c>
      <c r="S47" s="134">
        <f t="shared" si="21"/>
        <v>153</v>
      </c>
    </row>
    <row r="48" spans="1:19" s="135" customFormat="1" x14ac:dyDescent="0.25">
      <c r="A48" s="129"/>
      <c r="B48" s="130">
        <v>8</v>
      </c>
      <c r="C48" s="27" t="s">
        <v>40</v>
      </c>
      <c r="D48" s="25">
        <v>75.64</v>
      </c>
      <c r="E48" s="29">
        <v>5</v>
      </c>
      <c r="F48" s="132">
        <f t="shared" si="3"/>
        <v>57864.6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f t="shared" si="16"/>
        <v>11724.199999999999</v>
      </c>
      <c r="O48" s="26">
        <f t="shared" si="17"/>
        <v>11346</v>
      </c>
      <c r="P48" s="26">
        <f t="shared" si="18"/>
        <v>11724.199999999999</v>
      </c>
      <c r="Q48" s="26">
        <f t="shared" si="19"/>
        <v>11346</v>
      </c>
      <c r="R48" s="133">
        <f t="shared" si="20"/>
        <v>11724.199999999999</v>
      </c>
      <c r="S48" s="134">
        <f t="shared" si="21"/>
        <v>153</v>
      </c>
    </row>
    <row r="49" spans="1:19" s="135" customFormat="1" ht="12.75" customHeight="1" x14ac:dyDescent="0.25">
      <c r="A49" s="129"/>
      <c r="B49" s="130">
        <v>9</v>
      </c>
      <c r="C49" s="27" t="s">
        <v>41</v>
      </c>
      <c r="D49" s="25">
        <v>75.64</v>
      </c>
      <c r="E49" s="29">
        <v>2</v>
      </c>
      <c r="F49" s="132">
        <f t="shared" si="3"/>
        <v>23145.84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f t="shared" si="16"/>
        <v>4689.68</v>
      </c>
      <c r="O49" s="26">
        <f t="shared" si="17"/>
        <v>4538.3999999999996</v>
      </c>
      <c r="P49" s="26">
        <f t="shared" si="18"/>
        <v>4689.68</v>
      </c>
      <c r="Q49" s="26">
        <f t="shared" si="19"/>
        <v>4538.3999999999996</v>
      </c>
      <c r="R49" s="133">
        <f t="shared" si="20"/>
        <v>4689.68</v>
      </c>
      <c r="S49" s="134">
        <f t="shared" si="21"/>
        <v>153</v>
      </c>
    </row>
    <row r="50" spans="1:19" s="135" customFormat="1" x14ac:dyDescent="0.25">
      <c r="A50" s="129"/>
      <c r="B50" s="136">
        <v>12</v>
      </c>
      <c r="C50" s="28" t="s">
        <v>30</v>
      </c>
      <c r="D50" s="31">
        <v>72.540000000000006</v>
      </c>
      <c r="E50" s="30">
        <v>1</v>
      </c>
      <c r="F50" s="137">
        <f>+E50*S50*D50</f>
        <v>6673.68</v>
      </c>
      <c r="G50" s="32">
        <v>0</v>
      </c>
      <c r="H50" s="138">
        <v>0</v>
      </c>
      <c r="I50" s="32">
        <v>0</v>
      </c>
      <c r="J50" s="32">
        <v>0</v>
      </c>
      <c r="K50" s="32">
        <v>0</v>
      </c>
      <c r="L50" s="32">
        <v>0</v>
      </c>
      <c r="M50" s="32">
        <f>E50*D50*31</f>
        <v>2248.7400000000002</v>
      </c>
      <c r="N50" s="32">
        <f>+D50*E50*31</f>
        <v>2248.7400000000002</v>
      </c>
      <c r="O50" s="32">
        <f>+D50*E50*30</f>
        <v>2176.2000000000003</v>
      </c>
      <c r="P50" s="32">
        <v>0</v>
      </c>
      <c r="Q50" s="32">
        <v>0</v>
      </c>
      <c r="R50" s="139">
        <v>0</v>
      </c>
      <c r="S50" s="134">
        <f>31+31+30</f>
        <v>92</v>
      </c>
    </row>
    <row r="51" spans="1:19" s="135" customFormat="1" x14ac:dyDescent="0.25">
      <c r="A51" s="129"/>
      <c r="B51" s="130">
        <v>1</v>
      </c>
      <c r="C51" s="27" t="s">
        <v>34</v>
      </c>
      <c r="D51" s="25">
        <v>71.400000000000006</v>
      </c>
      <c r="E51" s="29">
        <v>1</v>
      </c>
      <c r="F51" s="132">
        <f t="shared" ref="F51" si="22">+E51*S51*D51</f>
        <v>6568.8</v>
      </c>
      <c r="G51" s="26">
        <v>0</v>
      </c>
      <c r="H51" s="140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f>+D51*E51*62</f>
        <v>4426.8</v>
      </c>
      <c r="O51" s="26">
        <f>+D51*E51*30</f>
        <v>2142</v>
      </c>
      <c r="P51" s="26">
        <v>0</v>
      </c>
      <c r="Q51" s="26">
        <v>0</v>
      </c>
      <c r="R51" s="133">
        <v>0</v>
      </c>
      <c r="S51" s="134">
        <f>31+31+30</f>
        <v>92</v>
      </c>
    </row>
    <row r="52" spans="1:19" s="135" customFormat="1" x14ac:dyDescent="0.25">
      <c r="A52" s="129"/>
      <c r="B52" s="130">
        <v>11</v>
      </c>
      <c r="C52" s="27" t="s">
        <v>37</v>
      </c>
      <c r="D52" s="25">
        <v>71.400000000000006</v>
      </c>
      <c r="E52" s="29">
        <v>1</v>
      </c>
      <c r="F52" s="132">
        <f t="shared" si="3"/>
        <v>6568.8</v>
      </c>
      <c r="G52" s="26">
        <v>0</v>
      </c>
      <c r="H52" s="140">
        <v>0</v>
      </c>
      <c r="I52" s="26">
        <v>0</v>
      </c>
      <c r="J52" s="26">
        <v>0</v>
      </c>
      <c r="K52" s="26">
        <v>0</v>
      </c>
      <c r="L52" s="26">
        <v>0</v>
      </c>
      <c r="M52" s="26">
        <f>+D52*E52*61</f>
        <v>4355.4000000000005</v>
      </c>
      <c r="N52" s="26">
        <f>+D52*E52*31</f>
        <v>2213.4</v>
      </c>
      <c r="O52" s="26">
        <v>0</v>
      </c>
      <c r="P52" s="26">
        <v>0</v>
      </c>
      <c r="Q52" s="26">
        <v>0</v>
      </c>
      <c r="R52" s="133">
        <v>0</v>
      </c>
      <c r="S52" s="134">
        <f>30+31+31</f>
        <v>92</v>
      </c>
    </row>
    <row r="53" spans="1:19" x14ac:dyDescent="0.25">
      <c r="A53" s="46"/>
      <c r="B53" s="121"/>
      <c r="C53" s="122" t="s">
        <v>123</v>
      </c>
      <c r="D53" s="123"/>
      <c r="E53" s="20"/>
      <c r="F53" s="124">
        <f xml:space="preserve"> 890344-SUM(F25:F52)-10880</f>
        <v>32512.279999999795</v>
      </c>
      <c r="G53" s="141"/>
      <c r="H53" s="142"/>
      <c r="I53" s="125"/>
      <c r="J53" s="125"/>
      <c r="K53" s="143"/>
      <c r="L53" s="125"/>
      <c r="M53" s="125"/>
      <c r="N53" s="125"/>
      <c r="O53" s="125"/>
      <c r="P53" s="125"/>
      <c r="Q53" s="125"/>
      <c r="R53" s="127">
        <f>F53</f>
        <v>32512.279999999795</v>
      </c>
    </row>
    <row r="54" spans="1:19" x14ac:dyDescent="0.25">
      <c r="A54" s="46"/>
      <c r="B54" s="144"/>
      <c r="C54" s="591" t="s">
        <v>42</v>
      </c>
      <c r="D54" s="591"/>
      <c r="E54" s="145"/>
      <c r="F54" s="146"/>
      <c r="G54" s="147"/>
      <c r="H54" s="148"/>
      <c r="I54" s="147"/>
      <c r="J54" s="147"/>
      <c r="K54" s="147"/>
      <c r="L54" s="147"/>
      <c r="M54" s="147"/>
      <c r="N54" s="147"/>
      <c r="O54" s="147"/>
      <c r="P54" s="147"/>
      <c r="Q54" s="147"/>
      <c r="R54" s="149"/>
    </row>
    <row r="55" spans="1:19" ht="28.5" customHeight="1" x14ac:dyDescent="0.25">
      <c r="A55" s="46"/>
      <c r="B55" s="150"/>
      <c r="C55" s="592" t="s">
        <v>124</v>
      </c>
      <c r="D55" s="592"/>
      <c r="E55" s="151" t="e">
        <f>E57+#REF!</f>
        <v>#REF!</v>
      </c>
      <c r="F55" s="152" t="e">
        <f>F57+#REF!</f>
        <v>#REF!</v>
      </c>
      <c r="G55" s="153" t="e">
        <f>G57+#REF!</f>
        <v>#REF!</v>
      </c>
      <c r="H55" s="153" t="e">
        <f>H57+#REF!</f>
        <v>#REF!</v>
      </c>
      <c r="I55" s="153" t="e">
        <f>I57+#REF!</f>
        <v>#REF!</v>
      </c>
      <c r="J55" s="153" t="e">
        <f>J57+#REF!</f>
        <v>#REF!</v>
      </c>
      <c r="K55" s="153" t="e">
        <f>K57+#REF!</f>
        <v>#REF!</v>
      </c>
      <c r="L55" s="153" t="e">
        <f>L57+#REF!</f>
        <v>#REF!</v>
      </c>
      <c r="M55" s="153" t="e">
        <f>M57+#REF!</f>
        <v>#REF!</v>
      </c>
      <c r="N55" s="153" t="e">
        <f>N57+#REF!</f>
        <v>#REF!</v>
      </c>
      <c r="O55" s="153" t="e">
        <f>O57+#REF!</f>
        <v>#REF!</v>
      </c>
      <c r="P55" s="153" t="e">
        <f>P57+#REF!</f>
        <v>#REF!</v>
      </c>
      <c r="Q55" s="153" t="e">
        <f>Q57+#REF!</f>
        <v>#REF!</v>
      </c>
      <c r="R55" s="154" t="e">
        <f>R57+#REF!</f>
        <v>#REF!</v>
      </c>
      <c r="S55" s="16" t="e">
        <f>F55-SUM(G55:R55)</f>
        <v>#REF!</v>
      </c>
    </row>
    <row r="56" spans="1:19" x14ac:dyDescent="0.25">
      <c r="A56" s="46"/>
      <c r="B56" s="150"/>
      <c r="C56" s="155"/>
      <c r="D56" s="155"/>
      <c r="E56" s="156"/>
      <c r="F56" s="157" t="e">
        <f>+F58+#REF!</f>
        <v>#REF!</v>
      </c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9"/>
    </row>
    <row r="57" spans="1:19" ht="31.15" customHeight="1" x14ac:dyDescent="0.25">
      <c r="A57" s="46"/>
      <c r="B57" s="121"/>
      <c r="C57" s="593" t="s">
        <v>125</v>
      </c>
      <c r="D57" s="593"/>
      <c r="E57" s="160">
        <f>SUM(E60:E66)</f>
        <v>7</v>
      </c>
      <c r="F57" s="161">
        <f>SUM(F60:F66)</f>
        <v>70887.900000000009</v>
      </c>
      <c r="G57" s="162">
        <f t="shared" ref="G57:Q57" si="23">SUM(G60:G66)</f>
        <v>4462.1400000000003</v>
      </c>
      <c r="H57" s="162">
        <f t="shared" si="23"/>
        <v>7100.52</v>
      </c>
      <c r="I57" s="162">
        <f t="shared" si="23"/>
        <v>6675.5400000000009</v>
      </c>
      <c r="J57" s="162">
        <f t="shared" si="23"/>
        <v>6460.2000000000007</v>
      </c>
      <c r="K57" s="162">
        <f t="shared" si="23"/>
        <v>6675.5400000000009</v>
      </c>
      <c r="L57" s="162">
        <f t="shared" si="23"/>
        <v>6460.2000000000007</v>
      </c>
      <c r="M57" s="162">
        <f t="shared" si="23"/>
        <v>6675.5400000000009</v>
      </c>
      <c r="N57" s="162">
        <f t="shared" si="23"/>
        <v>6675.5400000000009</v>
      </c>
      <c r="O57" s="162">
        <f t="shared" si="23"/>
        <v>6460.2000000000007</v>
      </c>
      <c r="P57" s="162">
        <f t="shared" si="23"/>
        <v>4462.1400000000003</v>
      </c>
      <c r="Q57" s="162">
        <f t="shared" si="23"/>
        <v>4318.2000000000007</v>
      </c>
      <c r="R57" s="163">
        <f>SUM(R60:R66)</f>
        <v>4462.1400000000003</v>
      </c>
      <c r="S57" s="16">
        <f>F57-SUM(G57:R57)</f>
        <v>0</v>
      </c>
    </row>
    <row r="58" spans="1:19" x14ac:dyDescent="0.25">
      <c r="A58" s="46"/>
      <c r="B58" s="164"/>
      <c r="C58" s="165"/>
      <c r="D58" s="165"/>
      <c r="E58" s="160"/>
      <c r="F58" s="161">
        <f>SUM(F60:F66)</f>
        <v>70887.900000000009</v>
      </c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7"/>
    </row>
    <row r="59" spans="1:19" ht="17.25" customHeight="1" x14ac:dyDescent="0.25">
      <c r="A59" s="46"/>
      <c r="B59" s="164"/>
      <c r="C59" s="168"/>
      <c r="D59" s="168"/>
      <c r="E59" s="110" t="s">
        <v>122</v>
      </c>
      <c r="F59" s="111">
        <v>0</v>
      </c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7"/>
    </row>
    <row r="60" spans="1:19" x14ac:dyDescent="0.25">
      <c r="A60" s="46"/>
      <c r="B60" s="169">
        <v>1</v>
      </c>
      <c r="C60" s="170" t="s">
        <v>43</v>
      </c>
      <c r="D60" s="171">
        <v>72.540000000000006</v>
      </c>
      <c r="E60" s="172">
        <v>1</v>
      </c>
      <c r="F60" s="173">
        <f t="shared" ref="F60:F66" si="24">+E60*S60*D60</f>
        <v>15378.480000000001</v>
      </c>
      <c r="G60" s="174">
        <f>E60*D60*31</f>
        <v>2248.7400000000002</v>
      </c>
      <c r="H60" s="175">
        <f>E60*D60*28</f>
        <v>2031.1200000000001</v>
      </c>
      <c r="I60" s="174">
        <f>E60*D60*31</f>
        <v>2248.7400000000002</v>
      </c>
      <c r="J60" s="174">
        <f>E60*D60*30</f>
        <v>2176.2000000000003</v>
      </c>
      <c r="K60" s="174">
        <f>E60*D60*31</f>
        <v>2248.7400000000002</v>
      </c>
      <c r="L60" s="174">
        <f>E60*D60*30</f>
        <v>2176.2000000000003</v>
      </c>
      <c r="M60" s="174">
        <f>E60*D60*31</f>
        <v>2248.7400000000002</v>
      </c>
      <c r="N60" s="125">
        <v>0</v>
      </c>
      <c r="O60" s="125">
        <v>0</v>
      </c>
      <c r="P60" s="125">
        <v>0</v>
      </c>
      <c r="Q60" s="125">
        <v>0</v>
      </c>
      <c r="R60" s="127">
        <v>0</v>
      </c>
      <c r="S60" s="128">
        <v>212</v>
      </c>
    </row>
    <row r="61" spans="1:19" x14ac:dyDescent="0.25">
      <c r="A61" s="46"/>
      <c r="B61" s="121">
        <v>2</v>
      </c>
      <c r="C61" s="122" t="s">
        <v>34</v>
      </c>
      <c r="D61" s="123">
        <v>71.400000000000006</v>
      </c>
      <c r="E61" s="20">
        <v>1</v>
      </c>
      <c r="F61" s="124">
        <f t="shared" si="24"/>
        <v>15136.800000000001</v>
      </c>
      <c r="G61" s="125">
        <f>E61*D61*31</f>
        <v>2213.4</v>
      </c>
      <c r="H61" s="126">
        <f>E61*D61*28</f>
        <v>1999.2000000000003</v>
      </c>
      <c r="I61" s="125">
        <f>E61*D61*31</f>
        <v>2213.4</v>
      </c>
      <c r="J61" s="125">
        <f>E61*D61*30</f>
        <v>2142</v>
      </c>
      <c r="K61" s="125">
        <f>E61*D61*31</f>
        <v>2213.4</v>
      </c>
      <c r="L61" s="125">
        <f>E61*D61*30</f>
        <v>2142</v>
      </c>
      <c r="M61" s="125">
        <f>E61*D61*31</f>
        <v>2213.4</v>
      </c>
      <c r="N61" s="125">
        <v>0</v>
      </c>
      <c r="O61" s="125">
        <v>0</v>
      </c>
      <c r="P61" s="125">
        <v>0</v>
      </c>
      <c r="Q61" s="125">
        <v>0</v>
      </c>
      <c r="R61" s="127">
        <v>0</v>
      </c>
      <c r="S61" s="128">
        <v>212</v>
      </c>
    </row>
    <row r="62" spans="1:19" x14ac:dyDescent="0.25">
      <c r="A62" s="46"/>
      <c r="B62" s="121">
        <v>2</v>
      </c>
      <c r="C62" s="122" t="s">
        <v>37</v>
      </c>
      <c r="D62" s="123">
        <v>71.400000000000006</v>
      </c>
      <c r="E62" s="20">
        <v>1</v>
      </c>
      <c r="F62" s="124">
        <f t="shared" si="24"/>
        <v>5283.6</v>
      </c>
      <c r="G62" s="125">
        <v>0</v>
      </c>
      <c r="H62" s="126">
        <f>E62*D62*28+D62*E62*15</f>
        <v>3070.2000000000003</v>
      </c>
      <c r="I62" s="125">
        <f>E62*D62*31</f>
        <v>2213.4</v>
      </c>
      <c r="J62" s="125">
        <v>0</v>
      </c>
      <c r="K62" s="125">
        <v>0</v>
      </c>
      <c r="L62" s="125">
        <v>0</v>
      </c>
      <c r="M62" s="125">
        <v>0</v>
      </c>
      <c r="N62" s="125">
        <v>0</v>
      </c>
      <c r="O62" s="125">
        <v>0</v>
      </c>
      <c r="P62" s="125">
        <v>0</v>
      </c>
      <c r="Q62" s="125">
        <v>0</v>
      </c>
      <c r="R62" s="127">
        <v>0</v>
      </c>
      <c r="S62" s="128">
        <f>15+28+31</f>
        <v>74</v>
      </c>
    </row>
    <row r="63" spans="1:19" x14ac:dyDescent="0.25">
      <c r="A63" s="46"/>
      <c r="B63" s="121">
        <v>3</v>
      </c>
      <c r="C63" s="122" t="s">
        <v>37</v>
      </c>
      <c r="D63" s="123">
        <v>71.400000000000006</v>
      </c>
      <c r="E63" s="20">
        <v>1</v>
      </c>
      <c r="F63" s="124">
        <f t="shared" si="24"/>
        <v>6497.4000000000005</v>
      </c>
      <c r="G63" s="125">
        <v>0</v>
      </c>
      <c r="H63" s="126">
        <v>0</v>
      </c>
      <c r="I63" s="125">
        <v>0</v>
      </c>
      <c r="J63" s="125">
        <f>E63*D63*30</f>
        <v>2142</v>
      </c>
      <c r="K63" s="125">
        <f t="shared" ref="K63" si="25">E63*D63*31</f>
        <v>2213.4</v>
      </c>
      <c r="L63" s="125">
        <f t="shared" ref="L63" si="26">E63*D63*30</f>
        <v>2142</v>
      </c>
      <c r="M63" s="125">
        <v>0</v>
      </c>
      <c r="N63" s="125">
        <v>0</v>
      </c>
      <c r="O63" s="125">
        <v>0</v>
      </c>
      <c r="P63" s="125">
        <v>0</v>
      </c>
      <c r="Q63" s="125">
        <v>0</v>
      </c>
      <c r="R63" s="127">
        <v>0</v>
      </c>
      <c r="S63" s="128">
        <f>30+31+30</f>
        <v>91</v>
      </c>
    </row>
    <row r="64" spans="1:19" s="135" customFormat="1" x14ac:dyDescent="0.25">
      <c r="A64" s="129"/>
      <c r="B64" s="136">
        <v>1</v>
      </c>
      <c r="C64" s="28" t="s">
        <v>43</v>
      </c>
      <c r="D64" s="31">
        <v>72.540000000000006</v>
      </c>
      <c r="E64" s="30">
        <v>1</v>
      </c>
      <c r="F64" s="137">
        <f t="shared" si="24"/>
        <v>11098.62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26">
        <f t="shared" ref="N64:N65" si="27">+D64*E64*31</f>
        <v>2248.7400000000002</v>
      </c>
      <c r="O64" s="26">
        <f t="shared" ref="O64:O65" si="28">+D64*E64*30</f>
        <v>2176.2000000000003</v>
      </c>
      <c r="P64" s="26">
        <f t="shared" ref="P64:P65" si="29">+D64*E64*31</f>
        <v>2248.7400000000002</v>
      </c>
      <c r="Q64" s="26">
        <f t="shared" ref="Q64:Q65" si="30">+D64*E64*30</f>
        <v>2176.2000000000003</v>
      </c>
      <c r="R64" s="133">
        <f t="shared" ref="R64:R65" si="31">+D64*E64*31</f>
        <v>2248.7400000000002</v>
      </c>
      <c r="S64" s="134">
        <f t="shared" ref="S64:S65" si="32">31+30+31+30+31</f>
        <v>153</v>
      </c>
    </row>
    <row r="65" spans="1:20" s="135" customFormat="1" x14ac:dyDescent="0.25">
      <c r="A65" s="129"/>
      <c r="B65" s="130">
        <v>2</v>
      </c>
      <c r="C65" s="27" t="s">
        <v>34</v>
      </c>
      <c r="D65" s="25">
        <v>71.400000000000006</v>
      </c>
      <c r="E65" s="29">
        <v>1</v>
      </c>
      <c r="F65" s="132">
        <f t="shared" si="24"/>
        <v>10924.2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26">
        <f t="shared" si="27"/>
        <v>2213.4</v>
      </c>
      <c r="O65" s="26">
        <f t="shared" si="28"/>
        <v>2142</v>
      </c>
      <c r="P65" s="26">
        <f t="shared" si="29"/>
        <v>2213.4</v>
      </c>
      <c r="Q65" s="26">
        <f t="shared" si="30"/>
        <v>2142</v>
      </c>
      <c r="R65" s="133">
        <f t="shared" si="31"/>
        <v>2213.4</v>
      </c>
      <c r="S65" s="134">
        <f t="shared" si="32"/>
        <v>153</v>
      </c>
    </row>
    <row r="66" spans="1:20" s="135" customFormat="1" x14ac:dyDescent="0.25">
      <c r="A66" s="129"/>
      <c r="B66" s="130">
        <v>4</v>
      </c>
      <c r="C66" s="27" t="s">
        <v>37</v>
      </c>
      <c r="D66" s="25">
        <v>71.400000000000006</v>
      </c>
      <c r="E66" s="29">
        <v>1</v>
      </c>
      <c r="F66" s="132">
        <f t="shared" si="24"/>
        <v>6568.8</v>
      </c>
      <c r="G66" s="26">
        <v>0</v>
      </c>
      <c r="H66" s="140">
        <v>0</v>
      </c>
      <c r="I66" s="26">
        <v>0</v>
      </c>
      <c r="J66" s="26">
        <v>0</v>
      </c>
      <c r="K66" s="26">
        <v>0</v>
      </c>
      <c r="L66" s="26">
        <v>0</v>
      </c>
      <c r="M66" s="26">
        <f>+D66*E66*31</f>
        <v>2213.4</v>
      </c>
      <c r="N66" s="26">
        <f>+D66*E66*31</f>
        <v>2213.4</v>
      </c>
      <c r="O66" s="26">
        <f>+D66*E66*30</f>
        <v>2142</v>
      </c>
      <c r="P66" s="26">
        <v>0</v>
      </c>
      <c r="Q66" s="26">
        <v>0</v>
      </c>
      <c r="R66" s="133">
        <v>0</v>
      </c>
      <c r="S66" s="134">
        <f>31+31+30</f>
        <v>92</v>
      </c>
    </row>
    <row r="67" spans="1:20" x14ac:dyDescent="0.25">
      <c r="A67" s="46"/>
      <c r="B67" s="121">
        <v>1</v>
      </c>
      <c r="C67" s="122" t="s">
        <v>43</v>
      </c>
      <c r="D67" s="123">
        <v>72.540000000000006</v>
      </c>
      <c r="E67" s="20">
        <v>6</v>
      </c>
      <c r="F67" s="124">
        <f>+E67*S67*D67</f>
        <v>92270.88</v>
      </c>
      <c r="G67" s="125">
        <f>E67*D67*31</f>
        <v>13492.44</v>
      </c>
      <c r="H67" s="126">
        <f>E67*D67*28</f>
        <v>12186.720000000001</v>
      </c>
      <c r="I67" s="125">
        <f>E67*D67*31</f>
        <v>13492.44</v>
      </c>
      <c r="J67" s="125">
        <f>E67*D67*30</f>
        <v>13057.2</v>
      </c>
      <c r="K67" s="125">
        <f>E67*D67*31</f>
        <v>13492.44</v>
      </c>
      <c r="L67" s="125">
        <f>E67*D67*30</f>
        <v>13057.2</v>
      </c>
      <c r="M67" s="125">
        <f>E67*D67*31</f>
        <v>13492.44</v>
      </c>
      <c r="N67" s="125">
        <v>0</v>
      </c>
      <c r="O67" s="125">
        <v>0</v>
      </c>
      <c r="P67" s="125">
        <v>0</v>
      </c>
      <c r="Q67" s="125">
        <v>0</v>
      </c>
      <c r="R67" s="127">
        <v>0</v>
      </c>
      <c r="S67" s="128">
        <v>212</v>
      </c>
    </row>
    <row r="68" spans="1:20" x14ac:dyDescent="0.25">
      <c r="A68" s="46"/>
      <c r="B68" s="121">
        <v>2</v>
      </c>
      <c r="C68" s="122" t="s">
        <v>34</v>
      </c>
      <c r="D68" s="123">
        <v>71.400000000000006</v>
      </c>
      <c r="E68" s="20">
        <v>4</v>
      </c>
      <c r="F68" s="124">
        <f>+E68*S68*D68</f>
        <v>60547.200000000004</v>
      </c>
      <c r="G68" s="125">
        <f>E68*D68*31</f>
        <v>8853.6</v>
      </c>
      <c r="H68" s="126">
        <f>E68*D68*28</f>
        <v>7996.8000000000011</v>
      </c>
      <c r="I68" s="125">
        <f>E68*D68*31</f>
        <v>8853.6</v>
      </c>
      <c r="J68" s="125">
        <f>E68*D68*30</f>
        <v>8568</v>
      </c>
      <c r="K68" s="125">
        <f>E68*D68*31</f>
        <v>8853.6</v>
      </c>
      <c r="L68" s="125">
        <f>E68*D68*30</f>
        <v>8568</v>
      </c>
      <c r="M68" s="125">
        <f>E68*D68*31</f>
        <v>8853.6</v>
      </c>
      <c r="N68" s="125">
        <v>0</v>
      </c>
      <c r="O68" s="125">
        <v>0</v>
      </c>
      <c r="P68" s="125">
        <v>0</v>
      </c>
      <c r="Q68" s="125">
        <v>0</v>
      </c>
      <c r="R68" s="127">
        <v>0</v>
      </c>
      <c r="S68" s="128">
        <v>212</v>
      </c>
    </row>
    <row r="69" spans="1:20" s="135" customFormat="1" x14ac:dyDescent="0.25">
      <c r="A69" s="129"/>
      <c r="B69" s="130">
        <v>3</v>
      </c>
      <c r="C69" s="27" t="s">
        <v>43</v>
      </c>
      <c r="D69" s="25">
        <v>72.540000000000006</v>
      </c>
      <c r="E69" s="29">
        <v>6</v>
      </c>
      <c r="F69" s="132">
        <f>+E69*S69*D69</f>
        <v>66591.72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f t="shared" ref="N69:N70" si="33">+D69*E69*31</f>
        <v>13492.44</v>
      </c>
      <c r="O69" s="26">
        <f t="shared" ref="O69:O70" si="34">+D69*E69*30</f>
        <v>13057.2</v>
      </c>
      <c r="P69" s="26">
        <f t="shared" ref="P69:P70" si="35">+D69*E69*31</f>
        <v>13492.44</v>
      </c>
      <c r="Q69" s="26">
        <f t="shared" ref="Q69:Q70" si="36">+D69*E69*30</f>
        <v>13057.2</v>
      </c>
      <c r="R69" s="133">
        <f t="shared" ref="R69:R70" si="37">+D69*E69*31</f>
        <v>13492.44</v>
      </c>
      <c r="S69" s="134">
        <f t="shared" ref="S69:S70" si="38">31+30+31+30+31</f>
        <v>153</v>
      </c>
    </row>
    <row r="70" spans="1:20" s="135" customFormat="1" x14ac:dyDescent="0.25">
      <c r="A70" s="129"/>
      <c r="B70" s="130">
        <v>4</v>
      </c>
      <c r="C70" s="27" t="s">
        <v>34</v>
      </c>
      <c r="D70" s="25">
        <v>71.400000000000006</v>
      </c>
      <c r="E70" s="29">
        <v>4</v>
      </c>
      <c r="F70" s="132">
        <f>+E70*S70*D70</f>
        <v>43696.800000000003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f t="shared" si="33"/>
        <v>8853.6</v>
      </c>
      <c r="O70" s="26">
        <f t="shared" si="34"/>
        <v>8568</v>
      </c>
      <c r="P70" s="26">
        <f t="shared" si="35"/>
        <v>8853.6</v>
      </c>
      <c r="Q70" s="26">
        <f t="shared" si="36"/>
        <v>8568</v>
      </c>
      <c r="R70" s="133">
        <f t="shared" si="37"/>
        <v>8853.6</v>
      </c>
      <c r="S70" s="134">
        <f t="shared" si="38"/>
        <v>153</v>
      </c>
    </row>
    <row r="71" spans="1:20" ht="15.75" thickBot="1" x14ac:dyDescent="0.3">
      <c r="A71" s="46"/>
      <c r="B71" s="176"/>
      <c r="C71" s="170" t="s">
        <v>123</v>
      </c>
      <c r="D71" s="171"/>
      <c r="E71" s="172"/>
      <c r="F71" s="179">
        <f xml:space="preserve"> 263112-SUM(F67:F70)</f>
        <v>5.3999999999650754</v>
      </c>
      <c r="G71" s="180"/>
      <c r="H71" s="185"/>
      <c r="I71" s="182"/>
      <c r="J71" s="182"/>
      <c r="K71" s="182"/>
      <c r="L71" s="182"/>
      <c r="M71" s="182"/>
      <c r="N71" s="182"/>
      <c r="O71" s="182"/>
      <c r="P71" s="182"/>
      <c r="Q71" s="182"/>
      <c r="R71" s="186">
        <f>F71</f>
        <v>5.3999999999650754</v>
      </c>
    </row>
    <row r="72" spans="1:20" x14ac:dyDescent="0.25">
      <c r="A72" s="46"/>
      <c r="B72" s="144"/>
      <c r="C72" s="594" t="s">
        <v>44</v>
      </c>
      <c r="D72" s="594"/>
      <c r="E72" s="187"/>
      <c r="F72" s="146"/>
      <c r="G72" s="147"/>
      <c r="H72" s="147"/>
      <c r="I72" s="147"/>
      <c r="J72" s="147"/>
      <c r="K72" s="147"/>
      <c r="L72" s="147"/>
      <c r="M72" s="147"/>
      <c r="N72" s="188"/>
      <c r="O72" s="188"/>
      <c r="P72" s="188"/>
      <c r="Q72" s="147"/>
      <c r="R72" s="189"/>
    </row>
    <row r="73" spans="1:20" ht="24" customHeight="1" x14ac:dyDescent="0.25">
      <c r="A73" s="46"/>
      <c r="B73" s="190"/>
      <c r="C73" s="595" t="s">
        <v>126</v>
      </c>
      <c r="D73" s="595"/>
      <c r="E73" s="151" t="e">
        <f>E75+#REF!+#REF!+#REF!+#REF!+#REF!+#REF!+#REF!+#REF!</f>
        <v>#REF!</v>
      </c>
      <c r="F73" s="152" t="e">
        <f>F75+#REF!+#REF!+#REF!+#REF!+#REF!+#REF!+#REF!+#REF!</f>
        <v>#REF!</v>
      </c>
      <c r="G73" s="191" t="e">
        <f>G75+#REF!+#REF!+#REF!+#REF!+#REF!+#REF!+#REF!+#REF!</f>
        <v>#REF!</v>
      </c>
      <c r="H73" s="191" t="e">
        <f>H75+#REF!+#REF!+#REF!+#REF!+#REF!+#REF!+#REF!+#REF!</f>
        <v>#REF!</v>
      </c>
      <c r="I73" s="191" t="e">
        <f>I75+#REF!+#REF!+#REF!+#REF!+#REF!+#REF!+#REF!+#REF!</f>
        <v>#REF!</v>
      </c>
      <c r="J73" s="191" t="e">
        <f>J75+#REF!+#REF!+#REF!+#REF!+#REF!+#REF!+#REF!+#REF!</f>
        <v>#REF!</v>
      </c>
      <c r="K73" s="191" t="e">
        <f>K75+#REF!+#REF!+#REF!+#REF!+#REF!+#REF!+#REF!+#REF!</f>
        <v>#REF!</v>
      </c>
      <c r="L73" s="191" t="e">
        <f>L75+#REF!+#REF!+#REF!+#REF!+#REF!+#REF!+#REF!+#REF!</f>
        <v>#REF!</v>
      </c>
      <c r="M73" s="191" t="e">
        <f>M75+#REF!+#REF!+#REF!+#REF!+#REF!+#REF!+#REF!+#REF!</f>
        <v>#REF!</v>
      </c>
      <c r="N73" s="191" t="e">
        <f>N75+#REF!+#REF!+#REF!+#REF!+#REF!+#REF!+#REF!+#REF!</f>
        <v>#REF!</v>
      </c>
      <c r="O73" s="191" t="e">
        <f>O75+#REF!+#REF!+#REF!+#REF!+#REF!+#REF!+#REF!+#REF!</f>
        <v>#REF!</v>
      </c>
      <c r="P73" s="191" t="e">
        <f>P75+#REF!+#REF!+#REF!+#REF!+#REF!+#REF!+#REF!+#REF!</f>
        <v>#REF!</v>
      </c>
      <c r="Q73" s="191" t="e">
        <f>Q75+#REF!+#REF!+#REF!+#REF!+#REF!+#REF!+#REF!+#REF!</f>
        <v>#REF!</v>
      </c>
      <c r="R73" s="154" t="e">
        <f>R75+#REF!+#REF!+#REF!+#REF!+#REF!+#REF!+#REF!+#REF!</f>
        <v>#REF!</v>
      </c>
      <c r="S73" s="16" t="e">
        <f>F73-SUM(G73:R73)</f>
        <v>#REF!</v>
      </c>
      <c r="T73" s="76"/>
    </row>
    <row r="74" spans="1:20" x14ac:dyDescent="0.25">
      <c r="A74" s="46"/>
      <c r="B74" s="192"/>
      <c r="C74" s="193"/>
      <c r="D74" s="194"/>
      <c r="E74" s="195"/>
      <c r="F74" s="196" t="e">
        <f>+F76+#REF!+#REF!+#REF!+#REF!+#REF!+#REF!+#REF!+#REF!</f>
        <v>#REF!</v>
      </c>
      <c r="G74" s="197"/>
      <c r="H74" s="100"/>
      <c r="I74" s="100"/>
      <c r="J74" s="100"/>
      <c r="K74" s="100"/>
      <c r="L74" s="197"/>
      <c r="M74" s="197"/>
      <c r="N74" s="198"/>
      <c r="O74" s="198"/>
      <c r="P74" s="198"/>
      <c r="Q74" s="197"/>
      <c r="R74" s="199"/>
    </row>
    <row r="75" spans="1:20" ht="43.15" customHeight="1" x14ac:dyDescent="0.25">
      <c r="A75" s="46"/>
      <c r="B75" s="116"/>
      <c r="C75" s="596" t="s">
        <v>127</v>
      </c>
      <c r="D75" s="596"/>
      <c r="E75" s="200">
        <f t="shared" ref="E75:R75" si="39">SUM(E78:E115)</f>
        <v>170</v>
      </c>
      <c r="F75" s="201">
        <f t="shared" si="39"/>
        <v>2137995.0499999993</v>
      </c>
      <c r="G75" s="202">
        <f t="shared" si="39"/>
        <v>183838.99</v>
      </c>
      <c r="H75" s="162">
        <f t="shared" si="39"/>
        <v>164048.92000000007</v>
      </c>
      <c r="I75" s="203">
        <f t="shared" si="39"/>
        <v>178555.39</v>
      </c>
      <c r="J75" s="203">
        <f t="shared" si="39"/>
        <v>171839.69999999998</v>
      </c>
      <c r="K75" s="203">
        <f t="shared" si="39"/>
        <v>190621.99</v>
      </c>
      <c r="L75" s="202">
        <f t="shared" si="39"/>
        <v>177908.69999999998</v>
      </c>
      <c r="M75" s="202">
        <f t="shared" si="39"/>
        <v>186052.38999999998</v>
      </c>
      <c r="N75" s="202">
        <f t="shared" si="39"/>
        <v>180625.99</v>
      </c>
      <c r="O75" s="204">
        <f t="shared" si="39"/>
        <v>178622.69999999998</v>
      </c>
      <c r="P75" s="204">
        <f t="shared" si="39"/>
        <v>177198.79</v>
      </c>
      <c r="Q75" s="204">
        <f t="shared" si="39"/>
        <v>171482.7</v>
      </c>
      <c r="R75" s="205">
        <f t="shared" si="39"/>
        <v>177198.79</v>
      </c>
      <c r="S75" s="206">
        <f>F75-SUM(G75:R75)</f>
        <v>0</v>
      </c>
      <c r="T75" s="16"/>
    </row>
    <row r="76" spans="1:20" x14ac:dyDescent="0.25">
      <c r="A76" s="46"/>
      <c r="B76" s="207"/>
      <c r="C76" s="208"/>
      <c r="D76" s="208"/>
      <c r="E76" s="160"/>
      <c r="F76" s="201">
        <f>SUM(F78:F115)</f>
        <v>2137995.0499999993</v>
      </c>
      <c r="G76" s="162"/>
      <c r="H76" s="162"/>
      <c r="I76" s="203"/>
      <c r="J76" s="203"/>
      <c r="K76" s="209"/>
      <c r="L76" s="203"/>
      <c r="M76" s="162"/>
      <c r="N76" s="203"/>
      <c r="O76" s="203"/>
      <c r="P76" s="203"/>
      <c r="Q76" s="209"/>
      <c r="R76" s="210"/>
      <c r="S76" s="206"/>
      <c r="T76" s="16"/>
    </row>
    <row r="77" spans="1:20" ht="16.899999999999999" customHeight="1" x14ac:dyDescent="0.25">
      <c r="A77" s="46"/>
      <c r="B77" s="121"/>
      <c r="C77" s="110"/>
      <c r="D77" s="110"/>
      <c r="E77" s="211" t="s">
        <v>122</v>
      </c>
      <c r="F77" s="212">
        <v>0</v>
      </c>
      <c r="G77" s="213"/>
      <c r="H77" s="213"/>
      <c r="I77" s="213"/>
      <c r="J77" s="214"/>
      <c r="K77" s="213"/>
      <c r="L77" s="213"/>
      <c r="M77" s="213"/>
      <c r="N77" s="213"/>
      <c r="O77" s="213"/>
      <c r="P77" s="213"/>
      <c r="Q77" s="213"/>
      <c r="R77" s="215"/>
    </row>
    <row r="78" spans="1:20" x14ac:dyDescent="0.25">
      <c r="A78" s="46"/>
      <c r="B78" s="184">
        <v>1</v>
      </c>
      <c r="C78" s="216" t="s">
        <v>43</v>
      </c>
      <c r="D78" s="217">
        <v>72.540000000000006</v>
      </c>
      <c r="E78" s="218">
        <v>6</v>
      </c>
      <c r="F78" s="219">
        <f t="shared" ref="F78:F141" si="40">+E78*S78*D78</f>
        <v>92270.88</v>
      </c>
      <c r="G78" s="220">
        <f t="shared" ref="G78:G86" si="41">E78*D78*31</f>
        <v>13492.44</v>
      </c>
      <c r="H78" s="221">
        <f t="shared" ref="H78:H86" si="42">E78*D78*28</f>
        <v>12186.720000000001</v>
      </c>
      <c r="I78" s="220">
        <f t="shared" ref="I78:I86" si="43">E78*D78*31</f>
        <v>13492.44</v>
      </c>
      <c r="J78" s="125">
        <f t="shared" ref="J78:J84" si="44">E78*D78*30</f>
        <v>13057.2</v>
      </c>
      <c r="K78" s="125">
        <f t="shared" ref="K78:K84" si="45">E78*D78*31</f>
        <v>13492.44</v>
      </c>
      <c r="L78" s="125">
        <f t="shared" ref="L78:L84" si="46">E78*D78*30</f>
        <v>13057.2</v>
      </c>
      <c r="M78" s="125">
        <f t="shared" ref="M78:M86" si="47">E78*D78*31</f>
        <v>13492.44</v>
      </c>
      <c r="N78" s="125">
        <v>0</v>
      </c>
      <c r="O78" s="125">
        <v>0</v>
      </c>
      <c r="P78" s="125">
        <v>0</v>
      </c>
      <c r="Q78" s="125">
        <v>0</v>
      </c>
      <c r="R78" s="127">
        <v>0</v>
      </c>
      <c r="S78" s="128">
        <v>212</v>
      </c>
    </row>
    <row r="79" spans="1:20" x14ac:dyDescent="0.25">
      <c r="A79" s="46"/>
      <c r="B79" s="121">
        <v>2</v>
      </c>
      <c r="C79" s="122" t="s">
        <v>47</v>
      </c>
      <c r="D79" s="123">
        <v>71.400000000000006</v>
      </c>
      <c r="E79" s="20">
        <v>1</v>
      </c>
      <c r="F79" s="124">
        <f t="shared" si="40"/>
        <v>15136.800000000001</v>
      </c>
      <c r="G79" s="220">
        <f t="shared" si="41"/>
        <v>2213.4</v>
      </c>
      <c r="H79" s="221">
        <f t="shared" si="42"/>
        <v>1999.2000000000003</v>
      </c>
      <c r="I79" s="220">
        <f t="shared" si="43"/>
        <v>2213.4</v>
      </c>
      <c r="J79" s="125">
        <f t="shared" si="44"/>
        <v>2142</v>
      </c>
      <c r="K79" s="125">
        <f t="shared" si="45"/>
        <v>2213.4</v>
      </c>
      <c r="L79" s="125">
        <f t="shared" si="46"/>
        <v>2142</v>
      </c>
      <c r="M79" s="125">
        <f t="shared" si="47"/>
        <v>2213.4</v>
      </c>
      <c r="N79" s="125">
        <v>0</v>
      </c>
      <c r="O79" s="125">
        <v>0</v>
      </c>
      <c r="P79" s="125">
        <v>0</v>
      </c>
      <c r="Q79" s="125">
        <v>0</v>
      </c>
      <c r="R79" s="127">
        <v>0</v>
      </c>
      <c r="S79" s="128">
        <v>212</v>
      </c>
    </row>
    <row r="80" spans="1:20" x14ac:dyDescent="0.25">
      <c r="A80" s="46"/>
      <c r="B80" s="121">
        <v>3</v>
      </c>
      <c r="C80" s="122" t="s">
        <v>48</v>
      </c>
      <c r="D80" s="123">
        <v>74.63</v>
      </c>
      <c r="E80" s="20">
        <v>1</v>
      </c>
      <c r="F80" s="124">
        <f t="shared" si="40"/>
        <v>15821.56</v>
      </c>
      <c r="G80" s="220">
        <f t="shared" si="41"/>
        <v>2313.5299999999997</v>
      </c>
      <c r="H80" s="221">
        <f t="shared" si="42"/>
        <v>2089.64</v>
      </c>
      <c r="I80" s="220">
        <f t="shared" si="43"/>
        <v>2313.5299999999997</v>
      </c>
      <c r="J80" s="125">
        <f t="shared" si="44"/>
        <v>2238.8999999999996</v>
      </c>
      <c r="K80" s="125">
        <f t="shared" si="45"/>
        <v>2313.5299999999997</v>
      </c>
      <c r="L80" s="125">
        <f t="shared" si="46"/>
        <v>2238.8999999999996</v>
      </c>
      <c r="M80" s="125">
        <f t="shared" si="47"/>
        <v>2313.5299999999997</v>
      </c>
      <c r="N80" s="125">
        <v>0</v>
      </c>
      <c r="O80" s="125">
        <v>0</v>
      </c>
      <c r="P80" s="125">
        <v>0</v>
      </c>
      <c r="Q80" s="125">
        <v>0</v>
      </c>
      <c r="R80" s="127">
        <v>0</v>
      </c>
      <c r="S80" s="128">
        <v>212</v>
      </c>
    </row>
    <row r="81" spans="1:19" x14ac:dyDescent="0.25">
      <c r="A81" s="46"/>
      <c r="B81" s="121">
        <v>4</v>
      </c>
      <c r="C81" s="122" t="s">
        <v>34</v>
      </c>
      <c r="D81" s="123">
        <v>71.400000000000006</v>
      </c>
      <c r="E81" s="20">
        <v>5</v>
      </c>
      <c r="F81" s="124">
        <f t="shared" si="40"/>
        <v>75684</v>
      </c>
      <c r="G81" s="220">
        <f t="shared" si="41"/>
        <v>11067</v>
      </c>
      <c r="H81" s="221">
        <f t="shared" si="42"/>
        <v>9996</v>
      </c>
      <c r="I81" s="220">
        <f t="shared" si="43"/>
        <v>11067</v>
      </c>
      <c r="J81" s="125">
        <f t="shared" si="44"/>
        <v>10710</v>
      </c>
      <c r="K81" s="125">
        <f t="shared" si="45"/>
        <v>11067</v>
      </c>
      <c r="L81" s="125">
        <f t="shared" si="46"/>
        <v>10710</v>
      </c>
      <c r="M81" s="125">
        <f t="shared" si="47"/>
        <v>11067</v>
      </c>
      <c r="N81" s="125">
        <v>0</v>
      </c>
      <c r="O81" s="125">
        <v>0</v>
      </c>
      <c r="P81" s="125">
        <v>0</v>
      </c>
      <c r="Q81" s="125">
        <v>0</v>
      </c>
      <c r="R81" s="127">
        <v>0</v>
      </c>
      <c r="S81" s="128">
        <v>212</v>
      </c>
    </row>
    <row r="82" spans="1:19" x14ac:dyDescent="0.25">
      <c r="A82" s="46"/>
      <c r="B82" s="184">
        <v>5</v>
      </c>
      <c r="C82" s="122" t="s">
        <v>49</v>
      </c>
      <c r="D82" s="123">
        <v>74.63</v>
      </c>
      <c r="E82" s="20">
        <v>1</v>
      </c>
      <c r="F82" s="124">
        <f t="shared" si="40"/>
        <v>15821.56</v>
      </c>
      <c r="G82" s="220">
        <f t="shared" si="41"/>
        <v>2313.5299999999997</v>
      </c>
      <c r="H82" s="221">
        <f t="shared" si="42"/>
        <v>2089.64</v>
      </c>
      <c r="I82" s="220">
        <f t="shared" si="43"/>
        <v>2313.5299999999997</v>
      </c>
      <c r="J82" s="125">
        <f t="shared" si="44"/>
        <v>2238.8999999999996</v>
      </c>
      <c r="K82" s="125">
        <f t="shared" si="45"/>
        <v>2313.5299999999997</v>
      </c>
      <c r="L82" s="125">
        <f t="shared" si="46"/>
        <v>2238.8999999999996</v>
      </c>
      <c r="M82" s="125">
        <f t="shared" si="47"/>
        <v>2313.5299999999997</v>
      </c>
      <c r="N82" s="125">
        <v>0</v>
      </c>
      <c r="O82" s="125">
        <v>0</v>
      </c>
      <c r="P82" s="125">
        <v>0</v>
      </c>
      <c r="Q82" s="125">
        <v>0</v>
      </c>
      <c r="R82" s="127">
        <v>0</v>
      </c>
      <c r="S82" s="128">
        <v>212</v>
      </c>
    </row>
    <row r="83" spans="1:19" x14ac:dyDescent="0.25">
      <c r="A83" s="46"/>
      <c r="B83" s="121">
        <v>6</v>
      </c>
      <c r="C83" s="122" t="s">
        <v>50</v>
      </c>
      <c r="D83" s="123">
        <v>74.63</v>
      </c>
      <c r="E83" s="20">
        <v>1</v>
      </c>
      <c r="F83" s="124">
        <f t="shared" si="40"/>
        <v>15821.56</v>
      </c>
      <c r="G83" s="220">
        <f t="shared" si="41"/>
        <v>2313.5299999999997</v>
      </c>
      <c r="H83" s="221">
        <f t="shared" si="42"/>
        <v>2089.64</v>
      </c>
      <c r="I83" s="220">
        <f t="shared" si="43"/>
        <v>2313.5299999999997</v>
      </c>
      <c r="J83" s="125">
        <f t="shared" si="44"/>
        <v>2238.8999999999996</v>
      </c>
      <c r="K83" s="125">
        <f t="shared" si="45"/>
        <v>2313.5299999999997</v>
      </c>
      <c r="L83" s="125">
        <f t="shared" si="46"/>
        <v>2238.8999999999996</v>
      </c>
      <c r="M83" s="125">
        <f t="shared" si="47"/>
        <v>2313.5299999999997</v>
      </c>
      <c r="N83" s="125">
        <v>0</v>
      </c>
      <c r="O83" s="125">
        <v>0</v>
      </c>
      <c r="P83" s="125">
        <v>0</v>
      </c>
      <c r="Q83" s="125">
        <v>0</v>
      </c>
      <c r="R83" s="127">
        <v>0</v>
      </c>
      <c r="S83" s="128">
        <v>212</v>
      </c>
    </row>
    <row r="84" spans="1:19" ht="15.75" customHeight="1" x14ac:dyDescent="0.25">
      <c r="A84" s="46"/>
      <c r="B84" s="121">
        <v>7</v>
      </c>
      <c r="C84" s="122" t="s">
        <v>52</v>
      </c>
      <c r="D84" s="123">
        <v>72.540000000000006</v>
      </c>
      <c r="E84" s="20">
        <v>1</v>
      </c>
      <c r="F84" s="124">
        <f t="shared" si="40"/>
        <v>15378.480000000001</v>
      </c>
      <c r="G84" s="220">
        <f t="shared" si="41"/>
        <v>2248.7400000000002</v>
      </c>
      <c r="H84" s="221">
        <f t="shared" si="42"/>
        <v>2031.1200000000001</v>
      </c>
      <c r="I84" s="220">
        <f t="shared" si="43"/>
        <v>2248.7400000000002</v>
      </c>
      <c r="J84" s="125">
        <f t="shared" si="44"/>
        <v>2176.2000000000003</v>
      </c>
      <c r="K84" s="125">
        <f t="shared" si="45"/>
        <v>2248.7400000000002</v>
      </c>
      <c r="L84" s="125">
        <f t="shared" si="46"/>
        <v>2176.2000000000003</v>
      </c>
      <c r="M84" s="125">
        <f t="shared" si="47"/>
        <v>2248.7400000000002</v>
      </c>
      <c r="N84" s="125">
        <v>0</v>
      </c>
      <c r="O84" s="125">
        <v>0</v>
      </c>
      <c r="P84" s="125">
        <v>0</v>
      </c>
      <c r="Q84" s="125">
        <v>0</v>
      </c>
      <c r="R84" s="127">
        <v>0</v>
      </c>
      <c r="S84" s="128">
        <v>212</v>
      </c>
    </row>
    <row r="85" spans="1:19" s="5" customFormat="1" x14ac:dyDescent="0.25">
      <c r="A85" s="115"/>
      <c r="B85" s="116">
        <v>8</v>
      </c>
      <c r="C85" s="18" t="s">
        <v>37</v>
      </c>
      <c r="D85" s="19">
        <v>71.400000000000006</v>
      </c>
      <c r="E85" s="24">
        <v>1</v>
      </c>
      <c r="F85" s="222">
        <f t="shared" si="40"/>
        <v>7925.4000000000005</v>
      </c>
      <c r="G85" s="223">
        <f t="shared" si="41"/>
        <v>2213.4</v>
      </c>
      <c r="H85" s="224">
        <f t="shared" si="42"/>
        <v>1999.2000000000003</v>
      </c>
      <c r="I85" s="223">
        <f t="shared" si="43"/>
        <v>2213.4</v>
      </c>
      <c r="J85" s="35">
        <v>0</v>
      </c>
      <c r="K85" s="35">
        <v>-714</v>
      </c>
      <c r="L85" s="35">
        <v>0</v>
      </c>
      <c r="M85" s="35">
        <f t="shared" si="47"/>
        <v>2213.4</v>
      </c>
      <c r="N85" s="35">
        <v>0</v>
      </c>
      <c r="O85" s="35">
        <v>0</v>
      </c>
      <c r="P85" s="35">
        <v>0</v>
      </c>
      <c r="Q85" s="35">
        <v>0</v>
      </c>
      <c r="R85" s="119">
        <v>0</v>
      </c>
      <c r="S85" s="120">
        <f>212-30-31-10-30</f>
        <v>111</v>
      </c>
    </row>
    <row r="86" spans="1:19" x14ac:dyDescent="0.25">
      <c r="A86" s="46"/>
      <c r="B86" s="184">
        <v>9</v>
      </c>
      <c r="C86" s="122" t="s">
        <v>38</v>
      </c>
      <c r="D86" s="123">
        <v>78.25</v>
      </c>
      <c r="E86" s="225">
        <v>6</v>
      </c>
      <c r="F86" s="226">
        <f t="shared" si="40"/>
        <v>99534</v>
      </c>
      <c r="G86" s="220">
        <f t="shared" si="41"/>
        <v>14554.5</v>
      </c>
      <c r="H86" s="221">
        <f t="shared" si="42"/>
        <v>13146</v>
      </c>
      <c r="I86" s="220">
        <f t="shared" si="43"/>
        <v>14554.5</v>
      </c>
      <c r="J86" s="125">
        <f>E86*D86*30</f>
        <v>14085</v>
      </c>
      <c r="K86" s="125">
        <f>E86*D86*31</f>
        <v>14554.5</v>
      </c>
      <c r="L86" s="125">
        <f>E86*D86*30</f>
        <v>14085</v>
      </c>
      <c r="M86" s="125">
        <f t="shared" si="47"/>
        <v>14554.5</v>
      </c>
      <c r="N86" s="125">
        <v>0</v>
      </c>
      <c r="O86" s="125">
        <v>0</v>
      </c>
      <c r="P86" s="125">
        <v>0</v>
      </c>
      <c r="Q86" s="125">
        <v>0</v>
      </c>
      <c r="R86" s="127">
        <v>0</v>
      </c>
      <c r="S86" s="128">
        <v>212</v>
      </c>
    </row>
    <row r="87" spans="1:19" x14ac:dyDescent="0.25">
      <c r="A87" s="46"/>
      <c r="B87" s="184">
        <v>9</v>
      </c>
      <c r="C87" s="122" t="s">
        <v>38</v>
      </c>
      <c r="D87" s="123">
        <v>78.25</v>
      </c>
      <c r="E87" s="225">
        <v>1</v>
      </c>
      <c r="F87" s="226">
        <f t="shared" si="40"/>
        <v>0</v>
      </c>
      <c r="G87" s="220">
        <v>0</v>
      </c>
      <c r="H87" s="221">
        <v>0</v>
      </c>
      <c r="I87" s="220">
        <v>0</v>
      </c>
      <c r="J87" s="125">
        <v>0</v>
      </c>
      <c r="K87" s="125">
        <v>0</v>
      </c>
      <c r="L87" s="125">
        <v>0</v>
      </c>
      <c r="M87" s="125">
        <v>0</v>
      </c>
      <c r="N87" s="125">
        <v>0</v>
      </c>
      <c r="O87" s="125">
        <v>0</v>
      </c>
      <c r="P87" s="125">
        <v>0</v>
      </c>
      <c r="Q87" s="125">
        <v>0</v>
      </c>
      <c r="R87" s="127">
        <v>0</v>
      </c>
      <c r="S87" s="128">
        <v>0</v>
      </c>
    </row>
    <row r="88" spans="1:19" s="5" customFormat="1" x14ac:dyDescent="0.25">
      <c r="A88" s="115"/>
      <c r="B88" s="116">
        <v>10</v>
      </c>
      <c r="C88" s="18" t="s">
        <v>31</v>
      </c>
      <c r="D88" s="19">
        <v>71.400000000000006</v>
      </c>
      <c r="E88" s="24">
        <v>44</v>
      </c>
      <c r="F88" s="222">
        <f t="shared" si="40"/>
        <v>666019.20000000007</v>
      </c>
      <c r="G88" s="223">
        <f>E88*D88*31</f>
        <v>97389.6</v>
      </c>
      <c r="H88" s="224">
        <f>E88*D88*28</f>
        <v>87964.800000000017</v>
      </c>
      <c r="I88" s="223">
        <f>E88*D88*31</f>
        <v>97389.6</v>
      </c>
      <c r="J88" s="35">
        <f>E88*D88*30</f>
        <v>94248.000000000015</v>
      </c>
      <c r="K88" s="35">
        <f>E88*D88*31</f>
        <v>97389.6</v>
      </c>
      <c r="L88" s="35">
        <f>E88*D88*30</f>
        <v>94248.000000000015</v>
      </c>
      <c r="M88" s="35">
        <f>E88*D88*31</f>
        <v>97389.6</v>
      </c>
      <c r="N88" s="35">
        <v>0</v>
      </c>
      <c r="O88" s="35">
        <v>0</v>
      </c>
      <c r="P88" s="35">
        <v>0</v>
      </c>
      <c r="Q88" s="35">
        <v>0</v>
      </c>
      <c r="R88" s="119">
        <v>0</v>
      </c>
      <c r="S88" s="120">
        <v>212</v>
      </c>
    </row>
    <row r="89" spans="1:19" s="5" customFormat="1" x14ac:dyDescent="0.25">
      <c r="A89" s="115"/>
      <c r="B89" s="116">
        <v>14</v>
      </c>
      <c r="C89" s="18" t="s">
        <v>31</v>
      </c>
      <c r="D89" s="19">
        <v>71.400000000000006</v>
      </c>
      <c r="E89" s="24">
        <v>1</v>
      </c>
      <c r="F89" s="222">
        <f t="shared" si="40"/>
        <v>6497.4000000000005</v>
      </c>
      <c r="G89" s="223">
        <v>0</v>
      </c>
      <c r="H89" s="224">
        <v>0</v>
      </c>
      <c r="I89" s="223">
        <v>0</v>
      </c>
      <c r="J89" s="35">
        <v>0</v>
      </c>
      <c r="K89" s="35">
        <f>+D89*E89*30+D89*E89*31</f>
        <v>4355.3999999999996</v>
      </c>
      <c r="L89" s="35">
        <f>E89*D89*30</f>
        <v>2142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119">
        <v>0</v>
      </c>
      <c r="S89" s="120">
        <f>30+31+30</f>
        <v>91</v>
      </c>
    </row>
    <row r="90" spans="1:19" s="5" customFormat="1" x14ac:dyDescent="0.25">
      <c r="A90" s="115"/>
      <c r="B90" s="116">
        <v>10</v>
      </c>
      <c r="C90" s="18" t="s">
        <v>31</v>
      </c>
      <c r="D90" s="19">
        <v>71.400000000000006</v>
      </c>
      <c r="E90" s="24">
        <v>1</v>
      </c>
      <c r="F90" s="222">
        <f t="shared" si="40"/>
        <v>8710.8000000000011</v>
      </c>
      <c r="G90" s="223">
        <f>E90*D90*31</f>
        <v>2213.4</v>
      </c>
      <c r="H90" s="227">
        <v>0</v>
      </c>
      <c r="I90" s="228">
        <v>0</v>
      </c>
      <c r="J90" s="35">
        <f>+D90*-4</f>
        <v>-285.60000000000002</v>
      </c>
      <c r="K90" s="35">
        <f>E90*D90*31+D90*E90*3</f>
        <v>2427.6</v>
      </c>
      <c r="L90" s="35">
        <f>E90*D90*30</f>
        <v>2142</v>
      </c>
      <c r="M90" s="35">
        <f>E90*D90*31</f>
        <v>2213.4</v>
      </c>
      <c r="N90" s="35">
        <v>0</v>
      </c>
      <c r="O90" s="35">
        <v>0</v>
      </c>
      <c r="P90" s="35">
        <v>0</v>
      </c>
      <c r="Q90" s="35">
        <v>0</v>
      </c>
      <c r="R90" s="119">
        <v>0</v>
      </c>
      <c r="S90" s="120">
        <f>212-28-31-30-4+3</f>
        <v>122</v>
      </c>
    </row>
    <row r="91" spans="1:19" s="5" customFormat="1" x14ac:dyDescent="0.25">
      <c r="A91" s="115"/>
      <c r="B91" s="116">
        <v>10</v>
      </c>
      <c r="C91" s="18" t="s">
        <v>31</v>
      </c>
      <c r="D91" s="19">
        <v>71.400000000000006</v>
      </c>
      <c r="E91" s="24">
        <v>1</v>
      </c>
      <c r="F91" s="222">
        <f t="shared" si="40"/>
        <v>8425.2000000000007</v>
      </c>
      <c r="G91" s="223">
        <f>E91*D91*31</f>
        <v>2213.4</v>
      </c>
      <c r="H91" s="228">
        <f>E91*D91*28</f>
        <v>1999.2000000000003</v>
      </c>
      <c r="I91" s="223">
        <f>E91*D91*8</f>
        <v>571.20000000000005</v>
      </c>
      <c r="J91" s="35">
        <f>E91*D91*30+E91*D91*9</f>
        <v>2784.6</v>
      </c>
      <c r="K91" s="35">
        <f>E91*D91*12</f>
        <v>856.80000000000007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119">
        <v>0</v>
      </c>
      <c r="S91" s="120">
        <f>31+28+8+30+9+12</f>
        <v>118</v>
      </c>
    </row>
    <row r="92" spans="1:19" s="5" customFormat="1" x14ac:dyDescent="0.25">
      <c r="A92" s="115"/>
      <c r="B92" s="116">
        <v>10</v>
      </c>
      <c r="C92" s="18" t="s">
        <v>31</v>
      </c>
      <c r="D92" s="19">
        <v>71.400000000000006</v>
      </c>
      <c r="E92" s="24">
        <v>1</v>
      </c>
      <c r="F92" s="222">
        <f t="shared" si="40"/>
        <v>4998</v>
      </c>
      <c r="G92" s="223">
        <f>E92*D92*31</f>
        <v>2213.4</v>
      </c>
      <c r="H92" s="228">
        <f>E92*D92*28</f>
        <v>1999.2000000000003</v>
      </c>
      <c r="I92" s="223">
        <f>E92*D92*11</f>
        <v>785.40000000000009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119">
        <v>0</v>
      </c>
      <c r="S92" s="120">
        <f>212-20-30-31-30-31</f>
        <v>70</v>
      </c>
    </row>
    <row r="93" spans="1:19" s="5" customFormat="1" x14ac:dyDescent="0.25">
      <c r="A93" s="115"/>
      <c r="B93" s="116">
        <v>11</v>
      </c>
      <c r="C93" s="18" t="s">
        <v>54</v>
      </c>
      <c r="D93" s="19">
        <v>72.540000000000006</v>
      </c>
      <c r="E93" s="24">
        <v>9</v>
      </c>
      <c r="F93" s="222">
        <f t="shared" si="40"/>
        <v>138406.32</v>
      </c>
      <c r="G93" s="223">
        <f>E93*D93*31</f>
        <v>20238.66</v>
      </c>
      <c r="H93" s="224">
        <f>E93*D93*28</f>
        <v>18280.080000000002</v>
      </c>
      <c r="I93" s="223">
        <f>E93*D93*31</f>
        <v>20238.66</v>
      </c>
      <c r="J93" s="35">
        <f>E93*D93*30</f>
        <v>19585.8</v>
      </c>
      <c r="K93" s="35">
        <f>E93*D93*31</f>
        <v>20238.66</v>
      </c>
      <c r="L93" s="35">
        <f>E93*D93*30</f>
        <v>19585.8</v>
      </c>
      <c r="M93" s="35">
        <f>E93*D93*31</f>
        <v>20238.66</v>
      </c>
      <c r="N93" s="35">
        <v>0</v>
      </c>
      <c r="O93" s="35">
        <v>0</v>
      </c>
      <c r="P93" s="35">
        <v>0</v>
      </c>
      <c r="Q93" s="35">
        <v>0</v>
      </c>
      <c r="R93" s="119">
        <v>0</v>
      </c>
      <c r="S93" s="120">
        <v>212</v>
      </c>
    </row>
    <row r="94" spans="1:19" s="5" customFormat="1" x14ac:dyDescent="0.25">
      <c r="A94" s="115"/>
      <c r="B94" s="116">
        <v>12</v>
      </c>
      <c r="C94" s="18" t="s">
        <v>55</v>
      </c>
      <c r="D94" s="19">
        <v>71.400000000000006</v>
      </c>
      <c r="E94" s="24">
        <v>1</v>
      </c>
      <c r="F94" s="222">
        <f t="shared" si="40"/>
        <v>15136.800000000001</v>
      </c>
      <c r="G94" s="223">
        <f>E94*D94*31</f>
        <v>2213.4</v>
      </c>
      <c r="H94" s="224">
        <f>E94*D94*28</f>
        <v>1999.2000000000003</v>
      </c>
      <c r="I94" s="223">
        <f>E94*D94*31</f>
        <v>2213.4</v>
      </c>
      <c r="J94" s="35">
        <f>E94*D94*30</f>
        <v>2142</v>
      </c>
      <c r="K94" s="35">
        <f>E94*D94*31</f>
        <v>2213.4</v>
      </c>
      <c r="L94" s="35">
        <f>E94*D94*30</f>
        <v>2142</v>
      </c>
      <c r="M94" s="35">
        <f>E94*D94*31</f>
        <v>2213.4</v>
      </c>
      <c r="N94" s="35">
        <v>0</v>
      </c>
      <c r="O94" s="35">
        <v>0</v>
      </c>
      <c r="P94" s="35">
        <v>0</v>
      </c>
      <c r="Q94" s="35">
        <v>0</v>
      </c>
      <c r="R94" s="119">
        <v>0</v>
      </c>
      <c r="S94" s="120">
        <v>212</v>
      </c>
    </row>
    <row r="95" spans="1:19" s="5" customFormat="1" x14ac:dyDescent="0.25">
      <c r="A95" s="115"/>
      <c r="B95" s="116">
        <v>15</v>
      </c>
      <c r="C95" s="18" t="s">
        <v>128</v>
      </c>
      <c r="D95" s="19">
        <v>71.400000000000006</v>
      </c>
      <c r="E95" s="24">
        <v>1</v>
      </c>
      <c r="F95" s="222">
        <f t="shared" si="40"/>
        <v>6497.4000000000005</v>
      </c>
      <c r="G95" s="223">
        <v>0</v>
      </c>
      <c r="H95" s="224">
        <v>0</v>
      </c>
      <c r="I95" s="223">
        <v>0</v>
      </c>
      <c r="J95" s="35">
        <v>0</v>
      </c>
      <c r="K95" s="35">
        <f>+D95*E95*30+D95*E95*31</f>
        <v>4355.3999999999996</v>
      </c>
      <c r="L95" s="35">
        <f>E95*D95*30</f>
        <v>2142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119">
        <v>0</v>
      </c>
      <c r="S95" s="120">
        <f>30+31+30</f>
        <v>91</v>
      </c>
    </row>
    <row r="96" spans="1:19" s="5" customFormat="1" x14ac:dyDescent="0.25">
      <c r="A96" s="115"/>
      <c r="B96" s="207">
        <v>16</v>
      </c>
      <c r="C96" s="18" t="s">
        <v>53</v>
      </c>
      <c r="D96" s="19">
        <v>71.400000000000006</v>
      </c>
      <c r="E96" s="24">
        <v>1</v>
      </c>
      <c r="F96" s="222">
        <f t="shared" si="40"/>
        <v>6497.4000000000005</v>
      </c>
      <c r="G96" s="223">
        <v>0</v>
      </c>
      <c r="H96" s="224">
        <v>0</v>
      </c>
      <c r="I96" s="223">
        <v>0</v>
      </c>
      <c r="J96" s="35">
        <v>0</v>
      </c>
      <c r="K96" s="35">
        <f>+D96*E96*30+D96*E96*31</f>
        <v>4355.3999999999996</v>
      </c>
      <c r="L96" s="35">
        <f>E96*D96*30</f>
        <v>2142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119">
        <v>0</v>
      </c>
      <c r="S96" s="120">
        <f>30+31+30</f>
        <v>91</v>
      </c>
    </row>
    <row r="97" spans="1:19" x14ac:dyDescent="0.25">
      <c r="A97" s="46"/>
      <c r="B97" s="184">
        <v>13</v>
      </c>
      <c r="C97" s="122" t="s">
        <v>56</v>
      </c>
      <c r="D97" s="123">
        <v>74.63</v>
      </c>
      <c r="E97" s="225">
        <v>2</v>
      </c>
      <c r="F97" s="226">
        <f t="shared" si="40"/>
        <v>31643.119999999999</v>
      </c>
      <c r="G97" s="220">
        <f>E97*D97*31</f>
        <v>4627.0599999999995</v>
      </c>
      <c r="H97" s="221">
        <f>E97*D97*28</f>
        <v>4179.28</v>
      </c>
      <c r="I97" s="220">
        <f>E97*D97*31</f>
        <v>4627.0599999999995</v>
      </c>
      <c r="J97" s="125">
        <f>E97*D97*30</f>
        <v>4477.7999999999993</v>
      </c>
      <c r="K97" s="125">
        <f>E97*D97*31</f>
        <v>4627.0599999999995</v>
      </c>
      <c r="L97" s="125">
        <f>E97*D97*30</f>
        <v>4477.7999999999993</v>
      </c>
      <c r="M97" s="125">
        <f>E97*D97*31</f>
        <v>4627.0599999999995</v>
      </c>
      <c r="N97" s="125">
        <v>0</v>
      </c>
      <c r="O97" s="125">
        <v>0</v>
      </c>
      <c r="P97" s="125">
        <v>0</v>
      </c>
      <c r="Q97" s="125">
        <v>0</v>
      </c>
      <c r="R97" s="127">
        <v>0</v>
      </c>
      <c r="S97" s="128">
        <v>212</v>
      </c>
    </row>
    <row r="98" spans="1:19" s="135" customFormat="1" x14ac:dyDescent="0.25">
      <c r="A98" s="129"/>
      <c r="B98" s="229">
        <v>1</v>
      </c>
      <c r="C98" s="230" t="s">
        <v>43</v>
      </c>
      <c r="D98" s="231">
        <v>72.540000000000006</v>
      </c>
      <c r="E98" s="232">
        <v>6</v>
      </c>
      <c r="F98" s="233">
        <f t="shared" si="40"/>
        <v>66591.72</v>
      </c>
      <c r="G98" s="234">
        <v>0</v>
      </c>
      <c r="H98" s="234">
        <v>0</v>
      </c>
      <c r="I98" s="234">
        <v>0</v>
      </c>
      <c r="J98" s="234">
        <v>0</v>
      </c>
      <c r="K98" s="234">
        <v>0</v>
      </c>
      <c r="L98" s="234">
        <v>0</v>
      </c>
      <c r="M98" s="234">
        <v>0</v>
      </c>
      <c r="N98" s="26">
        <f t="shared" ref="N98:N112" si="48">+D98*E98*31</f>
        <v>13492.44</v>
      </c>
      <c r="O98" s="26">
        <f t="shared" ref="O98:O112" si="49">+D98*E98*30</f>
        <v>13057.2</v>
      </c>
      <c r="P98" s="26">
        <f t="shared" ref="P98:P112" si="50">+D98*E98*31</f>
        <v>13492.44</v>
      </c>
      <c r="Q98" s="26">
        <f t="shared" ref="Q98:Q112" si="51">+D98*E98*30</f>
        <v>13057.2</v>
      </c>
      <c r="R98" s="133">
        <f t="shared" ref="R98:R112" si="52">+D98*E98*31</f>
        <v>13492.44</v>
      </c>
      <c r="S98" s="134">
        <f t="shared" ref="S98:S112" si="53">31+30+31+30+31</f>
        <v>153</v>
      </c>
    </row>
    <row r="99" spans="1:19" s="5" customFormat="1" x14ac:dyDescent="0.25">
      <c r="A99" s="115"/>
      <c r="B99" s="116">
        <v>2</v>
      </c>
      <c r="C99" s="18" t="s">
        <v>47</v>
      </c>
      <c r="D99" s="19">
        <v>71.400000000000006</v>
      </c>
      <c r="E99" s="21">
        <v>1</v>
      </c>
      <c r="F99" s="117">
        <f t="shared" si="40"/>
        <v>0</v>
      </c>
      <c r="G99" s="223">
        <v>0</v>
      </c>
      <c r="H99" s="223">
        <v>0</v>
      </c>
      <c r="I99" s="223">
        <v>0</v>
      </c>
      <c r="J99" s="223">
        <v>0</v>
      </c>
      <c r="K99" s="223">
        <v>0</v>
      </c>
      <c r="L99" s="223">
        <v>0</v>
      </c>
      <c r="M99" s="223">
        <v>0</v>
      </c>
      <c r="N99" s="35">
        <v>0</v>
      </c>
      <c r="O99" s="35">
        <v>0</v>
      </c>
      <c r="P99" s="35">
        <v>0</v>
      </c>
      <c r="Q99" s="35">
        <v>0</v>
      </c>
      <c r="R99" s="119">
        <v>0</v>
      </c>
      <c r="S99" s="120">
        <v>0</v>
      </c>
    </row>
    <row r="100" spans="1:19" s="135" customFormat="1" x14ac:dyDescent="0.25">
      <c r="A100" s="129"/>
      <c r="B100" s="130">
        <v>3</v>
      </c>
      <c r="C100" s="27" t="s">
        <v>48</v>
      </c>
      <c r="D100" s="25">
        <v>74.63</v>
      </c>
      <c r="E100" s="29">
        <v>1</v>
      </c>
      <c r="F100" s="132">
        <f t="shared" si="40"/>
        <v>11418.39</v>
      </c>
      <c r="G100" s="234">
        <v>0</v>
      </c>
      <c r="H100" s="234">
        <v>0</v>
      </c>
      <c r="I100" s="234">
        <v>0</v>
      </c>
      <c r="J100" s="234">
        <v>0</v>
      </c>
      <c r="K100" s="234">
        <v>0</v>
      </c>
      <c r="L100" s="234">
        <v>0</v>
      </c>
      <c r="M100" s="234">
        <v>0</v>
      </c>
      <c r="N100" s="26">
        <f t="shared" si="48"/>
        <v>2313.5299999999997</v>
      </c>
      <c r="O100" s="26">
        <f t="shared" si="49"/>
        <v>2238.8999999999996</v>
      </c>
      <c r="P100" s="26">
        <f t="shared" si="50"/>
        <v>2313.5299999999997</v>
      </c>
      <c r="Q100" s="26">
        <f t="shared" si="51"/>
        <v>2238.8999999999996</v>
      </c>
      <c r="R100" s="133">
        <f t="shared" si="52"/>
        <v>2313.5299999999997</v>
      </c>
      <c r="S100" s="134">
        <f t="shared" si="53"/>
        <v>153</v>
      </c>
    </row>
    <row r="101" spans="1:19" s="135" customFormat="1" x14ac:dyDescent="0.25">
      <c r="A101" s="129"/>
      <c r="B101" s="130">
        <v>4</v>
      </c>
      <c r="C101" s="27" t="s">
        <v>34</v>
      </c>
      <c r="D101" s="25">
        <v>71.400000000000006</v>
      </c>
      <c r="E101" s="29">
        <v>4</v>
      </c>
      <c r="F101" s="132">
        <f t="shared" si="40"/>
        <v>43696.800000000003</v>
      </c>
      <c r="G101" s="234">
        <v>0</v>
      </c>
      <c r="H101" s="234">
        <v>0</v>
      </c>
      <c r="I101" s="234">
        <v>0</v>
      </c>
      <c r="J101" s="234">
        <v>0</v>
      </c>
      <c r="K101" s="234">
        <v>0</v>
      </c>
      <c r="L101" s="234">
        <v>0</v>
      </c>
      <c r="M101" s="234">
        <v>0</v>
      </c>
      <c r="N101" s="26">
        <f t="shared" si="48"/>
        <v>8853.6</v>
      </c>
      <c r="O101" s="26">
        <f t="shared" si="49"/>
        <v>8568</v>
      </c>
      <c r="P101" s="26">
        <f t="shared" si="50"/>
        <v>8853.6</v>
      </c>
      <c r="Q101" s="26">
        <f t="shared" si="51"/>
        <v>8568</v>
      </c>
      <c r="R101" s="133">
        <f t="shared" si="52"/>
        <v>8853.6</v>
      </c>
      <c r="S101" s="134">
        <f t="shared" si="53"/>
        <v>153</v>
      </c>
    </row>
    <row r="102" spans="1:19" s="5" customFormat="1" x14ac:dyDescent="0.25">
      <c r="A102" s="115"/>
      <c r="B102" s="207">
        <v>17</v>
      </c>
      <c r="C102" s="18" t="s">
        <v>34</v>
      </c>
      <c r="D102" s="19">
        <v>71.400000000000006</v>
      </c>
      <c r="E102" s="24">
        <v>1</v>
      </c>
      <c r="F102" s="222">
        <f t="shared" si="40"/>
        <v>9424.8000000000011</v>
      </c>
      <c r="G102" s="223">
        <v>0</v>
      </c>
      <c r="H102" s="224">
        <v>0</v>
      </c>
      <c r="I102" s="223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f>+D102*E102*40</f>
        <v>2856</v>
      </c>
      <c r="P102" s="35">
        <f t="shared" si="50"/>
        <v>2213.4</v>
      </c>
      <c r="Q102" s="35">
        <f t="shared" si="51"/>
        <v>2142</v>
      </c>
      <c r="R102" s="119">
        <f t="shared" si="52"/>
        <v>2213.4</v>
      </c>
      <c r="S102" s="120">
        <f>40+31+30+31</f>
        <v>132</v>
      </c>
    </row>
    <row r="103" spans="1:19" s="135" customFormat="1" x14ac:dyDescent="0.25">
      <c r="A103" s="129"/>
      <c r="B103" s="229">
        <v>5</v>
      </c>
      <c r="C103" s="27" t="s">
        <v>49</v>
      </c>
      <c r="D103" s="25">
        <v>74.63</v>
      </c>
      <c r="E103" s="29">
        <v>1</v>
      </c>
      <c r="F103" s="132">
        <f t="shared" si="40"/>
        <v>11418.39</v>
      </c>
      <c r="G103" s="234">
        <v>0</v>
      </c>
      <c r="H103" s="234">
        <v>0</v>
      </c>
      <c r="I103" s="234">
        <v>0</v>
      </c>
      <c r="J103" s="234">
        <v>0</v>
      </c>
      <c r="K103" s="234">
        <v>0</v>
      </c>
      <c r="L103" s="234">
        <v>0</v>
      </c>
      <c r="M103" s="234">
        <v>0</v>
      </c>
      <c r="N103" s="26">
        <f t="shared" si="48"/>
        <v>2313.5299999999997</v>
      </c>
      <c r="O103" s="26">
        <f t="shared" si="49"/>
        <v>2238.8999999999996</v>
      </c>
      <c r="P103" s="26">
        <f t="shared" si="50"/>
        <v>2313.5299999999997</v>
      </c>
      <c r="Q103" s="26">
        <f t="shared" si="51"/>
        <v>2238.8999999999996</v>
      </c>
      <c r="R103" s="133">
        <f t="shared" si="52"/>
        <v>2313.5299999999997</v>
      </c>
      <c r="S103" s="134">
        <f t="shared" si="53"/>
        <v>153</v>
      </c>
    </row>
    <row r="104" spans="1:19" s="135" customFormat="1" x14ac:dyDescent="0.25">
      <c r="A104" s="129"/>
      <c r="B104" s="130">
        <v>6</v>
      </c>
      <c r="C104" s="27" t="s">
        <v>50</v>
      </c>
      <c r="D104" s="25">
        <v>74.63</v>
      </c>
      <c r="E104" s="29">
        <v>1</v>
      </c>
      <c r="F104" s="132">
        <f t="shared" si="40"/>
        <v>11418.39</v>
      </c>
      <c r="G104" s="234">
        <v>0</v>
      </c>
      <c r="H104" s="234">
        <v>0</v>
      </c>
      <c r="I104" s="234">
        <v>0</v>
      </c>
      <c r="J104" s="234">
        <v>0</v>
      </c>
      <c r="K104" s="234">
        <v>0</v>
      </c>
      <c r="L104" s="234">
        <v>0</v>
      </c>
      <c r="M104" s="234">
        <v>0</v>
      </c>
      <c r="N104" s="26">
        <f t="shared" si="48"/>
        <v>2313.5299999999997</v>
      </c>
      <c r="O104" s="26">
        <f t="shared" si="49"/>
        <v>2238.8999999999996</v>
      </c>
      <c r="P104" s="26">
        <f t="shared" si="50"/>
        <v>2313.5299999999997</v>
      </c>
      <c r="Q104" s="26">
        <f t="shared" si="51"/>
        <v>2238.8999999999996</v>
      </c>
      <c r="R104" s="133">
        <f t="shared" si="52"/>
        <v>2313.5299999999997</v>
      </c>
      <c r="S104" s="134">
        <f t="shared" si="53"/>
        <v>153</v>
      </c>
    </row>
    <row r="105" spans="1:19" s="135" customFormat="1" ht="15.75" customHeight="1" x14ac:dyDescent="0.25">
      <c r="A105" s="129"/>
      <c r="B105" s="130">
        <v>7</v>
      </c>
      <c r="C105" s="27" t="s">
        <v>52</v>
      </c>
      <c r="D105" s="25">
        <v>72.540000000000006</v>
      </c>
      <c r="E105" s="29">
        <v>1</v>
      </c>
      <c r="F105" s="132">
        <f t="shared" si="40"/>
        <v>11098.62</v>
      </c>
      <c r="G105" s="234">
        <v>0</v>
      </c>
      <c r="H105" s="234">
        <v>0</v>
      </c>
      <c r="I105" s="234">
        <v>0</v>
      </c>
      <c r="J105" s="234">
        <v>0</v>
      </c>
      <c r="K105" s="234">
        <v>0</v>
      </c>
      <c r="L105" s="234">
        <v>0</v>
      </c>
      <c r="M105" s="234">
        <v>0</v>
      </c>
      <c r="N105" s="26">
        <f t="shared" si="48"/>
        <v>2248.7400000000002</v>
      </c>
      <c r="O105" s="26">
        <f t="shared" si="49"/>
        <v>2176.2000000000003</v>
      </c>
      <c r="P105" s="26">
        <f t="shared" si="50"/>
        <v>2248.7400000000002</v>
      </c>
      <c r="Q105" s="26">
        <f t="shared" si="51"/>
        <v>2176.2000000000003</v>
      </c>
      <c r="R105" s="133">
        <f t="shared" si="52"/>
        <v>2248.7400000000002</v>
      </c>
      <c r="S105" s="134">
        <f t="shared" si="53"/>
        <v>153</v>
      </c>
    </row>
    <row r="106" spans="1:19" s="135" customFormat="1" x14ac:dyDescent="0.25">
      <c r="A106" s="129"/>
      <c r="B106" s="130">
        <v>8</v>
      </c>
      <c r="C106" s="27" t="s">
        <v>37</v>
      </c>
      <c r="D106" s="25">
        <v>71.400000000000006</v>
      </c>
      <c r="E106" s="235">
        <v>1</v>
      </c>
      <c r="F106" s="236">
        <f t="shared" si="40"/>
        <v>9924.6</v>
      </c>
      <c r="G106" s="234">
        <v>0</v>
      </c>
      <c r="H106" s="234">
        <v>0</v>
      </c>
      <c r="I106" s="234">
        <v>0</v>
      </c>
      <c r="J106" s="234">
        <v>0</v>
      </c>
      <c r="K106" s="234">
        <v>0</v>
      </c>
      <c r="L106" s="234">
        <v>0</v>
      </c>
      <c r="M106" s="234">
        <v>0</v>
      </c>
      <c r="N106" s="26">
        <f>+D106*E106*17</f>
        <v>1213.8000000000002</v>
      </c>
      <c r="O106" s="26">
        <f t="shared" si="49"/>
        <v>2142</v>
      </c>
      <c r="P106" s="26">
        <f t="shared" si="50"/>
        <v>2213.4</v>
      </c>
      <c r="Q106" s="26">
        <f t="shared" si="51"/>
        <v>2142</v>
      </c>
      <c r="R106" s="133">
        <f t="shared" si="52"/>
        <v>2213.4</v>
      </c>
      <c r="S106" s="134">
        <f>17+30+31+30+31</f>
        <v>139</v>
      </c>
    </row>
    <row r="107" spans="1:19" s="135" customFormat="1" x14ac:dyDescent="0.25">
      <c r="A107" s="129"/>
      <c r="B107" s="229">
        <v>9</v>
      </c>
      <c r="C107" s="27" t="s">
        <v>38</v>
      </c>
      <c r="D107" s="25">
        <v>78.25</v>
      </c>
      <c r="E107" s="235">
        <v>6</v>
      </c>
      <c r="F107" s="236">
        <f t="shared" si="40"/>
        <v>71833.5</v>
      </c>
      <c r="G107" s="234">
        <v>0</v>
      </c>
      <c r="H107" s="234">
        <v>0</v>
      </c>
      <c r="I107" s="234">
        <v>0</v>
      </c>
      <c r="J107" s="234">
        <v>0</v>
      </c>
      <c r="K107" s="234">
        <v>0</v>
      </c>
      <c r="L107" s="234">
        <v>0</v>
      </c>
      <c r="M107" s="234">
        <v>0</v>
      </c>
      <c r="N107" s="26">
        <f t="shared" si="48"/>
        <v>14554.5</v>
      </c>
      <c r="O107" s="26">
        <f t="shared" si="49"/>
        <v>14085</v>
      </c>
      <c r="P107" s="26">
        <f t="shared" si="50"/>
        <v>14554.5</v>
      </c>
      <c r="Q107" s="26">
        <f t="shared" si="51"/>
        <v>14085</v>
      </c>
      <c r="R107" s="133">
        <f t="shared" si="52"/>
        <v>14554.5</v>
      </c>
      <c r="S107" s="134">
        <f t="shared" si="53"/>
        <v>153</v>
      </c>
    </row>
    <row r="108" spans="1:19" s="135" customFormat="1" x14ac:dyDescent="0.25">
      <c r="A108" s="129"/>
      <c r="B108" s="130">
        <v>10</v>
      </c>
      <c r="C108" s="27" t="s">
        <v>31</v>
      </c>
      <c r="D108" s="25">
        <v>71.400000000000006</v>
      </c>
      <c r="E108" s="235">
        <v>45</v>
      </c>
      <c r="F108" s="236">
        <f t="shared" si="40"/>
        <v>491589.00000000006</v>
      </c>
      <c r="G108" s="234">
        <v>0</v>
      </c>
      <c r="H108" s="234">
        <v>0</v>
      </c>
      <c r="I108" s="234">
        <v>0</v>
      </c>
      <c r="J108" s="234">
        <v>0</v>
      </c>
      <c r="K108" s="234">
        <v>0</v>
      </c>
      <c r="L108" s="234">
        <v>0</v>
      </c>
      <c r="M108" s="234">
        <v>0</v>
      </c>
      <c r="N108" s="26">
        <f t="shared" si="48"/>
        <v>99603.000000000015</v>
      </c>
      <c r="O108" s="26">
        <f t="shared" si="49"/>
        <v>96390.000000000015</v>
      </c>
      <c r="P108" s="26">
        <f t="shared" si="50"/>
        <v>99603.000000000015</v>
      </c>
      <c r="Q108" s="26">
        <f t="shared" si="51"/>
        <v>96390.000000000015</v>
      </c>
      <c r="R108" s="133">
        <f t="shared" si="52"/>
        <v>99603.000000000015</v>
      </c>
      <c r="S108" s="134">
        <f t="shared" si="53"/>
        <v>153</v>
      </c>
    </row>
    <row r="109" spans="1:19" s="5" customFormat="1" x14ac:dyDescent="0.25">
      <c r="A109" s="115"/>
      <c r="B109" s="116">
        <v>10</v>
      </c>
      <c r="C109" s="18" t="s">
        <v>31</v>
      </c>
      <c r="D109" s="19">
        <v>71.400000000000006</v>
      </c>
      <c r="E109" s="24">
        <v>1</v>
      </c>
      <c r="F109" s="222">
        <f t="shared" si="40"/>
        <v>0</v>
      </c>
      <c r="G109" s="223">
        <v>0</v>
      </c>
      <c r="H109" s="223">
        <v>0</v>
      </c>
      <c r="I109" s="223">
        <v>0</v>
      </c>
      <c r="J109" s="223">
        <v>0</v>
      </c>
      <c r="K109" s="223">
        <v>0</v>
      </c>
      <c r="L109" s="223">
        <v>0</v>
      </c>
      <c r="M109" s="223">
        <v>0</v>
      </c>
      <c r="N109" s="35">
        <v>0</v>
      </c>
      <c r="O109" s="35">
        <v>0</v>
      </c>
      <c r="P109" s="35">
        <v>0</v>
      </c>
      <c r="Q109" s="35">
        <v>0</v>
      </c>
      <c r="R109" s="119">
        <v>0</v>
      </c>
      <c r="S109" s="120">
        <v>0</v>
      </c>
    </row>
    <row r="110" spans="1:19" s="135" customFormat="1" x14ac:dyDescent="0.25">
      <c r="A110" s="129"/>
      <c r="B110" s="130">
        <v>11</v>
      </c>
      <c r="C110" s="27" t="s">
        <v>54</v>
      </c>
      <c r="D110" s="25">
        <v>72.540000000000006</v>
      </c>
      <c r="E110" s="235">
        <v>9</v>
      </c>
      <c r="F110" s="236">
        <f t="shared" si="40"/>
        <v>99887.58</v>
      </c>
      <c r="G110" s="234">
        <v>0</v>
      </c>
      <c r="H110" s="234">
        <v>0</v>
      </c>
      <c r="I110" s="234">
        <v>0</v>
      </c>
      <c r="J110" s="234">
        <v>0</v>
      </c>
      <c r="K110" s="234">
        <v>0</v>
      </c>
      <c r="L110" s="234">
        <v>0</v>
      </c>
      <c r="M110" s="234">
        <v>0</v>
      </c>
      <c r="N110" s="26">
        <f t="shared" si="48"/>
        <v>20238.66</v>
      </c>
      <c r="O110" s="26">
        <f t="shared" si="49"/>
        <v>19585.8</v>
      </c>
      <c r="P110" s="26">
        <f t="shared" si="50"/>
        <v>20238.66</v>
      </c>
      <c r="Q110" s="26">
        <f t="shared" si="51"/>
        <v>19585.8</v>
      </c>
      <c r="R110" s="133">
        <f t="shared" si="52"/>
        <v>20238.66</v>
      </c>
      <c r="S110" s="134">
        <f t="shared" si="53"/>
        <v>153</v>
      </c>
    </row>
    <row r="111" spans="1:19" s="135" customFormat="1" x14ac:dyDescent="0.25">
      <c r="A111" s="129"/>
      <c r="B111" s="130">
        <v>12</v>
      </c>
      <c r="C111" s="27" t="s">
        <v>55</v>
      </c>
      <c r="D111" s="25">
        <v>71.400000000000006</v>
      </c>
      <c r="E111" s="235">
        <v>1</v>
      </c>
      <c r="F111" s="236">
        <f t="shared" si="40"/>
        <v>10924.2</v>
      </c>
      <c r="G111" s="234">
        <v>0</v>
      </c>
      <c r="H111" s="234">
        <v>0</v>
      </c>
      <c r="I111" s="234">
        <v>0</v>
      </c>
      <c r="J111" s="234">
        <v>0</v>
      </c>
      <c r="K111" s="234">
        <v>0</v>
      </c>
      <c r="L111" s="234">
        <v>0</v>
      </c>
      <c r="M111" s="234">
        <v>0</v>
      </c>
      <c r="N111" s="26">
        <f t="shared" si="48"/>
        <v>2213.4</v>
      </c>
      <c r="O111" s="26">
        <f t="shared" si="49"/>
        <v>2142</v>
      </c>
      <c r="P111" s="26">
        <f t="shared" si="50"/>
        <v>2213.4</v>
      </c>
      <c r="Q111" s="26">
        <f t="shared" si="51"/>
        <v>2142</v>
      </c>
      <c r="R111" s="133">
        <f t="shared" si="52"/>
        <v>2213.4</v>
      </c>
      <c r="S111" s="134">
        <f t="shared" si="53"/>
        <v>153</v>
      </c>
    </row>
    <row r="112" spans="1:19" s="239" customFormat="1" x14ac:dyDescent="0.25">
      <c r="A112" s="237"/>
      <c r="B112" s="229">
        <v>13</v>
      </c>
      <c r="C112" s="27" t="s">
        <v>56</v>
      </c>
      <c r="D112" s="25">
        <v>74.63</v>
      </c>
      <c r="E112" s="235">
        <v>2</v>
      </c>
      <c r="F112" s="236">
        <f t="shared" si="40"/>
        <v>22836.78</v>
      </c>
      <c r="G112" s="234">
        <v>0</v>
      </c>
      <c r="H112" s="234">
        <v>0</v>
      </c>
      <c r="I112" s="234">
        <v>0</v>
      </c>
      <c r="J112" s="234">
        <v>0</v>
      </c>
      <c r="K112" s="234">
        <v>0</v>
      </c>
      <c r="L112" s="234">
        <v>0</v>
      </c>
      <c r="M112" s="234">
        <v>0</v>
      </c>
      <c r="N112" s="26">
        <f t="shared" si="48"/>
        <v>4627.0599999999995</v>
      </c>
      <c r="O112" s="26">
        <f t="shared" si="49"/>
        <v>4477.7999999999993</v>
      </c>
      <c r="P112" s="26">
        <f t="shared" si="50"/>
        <v>4627.0599999999995</v>
      </c>
      <c r="Q112" s="26">
        <f t="shared" si="51"/>
        <v>4477.7999999999993</v>
      </c>
      <c r="R112" s="133">
        <f t="shared" si="52"/>
        <v>4627.0599999999995</v>
      </c>
      <c r="S112" s="238">
        <f t="shared" si="53"/>
        <v>153</v>
      </c>
    </row>
    <row r="113" spans="1:19" s="135" customFormat="1" x14ac:dyDescent="0.25">
      <c r="A113" s="129"/>
      <c r="B113" s="229">
        <v>14</v>
      </c>
      <c r="C113" s="230" t="s">
        <v>31</v>
      </c>
      <c r="D113" s="231">
        <v>71.400000000000006</v>
      </c>
      <c r="E113" s="240">
        <v>1</v>
      </c>
      <c r="F113" s="241">
        <f t="shared" si="40"/>
        <v>6568.8</v>
      </c>
      <c r="G113" s="234">
        <v>0</v>
      </c>
      <c r="H113" s="242">
        <v>0</v>
      </c>
      <c r="I113" s="234">
        <v>0</v>
      </c>
      <c r="J113" s="234">
        <v>0</v>
      </c>
      <c r="K113" s="234">
        <v>0</v>
      </c>
      <c r="L113" s="234">
        <v>0</v>
      </c>
      <c r="M113" s="234">
        <f t="shared" ref="M113:M128" si="54">E113*D113*31</f>
        <v>2213.4</v>
      </c>
      <c r="N113" s="234">
        <f>E113*D113*31</f>
        <v>2213.4</v>
      </c>
      <c r="O113" s="234">
        <f>E113*D113*30</f>
        <v>2142</v>
      </c>
      <c r="P113" s="234">
        <v>0</v>
      </c>
      <c r="Q113" s="234">
        <v>0</v>
      </c>
      <c r="R113" s="243">
        <v>0</v>
      </c>
      <c r="S113" s="134">
        <f>31+31+30</f>
        <v>92</v>
      </c>
    </row>
    <row r="114" spans="1:19" s="135" customFormat="1" x14ac:dyDescent="0.25">
      <c r="A114" s="129"/>
      <c r="B114" s="130">
        <v>15</v>
      </c>
      <c r="C114" s="27" t="s">
        <v>128</v>
      </c>
      <c r="D114" s="25">
        <v>71.400000000000006</v>
      </c>
      <c r="E114" s="235">
        <v>1</v>
      </c>
      <c r="F114" s="236">
        <f t="shared" si="40"/>
        <v>6568.8</v>
      </c>
      <c r="G114" s="234">
        <v>0</v>
      </c>
      <c r="H114" s="242">
        <v>0</v>
      </c>
      <c r="I114" s="234">
        <v>0</v>
      </c>
      <c r="J114" s="26">
        <v>0</v>
      </c>
      <c r="K114" s="26">
        <v>0</v>
      </c>
      <c r="L114" s="26">
        <v>0</v>
      </c>
      <c r="M114" s="26">
        <f t="shared" si="54"/>
        <v>2213.4</v>
      </c>
      <c r="N114" s="26">
        <f>E114*D114*31</f>
        <v>2213.4</v>
      </c>
      <c r="O114" s="26">
        <f>E114*D114*30</f>
        <v>2142</v>
      </c>
      <c r="P114" s="26">
        <v>0</v>
      </c>
      <c r="Q114" s="26">
        <v>0</v>
      </c>
      <c r="R114" s="133">
        <v>0</v>
      </c>
      <c r="S114" s="134">
        <f t="shared" ref="S114:S115" si="55">31+31+30</f>
        <v>92</v>
      </c>
    </row>
    <row r="115" spans="1:19" s="135" customFormat="1" x14ac:dyDescent="0.25">
      <c r="A115" s="129"/>
      <c r="B115" s="229">
        <v>16</v>
      </c>
      <c r="C115" s="27" t="s">
        <v>53</v>
      </c>
      <c r="D115" s="25">
        <v>71.400000000000006</v>
      </c>
      <c r="E115" s="235">
        <v>1</v>
      </c>
      <c r="F115" s="236">
        <f t="shared" si="40"/>
        <v>6568.8</v>
      </c>
      <c r="G115" s="234">
        <v>0</v>
      </c>
      <c r="H115" s="242">
        <v>0</v>
      </c>
      <c r="I115" s="234">
        <v>0</v>
      </c>
      <c r="J115" s="26">
        <v>0</v>
      </c>
      <c r="K115" s="26">
        <v>0</v>
      </c>
      <c r="L115" s="26">
        <v>0</v>
      </c>
      <c r="M115" s="26">
        <f t="shared" si="54"/>
        <v>2213.4</v>
      </c>
      <c r="N115" s="26">
        <f>E115*D115*31</f>
        <v>2213.4</v>
      </c>
      <c r="O115" s="26">
        <f>E115*D115*30</f>
        <v>2142</v>
      </c>
      <c r="P115" s="26">
        <v>0</v>
      </c>
      <c r="Q115" s="26">
        <v>0</v>
      </c>
      <c r="R115" s="133">
        <v>0</v>
      </c>
      <c r="S115" s="134">
        <f t="shared" si="55"/>
        <v>92</v>
      </c>
    </row>
    <row r="116" spans="1:19" x14ac:dyDescent="0.25">
      <c r="A116" s="46"/>
      <c r="B116" s="121">
        <v>1</v>
      </c>
      <c r="C116" s="122" t="s">
        <v>43</v>
      </c>
      <c r="D116" s="123">
        <v>72.540000000000006</v>
      </c>
      <c r="E116" s="20">
        <v>1</v>
      </c>
      <c r="F116" s="124">
        <f t="shared" si="40"/>
        <v>15378.480000000001</v>
      </c>
      <c r="G116" s="125">
        <f t="shared" ref="G116:G131" si="56">E116*D116*31</f>
        <v>2248.7400000000002</v>
      </c>
      <c r="H116" s="126">
        <f t="shared" ref="H116:H131" si="57">E116*D116*28</f>
        <v>2031.1200000000001</v>
      </c>
      <c r="I116" s="125">
        <f t="shared" ref="I116:I131" si="58">E116*D116*31</f>
        <v>2248.7400000000002</v>
      </c>
      <c r="J116" s="125">
        <f t="shared" ref="J116:J131" si="59">E116*D116*30</f>
        <v>2176.2000000000003</v>
      </c>
      <c r="K116" s="35">
        <f t="shared" ref="K116:K131" si="60">E116*D116*31</f>
        <v>2248.7400000000002</v>
      </c>
      <c r="L116" s="125">
        <f t="shared" ref="L116:L128" si="61">E116*D116*30</f>
        <v>2176.2000000000003</v>
      </c>
      <c r="M116" s="125">
        <f t="shared" si="54"/>
        <v>2248.7400000000002</v>
      </c>
      <c r="N116" s="125">
        <v>0</v>
      </c>
      <c r="O116" s="125">
        <v>0</v>
      </c>
      <c r="P116" s="125">
        <v>0</v>
      </c>
      <c r="Q116" s="125">
        <v>0</v>
      </c>
      <c r="R116" s="127">
        <v>0</v>
      </c>
      <c r="S116" s="128">
        <v>212</v>
      </c>
    </row>
    <row r="117" spans="1:19" x14ac:dyDescent="0.25">
      <c r="A117" s="46"/>
      <c r="B117" s="121">
        <v>2</v>
      </c>
      <c r="C117" s="122" t="s">
        <v>45</v>
      </c>
      <c r="D117" s="123">
        <v>73.59</v>
      </c>
      <c r="E117" s="20">
        <v>2</v>
      </c>
      <c r="F117" s="124">
        <f t="shared" si="40"/>
        <v>31202.16</v>
      </c>
      <c r="G117" s="125">
        <f t="shared" si="56"/>
        <v>4562.58</v>
      </c>
      <c r="H117" s="126">
        <f t="shared" si="57"/>
        <v>4121.04</v>
      </c>
      <c r="I117" s="125">
        <f t="shared" si="58"/>
        <v>4562.58</v>
      </c>
      <c r="J117" s="125">
        <f t="shared" si="59"/>
        <v>4415.4000000000005</v>
      </c>
      <c r="K117" s="35">
        <f t="shared" si="60"/>
        <v>4562.58</v>
      </c>
      <c r="L117" s="125">
        <f t="shared" si="61"/>
        <v>4415.4000000000005</v>
      </c>
      <c r="M117" s="125">
        <f t="shared" si="54"/>
        <v>4562.58</v>
      </c>
      <c r="N117" s="125">
        <v>0</v>
      </c>
      <c r="O117" s="125">
        <v>0</v>
      </c>
      <c r="P117" s="125">
        <v>0</v>
      </c>
      <c r="Q117" s="125">
        <v>0</v>
      </c>
      <c r="R117" s="127">
        <v>0</v>
      </c>
      <c r="S117" s="128">
        <v>212</v>
      </c>
    </row>
    <row r="118" spans="1:19" x14ac:dyDescent="0.25">
      <c r="A118" s="46"/>
      <c r="B118" s="121">
        <v>3</v>
      </c>
      <c r="C118" s="122" t="s">
        <v>46</v>
      </c>
      <c r="D118" s="123">
        <v>74.63</v>
      </c>
      <c r="E118" s="20">
        <v>2</v>
      </c>
      <c r="F118" s="124">
        <f t="shared" si="40"/>
        <v>31643.119999999999</v>
      </c>
      <c r="G118" s="125">
        <f t="shared" si="56"/>
        <v>4627.0599999999995</v>
      </c>
      <c r="H118" s="126">
        <f t="shared" si="57"/>
        <v>4179.28</v>
      </c>
      <c r="I118" s="125">
        <f t="shared" si="58"/>
        <v>4627.0599999999995</v>
      </c>
      <c r="J118" s="125">
        <f t="shared" si="59"/>
        <v>4477.7999999999993</v>
      </c>
      <c r="K118" s="35">
        <f t="shared" si="60"/>
        <v>4627.0599999999995</v>
      </c>
      <c r="L118" s="125">
        <f t="shared" si="61"/>
        <v>4477.7999999999993</v>
      </c>
      <c r="M118" s="125">
        <f t="shared" si="54"/>
        <v>4627.0599999999995</v>
      </c>
      <c r="N118" s="125">
        <v>0</v>
      </c>
      <c r="O118" s="125">
        <v>0</v>
      </c>
      <c r="P118" s="125">
        <v>0</v>
      </c>
      <c r="Q118" s="125">
        <v>0</v>
      </c>
      <c r="R118" s="127">
        <v>0</v>
      </c>
      <c r="S118" s="128">
        <v>212</v>
      </c>
    </row>
    <row r="119" spans="1:19" x14ac:dyDescent="0.25">
      <c r="A119" s="46"/>
      <c r="B119" s="121">
        <v>4</v>
      </c>
      <c r="C119" s="122" t="s">
        <v>34</v>
      </c>
      <c r="D119" s="123">
        <v>71.400000000000006</v>
      </c>
      <c r="E119" s="20">
        <v>3</v>
      </c>
      <c r="F119" s="124">
        <f t="shared" si="40"/>
        <v>45410.400000000001</v>
      </c>
      <c r="G119" s="125">
        <f t="shared" si="56"/>
        <v>6640.2000000000007</v>
      </c>
      <c r="H119" s="126">
        <f t="shared" si="57"/>
        <v>5997.6</v>
      </c>
      <c r="I119" s="125">
        <f t="shared" si="58"/>
        <v>6640.2000000000007</v>
      </c>
      <c r="J119" s="125">
        <f t="shared" si="59"/>
        <v>6426.0000000000009</v>
      </c>
      <c r="K119" s="35">
        <f t="shared" si="60"/>
        <v>6640.2000000000007</v>
      </c>
      <c r="L119" s="125">
        <f t="shared" si="61"/>
        <v>6426.0000000000009</v>
      </c>
      <c r="M119" s="125">
        <f t="shared" si="54"/>
        <v>6640.2000000000007</v>
      </c>
      <c r="N119" s="125">
        <v>0</v>
      </c>
      <c r="O119" s="125">
        <v>0</v>
      </c>
      <c r="P119" s="125">
        <v>0</v>
      </c>
      <c r="Q119" s="125">
        <v>0</v>
      </c>
      <c r="R119" s="127">
        <v>0</v>
      </c>
      <c r="S119" s="128">
        <v>212</v>
      </c>
    </row>
    <row r="120" spans="1:19" x14ac:dyDescent="0.25">
      <c r="A120" s="46"/>
      <c r="B120" s="121">
        <v>4</v>
      </c>
      <c r="C120" s="122" t="s">
        <v>34</v>
      </c>
      <c r="D120" s="123">
        <v>71.400000000000006</v>
      </c>
      <c r="E120" s="20">
        <v>1</v>
      </c>
      <c r="F120" s="124">
        <f t="shared" si="40"/>
        <v>12923.400000000001</v>
      </c>
      <c r="G120" s="125">
        <f t="shared" si="56"/>
        <v>2213.4</v>
      </c>
      <c r="H120" s="126">
        <f t="shared" si="57"/>
        <v>1999.2000000000003</v>
      </c>
      <c r="I120" s="125">
        <f t="shared" si="58"/>
        <v>2213.4</v>
      </c>
      <c r="J120" s="125">
        <f t="shared" si="59"/>
        <v>2142</v>
      </c>
      <c r="K120" s="35">
        <f t="shared" si="60"/>
        <v>2213.4</v>
      </c>
      <c r="L120" s="125">
        <f t="shared" si="61"/>
        <v>2142</v>
      </c>
      <c r="M120" s="125">
        <v>0</v>
      </c>
      <c r="N120" s="125">
        <v>0</v>
      </c>
      <c r="O120" s="125">
        <v>0</v>
      </c>
      <c r="P120" s="125">
        <v>0</v>
      </c>
      <c r="Q120" s="125">
        <v>0</v>
      </c>
      <c r="R120" s="127">
        <v>0</v>
      </c>
      <c r="S120" s="128">
        <f>212-31</f>
        <v>181</v>
      </c>
    </row>
    <row r="121" spans="1:19" x14ac:dyDescent="0.25">
      <c r="A121" s="46"/>
      <c r="B121" s="121">
        <v>6</v>
      </c>
      <c r="C121" s="122" t="s">
        <v>38</v>
      </c>
      <c r="D121" s="123">
        <v>78.25</v>
      </c>
      <c r="E121" s="20">
        <v>5</v>
      </c>
      <c r="F121" s="124">
        <f t="shared" si="40"/>
        <v>82945</v>
      </c>
      <c r="G121" s="125">
        <f t="shared" si="56"/>
        <v>12128.75</v>
      </c>
      <c r="H121" s="126">
        <f t="shared" si="57"/>
        <v>10955</v>
      </c>
      <c r="I121" s="125">
        <f t="shared" si="58"/>
        <v>12128.75</v>
      </c>
      <c r="J121" s="125">
        <f t="shared" si="59"/>
        <v>11737.5</v>
      </c>
      <c r="K121" s="35">
        <f t="shared" si="60"/>
        <v>12128.75</v>
      </c>
      <c r="L121" s="125">
        <f t="shared" si="61"/>
        <v>11737.5</v>
      </c>
      <c r="M121" s="125">
        <f t="shared" si="54"/>
        <v>12128.75</v>
      </c>
      <c r="N121" s="125">
        <v>0</v>
      </c>
      <c r="O121" s="125">
        <v>0</v>
      </c>
      <c r="P121" s="125">
        <v>0</v>
      </c>
      <c r="Q121" s="125">
        <v>0</v>
      </c>
      <c r="R121" s="127">
        <v>0</v>
      </c>
      <c r="S121" s="128">
        <v>212</v>
      </c>
    </row>
    <row r="122" spans="1:19" x14ac:dyDescent="0.25">
      <c r="A122" s="46"/>
      <c r="B122" s="121">
        <v>7</v>
      </c>
      <c r="C122" s="122" t="s">
        <v>31</v>
      </c>
      <c r="D122" s="123">
        <v>71.400000000000006</v>
      </c>
      <c r="E122" s="20">
        <v>12</v>
      </c>
      <c r="F122" s="124">
        <f t="shared" si="40"/>
        <v>181641.60000000001</v>
      </c>
      <c r="G122" s="125">
        <f t="shared" si="56"/>
        <v>26560.800000000003</v>
      </c>
      <c r="H122" s="126">
        <f t="shared" si="57"/>
        <v>23990.400000000001</v>
      </c>
      <c r="I122" s="125">
        <f t="shared" si="58"/>
        <v>26560.800000000003</v>
      </c>
      <c r="J122" s="125">
        <f t="shared" si="59"/>
        <v>25704.000000000004</v>
      </c>
      <c r="K122" s="35">
        <f t="shared" si="60"/>
        <v>26560.800000000003</v>
      </c>
      <c r="L122" s="125">
        <f t="shared" si="61"/>
        <v>25704.000000000004</v>
      </c>
      <c r="M122" s="125">
        <f t="shared" si="54"/>
        <v>26560.800000000003</v>
      </c>
      <c r="N122" s="125">
        <v>0</v>
      </c>
      <c r="O122" s="125">
        <v>0</v>
      </c>
      <c r="P122" s="125">
        <v>0</v>
      </c>
      <c r="Q122" s="125">
        <v>0</v>
      </c>
      <c r="R122" s="127">
        <v>0</v>
      </c>
      <c r="S122" s="128">
        <v>212</v>
      </c>
    </row>
    <row r="123" spans="1:19" x14ac:dyDescent="0.25">
      <c r="A123" s="46"/>
      <c r="B123" s="121">
        <v>7</v>
      </c>
      <c r="C123" s="122" t="s">
        <v>31</v>
      </c>
      <c r="D123" s="123">
        <v>71.400000000000006</v>
      </c>
      <c r="E123" s="20">
        <v>1</v>
      </c>
      <c r="F123" s="124">
        <f t="shared" si="40"/>
        <v>13637.400000000001</v>
      </c>
      <c r="G123" s="125">
        <f t="shared" si="56"/>
        <v>2213.4</v>
      </c>
      <c r="H123" s="126">
        <f t="shared" si="57"/>
        <v>1999.2000000000003</v>
      </c>
      <c r="I123" s="125">
        <f t="shared" si="58"/>
        <v>2213.4</v>
      </c>
      <c r="J123" s="125">
        <f t="shared" si="59"/>
        <v>2142</v>
      </c>
      <c r="K123" s="35">
        <f t="shared" si="60"/>
        <v>2213.4</v>
      </c>
      <c r="L123" s="125">
        <f t="shared" si="61"/>
        <v>2142</v>
      </c>
      <c r="M123" s="125">
        <f>E123*D123*10</f>
        <v>714</v>
      </c>
      <c r="N123" s="125">
        <v>0</v>
      </c>
      <c r="O123" s="125">
        <v>0</v>
      </c>
      <c r="P123" s="125">
        <v>0</v>
      </c>
      <c r="Q123" s="125">
        <v>0</v>
      </c>
      <c r="R123" s="127">
        <v>0</v>
      </c>
      <c r="S123" s="128">
        <f>31+28+31+30+31+30+10</f>
        <v>191</v>
      </c>
    </row>
    <row r="124" spans="1:19" s="5" customFormat="1" x14ac:dyDescent="0.25">
      <c r="A124" s="115"/>
      <c r="B124" s="116">
        <v>8</v>
      </c>
      <c r="C124" s="18" t="s">
        <v>53</v>
      </c>
      <c r="D124" s="19">
        <v>71.400000000000006</v>
      </c>
      <c r="E124" s="21">
        <v>6</v>
      </c>
      <c r="F124" s="117">
        <f t="shared" si="40"/>
        <v>31701.600000000002</v>
      </c>
      <c r="G124" s="35">
        <v>0</v>
      </c>
      <c r="H124" s="118">
        <f>E124*D124*28+D124*E124*15</f>
        <v>18421.2</v>
      </c>
      <c r="I124" s="35">
        <f t="shared" si="58"/>
        <v>13280.400000000001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119">
        <v>0</v>
      </c>
      <c r="S124" s="120">
        <f>15+28+31</f>
        <v>74</v>
      </c>
    </row>
    <row r="125" spans="1:19" s="5" customFormat="1" x14ac:dyDescent="0.25">
      <c r="A125" s="115"/>
      <c r="B125" s="116">
        <v>10</v>
      </c>
      <c r="C125" s="18" t="s">
        <v>53</v>
      </c>
      <c r="D125" s="19">
        <v>71.400000000000006</v>
      </c>
      <c r="E125" s="21">
        <v>6</v>
      </c>
      <c r="F125" s="117">
        <f t="shared" si="40"/>
        <v>38984.400000000001</v>
      </c>
      <c r="G125" s="35">
        <v>0</v>
      </c>
      <c r="H125" s="118">
        <v>0</v>
      </c>
      <c r="I125" s="35">
        <v>0</v>
      </c>
      <c r="J125" s="35">
        <f>E125*D125*30</f>
        <v>12852.000000000002</v>
      </c>
      <c r="K125" s="35">
        <f t="shared" ref="K125" si="62">E125*D125*31</f>
        <v>13280.400000000001</v>
      </c>
      <c r="L125" s="35">
        <f t="shared" ref="L125:L126" si="63">E125*D125*30</f>
        <v>12852.000000000002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119">
        <v>0</v>
      </c>
      <c r="S125" s="120">
        <f>30+31+30</f>
        <v>91</v>
      </c>
    </row>
    <row r="126" spans="1:19" s="5" customFormat="1" x14ac:dyDescent="0.25">
      <c r="A126" s="115"/>
      <c r="B126" s="116">
        <v>11</v>
      </c>
      <c r="C126" s="18" t="s">
        <v>53</v>
      </c>
      <c r="D126" s="19">
        <v>71.400000000000006</v>
      </c>
      <c r="E126" s="21">
        <v>1</v>
      </c>
      <c r="F126" s="117">
        <f t="shared" si="40"/>
        <v>6497.4000000000005</v>
      </c>
      <c r="G126" s="35">
        <v>0</v>
      </c>
      <c r="H126" s="118">
        <v>0</v>
      </c>
      <c r="I126" s="35">
        <v>0</v>
      </c>
      <c r="J126" s="35">
        <v>0</v>
      </c>
      <c r="K126" s="35">
        <f>+D126*E126*30+D126*E126*31</f>
        <v>4355.3999999999996</v>
      </c>
      <c r="L126" s="35">
        <f t="shared" si="63"/>
        <v>2142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119">
        <v>0</v>
      </c>
      <c r="S126" s="120">
        <f>30+31+30</f>
        <v>91</v>
      </c>
    </row>
    <row r="127" spans="1:19" s="5" customFormat="1" x14ac:dyDescent="0.25">
      <c r="A127" s="115"/>
      <c r="B127" s="116">
        <v>12</v>
      </c>
      <c r="C127" s="18" t="s">
        <v>53</v>
      </c>
      <c r="D127" s="19">
        <v>71.400000000000006</v>
      </c>
      <c r="E127" s="21">
        <v>1</v>
      </c>
      <c r="F127" s="117">
        <f t="shared" si="40"/>
        <v>8568</v>
      </c>
      <c r="G127" s="35">
        <f t="shared" ref="G127" si="64">E127*D127*31</f>
        <v>2213.4</v>
      </c>
      <c r="H127" s="118">
        <f t="shared" ref="H127" si="65">E127*D127*28</f>
        <v>1999.2000000000003</v>
      </c>
      <c r="I127" s="35">
        <f t="shared" ref="I127" si="66">E127*D127*31</f>
        <v>2213.4</v>
      </c>
      <c r="J127" s="35">
        <f t="shared" ref="J127" si="67">E127*D127*30</f>
        <v>2142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119">
        <v>0</v>
      </c>
      <c r="S127" s="120">
        <f>31+28+30+31</f>
        <v>120</v>
      </c>
    </row>
    <row r="128" spans="1:19" s="5" customFormat="1" x14ac:dyDescent="0.25">
      <c r="A128" s="115"/>
      <c r="B128" s="116">
        <v>9</v>
      </c>
      <c r="C128" s="18" t="s">
        <v>53</v>
      </c>
      <c r="D128" s="19">
        <v>71.400000000000006</v>
      </c>
      <c r="E128" s="21">
        <v>124</v>
      </c>
      <c r="F128" s="117">
        <f t="shared" si="40"/>
        <v>1876963.2000000002</v>
      </c>
      <c r="G128" s="35">
        <f t="shared" si="56"/>
        <v>274461.60000000003</v>
      </c>
      <c r="H128" s="118">
        <f t="shared" si="57"/>
        <v>247900.80000000002</v>
      </c>
      <c r="I128" s="35">
        <f t="shared" si="58"/>
        <v>274461.60000000003</v>
      </c>
      <c r="J128" s="35">
        <f t="shared" si="59"/>
        <v>265608</v>
      </c>
      <c r="K128" s="35">
        <f t="shared" si="60"/>
        <v>274461.60000000003</v>
      </c>
      <c r="L128" s="35">
        <f t="shared" si="61"/>
        <v>265608</v>
      </c>
      <c r="M128" s="35">
        <f t="shared" si="54"/>
        <v>274461.60000000003</v>
      </c>
      <c r="N128" s="35">
        <v>0</v>
      </c>
      <c r="O128" s="35">
        <v>0</v>
      </c>
      <c r="P128" s="35">
        <v>0</v>
      </c>
      <c r="Q128" s="35">
        <v>0</v>
      </c>
      <c r="R128" s="119">
        <v>0</v>
      </c>
      <c r="S128" s="120">
        <v>212</v>
      </c>
    </row>
    <row r="129" spans="1:19" s="5" customFormat="1" x14ac:dyDescent="0.25">
      <c r="A129" s="115"/>
      <c r="B129" s="116">
        <v>21</v>
      </c>
      <c r="C129" s="18" t="s">
        <v>53</v>
      </c>
      <c r="D129" s="19">
        <v>71.400000000000006</v>
      </c>
      <c r="E129" s="21">
        <v>1</v>
      </c>
      <c r="F129" s="117">
        <f t="shared" si="40"/>
        <v>11281.2</v>
      </c>
      <c r="G129" s="35">
        <f t="shared" si="56"/>
        <v>2213.4</v>
      </c>
      <c r="H129" s="118">
        <f t="shared" si="57"/>
        <v>1999.2000000000003</v>
      </c>
      <c r="I129" s="35">
        <f t="shared" si="58"/>
        <v>2213.4</v>
      </c>
      <c r="J129" s="35">
        <f t="shared" si="59"/>
        <v>2142</v>
      </c>
      <c r="K129" s="35">
        <f t="shared" si="60"/>
        <v>2213.4</v>
      </c>
      <c r="L129" s="35">
        <f>E129*D129*7</f>
        <v>499.80000000000007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119">
        <v>0</v>
      </c>
      <c r="S129" s="120">
        <f>212-23-31</f>
        <v>158</v>
      </c>
    </row>
    <row r="130" spans="1:19" s="5" customFormat="1" x14ac:dyDescent="0.25">
      <c r="A130" s="115"/>
      <c r="B130" s="116">
        <v>22</v>
      </c>
      <c r="C130" s="18" t="s">
        <v>53</v>
      </c>
      <c r="D130" s="19">
        <v>71.400000000000006</v>
      </c>
      <c r="E130" s="21">
        <v>1</v>
      </c>
      <c r="F130" s="117">
        <f t="shared" si="40"/>
        <v>10781.400000000001</v>
      </c>
      <c r="G130" s="35">
        <f t="shared" si="56"/>
        <v>2213.4</v>
      </c>
      <c r="H130" s="118">
        <f t="shared" si="57"/>
        <v>1999.2000000000003</v>
      </c>
      <c r="I130" s="35">
        <f t="shared" si="58"/>
        <v>2213.4</v>
      </c>
      <c r="J130" s="35">
        <f t="shared" si="59"/>
        <v>2142</v>
      </c>
      <c r="K130" s="35">
        <f t="shared" si="60"/>
        <v>2213.4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119">
        <v>0</v>
      </c>
      <c r="S130" s="120">
        <f>212-30-31</f>
        <v>151</v>
      </c>
    </row>
    <row r="131" spans="1:19" s="5" customFormat="1" x14ac:dyDescent="0.25">
      <c r="A131" s="115"/>
      <c r="B131" s="116">
        <v>23</v>
      </c>
      <c r="C131" s="18" t="s">
        <v>53</v>
      </c>
      <c r="D131" s="19">
        <v>71.400000000000006</v>
      </c>
      <c r="E131" s="21">
        <v>1</v>
      </c>
      <c r="F131" s="117">
        <f t="shared" si="40"/>
        <v>10138.800000000001</v>
      </c>
      <c r="G131" s="35">
        <f t="shared" si="56"/>
        <v>2213.4</v>
      </c>
      <c r="H131" s="118">
        <f t="shared" si="57"/>
        <v>1999.2000000000003</v>
      </c>
      <c r="I131" s="35">
        <f t="shared" si="58"/>
        <v>2213.4</v>
      </c>
      <c r="J131" s="35">
        <f t="shared" si="59"/>
        <v>2142</v>
      </c>
      <c r="K131" s="35">
        <f t="shared" si="60"/>
        <v>2213.4</v>
      </c>
      <c r="L131" s="35">
        <f>-D131*E131*9</f>
        <v>-642.6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119">
        <v>0</v>
      </c>
      <c r="S131" s="120">
        <f>31+28+31+30+31-9</f>
        <v>142</v>
      </c>
    </row>
    <row r="132" spans="1:19" s="135" customFormat="1" x14ac:dyDescent="0.25">
      <c r="A132" s="129"/>
      <c r="B132" s="130">
        <v>13</v>
      </c>
      <c r="C132" s="27" t="s">
        <v>53</v>
      </c>
      <c r="D132" s="25">
        <v>71.400000000000006</v>
      </c>
      <c r="E132" s="29">
        <v>6</v>
      </c>
      <c r="F132" s="132">
        <f t="shared" si="40"/>
        <v>39412.800000000003</v>
      </c>
      <c r="G132" s="26">
        <v>0</v>
      </c>
      <c r="H132" s="140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f t="shared" ref="M132:M133" si="68">E132*D132*31</f>
        <v>13280.400000000001</v>
      </c>
      <c r="N132" s="26">
        <f>E132*D132*31</f>
        <v>13280.400000000001</v>
      </c>
      <c r="O132" s="26">
        <f>E132*D132*30</f>
        <v>12852.000000000002</v>
      </c>
      <c r="P132" s="26">
        <v>0</v>
      </c>
      <c r="Q132" s="26">
        <v>0</v>
      </c>
      <c r="R132" s="133">
        <v>0</v>
      </c>
      <c r="S132" s="134">
        <f>31+31+30</f>
        <v>92</v>
      </c>
    </row>
    <row r="133" spans="1:19" s="135" customFormat="1" x14ac:dyDescent="0.25">
      <c r="A133" s="129"/>
      <c r="B133" s="130">
        <v>14</v>
      </c>
      <c r="C133" s="27" t="s">
        <v>53</v>
      </c>
      <c r="D133" s="25">
        <v>71.400000000000006</v>
      </c>
      <c r="E133" s="29">
        <v>1</v>
      </c>
      <c r="F133" s="132">
        <f t="shared" si="40"/>
        <v>6568.8</v>
      </c>
      <c r="G133" s="26">
        <v>0</v>
      </c>
      <c r="H133" s="140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f t="shared" si="68"/>
        <v>2213.4</v>
      </c>
      <c r="N133" s="26">
        <f>E133*D133*31</f>
        <v>2213.4</v>
      </c>
      <c r="O133" s="26">
        <f>E133*D133*30</f>
        <v>2142</v>
      </c>
      <c r="P133" s="26">
        <v>0</v>
      </c>
      <c r="Q133" s="26">
        <v>0</v>
      </c>
      <c r="R133" s="133">
        <v>0</v>
      </c>
      <c r="S133" s="134">
        <f>31+31+30</f>
        <v>92</v>
      </c>
    </row>
    <row r="134" spans="1:19" s="135" customFormat="1" x14ac:dyDescent="0.25">
      <c r="A134" s="129"/>
      <c r="B134" s="229">
        <v>1</v>
      </c>
      <c r="C134" s="230" t="s">
        <v>38</v>
      </c>
      <c r="D134" s="231">
        <v>78.25</v>
      </c>
      <c r="E134" s="232">
        <v>5</v>
      </c>
      <c r="F134" s="233">
        <f t="shared" si="40"/>
        <v>71990</v>
      </c>
      <c r="G134" s="234">
        <v>0</v>
      </c>
      <c r="H134" s="242">
        <v>0</v>
      </c>
      <c r="I134" s="234">
        <v>0</v>
      </c>
      <c r="J134" s="234">
        <v>0</v>
      </c>
      <c r="K134" s="234">
        <v>0</v>
      </c>
      <c r="L134" s="234">
        <v>0</v>
      </c>
      <c r="M134" s="234">
        <v>0</v>
      </c>
      <c r="N134" s="234">
        <f>E134*D134*62</f>
        <v>24257.5</v>
      </c>
      <c r="O134" s="234">
        <f t="shared" ref="O134:O145" si="69">E134*D134*30</f>
        <v>11737.5</v>
      </c>
      <c r="P134" s="234">
        <f t="shared" ref="P134:P145" si="70">E134*D134*31</f>
        <v>12128.75</v>
      </c>
      <c r="Q134" s="234">
        <f t="shared" ref="Q134:Q145" si="71">E134*D134*30</f>
        <v>11737.5</v>
      </c>
      <c r="R134" s="243">
        <f t="shared" ref="R134:R145" si="72">E134*D134*31</f>
        <v>12128.75</v>
      </c>
      <c r="S134" s="134">
        <f t="shared" ref="S134:S143" si="73">31+31+30+31+30+31</f>
        <v>184</v>
      </c>
    </row>
    <row r="135" spans="1:19" s="5" customFormat="1" x14ac:dyDescent="0.25">
      <c r="A135" s="115"/>
      <c r="B135" s="207">
        <v>1</v>
      </c>
      <c r="C135" s="244" t="s">
        <v>38</v>
      </c>
      <c r="D135" s="245">
        <v>78.25</v>
      </c>
      <c r="E135" s="246">
        <v>7</v>
      </c>
      <c r="F135" s="247">
        <f t="shared" si="40"/>
        <v>0</v>
      </c>
      <c r="G135" s="223">
        <v>0</v>
      </c>
      <c r="H135" s="224">
        <v>0</v>
      </c>
      <c r="I135" s="223">
        <v>0</v>
      </c>
      <c r="J135" s="223">
        <v>0</v>
      </c>
      <c r="K135" s="223">
        <v>0</v>
      </c>
      <c r="L135" s="223">
        <v>0</v>
      </c>
      <c r="M135" s="223">
        <v>0</v>
      </c>
      <c r="N135" s="223">
        <v>0</v>
      </c>
      <c r="O135" s="223">
        <v>0</v>
      </c>
      <c r="P135" s="223">
        <v>0</v>
      </c>
      <c r="Q135" s="223">
        <v>0</v>
      </c>
      <c r="R135" s="248">
        <v>0</v>
      </c>
      <c r="S135" s="120">
        <v>0</v>
      </c>
    </row>
    <row r="136" spans="1:19" s="135" customFormat="1" x14ac:dyDescent="0.25">
      <c r="A136" s="129"/>
      <c r="B136" s="229">
        <v>2</v>
      </c>
      <c r="C136" s="230" t="s">
        <v>60</v>
      </c>
      <c r="D136" s="231">
        <v>77.59</v>
      </c>
      <c r="E136" s="232">
        <v>4</v>
      </c>
      <c r="F136" s="233">
        <f t="shared" si="40"/>
        <v>57106.240000000005</v>
      </c>
      <c r="G136" s="234">
        <v>0</v>
      </c>
      <c r="H136" s="242">
        <v>0</v>
      </c>
      <c r="I136" s="234">
        <v>0</v>
      </c>
      <c r="J136" s="234">
        <v>0</v>
      </c>
      <c r="K136" s="234">
        <v>0</v>
      </c>
      <c r="L136" s="234">
        <v>0</v>
      </c>
      <c r="M136" s="234">
        <v>0</v>
      </c>
      <c r="N136" s="234">
        <f>E136*D136*62</f>
        <v>19242.32</v>
      </c>
      <c r="O136" s="234">
        <f t="shared" ref="O136" si="74">E136*D136*30</f>
        <v>9310.8000000000011</v>
      </c>
      <c r="P136" s="234">
        <f t="shared" ref="P136" si="75">E136*D136*31</f>
        <v>9621.16</v>
      </c>
      <c r="Q136" s="234">
        <f t="shared" ref="Q136" si="76">E136*D136*30</f>
        <v>9310.8000000000011</v>
      </c>
      <c r="R136" s="243">
        <f t="shared" ref="R136" si="77">E136*D136*31</f>
        <v>9621.16</v>
      </c>
      <c r="S136" s="134">
        <f t="shared" si="73"/>
        <v>184</v>
      </c>
    </row>
    <row r="137" spans="1:19" s="135" customFormat="1" x14ac:dyDescent="0.25">
      <c r="A137" s="129"/>
      <c r="B137" s="229">
        <v>3</v>
      </c>
      <c r="C137" s="230" t="s">
        <v>58</v>
      </c>
      <c r="D137" s="231">
        <v>77.59</v>
      </c>
      <c r="E137" s="232">
        <v>23</v>
      </c>
      <c r="F137" s="233">
        <f t="shared" si="40"/>
        <v>328360.88</v>
      </c>
      <c r="G137" s="234">
        <v>0</v>
      </c>
      <c r="H137" s="242">
        <v>0</v>
      </c>
      <c r="I137" s="234">
        <v>0</v>
      </c>
      <c r="J137" s="234">
        <v>0</v>
      </c>
      <c r="K137" s="234">
        <v>0</v>
      </c>
      <c r="L137" s="234">
        <v>0</v>
      </c>
      <c r="M137" s="234">
        <v>0</v>
      </c>
      <c r="N137" s="234">
        <f t="shared" ref="N137:N143" si="78">E137*D137*62</f>
        <v>110643.34000000001</v>
      </c>
      <c r="O137" s="234">
        <f t="shared" si="69"/>
        <v>53537.100000000006</v>
      </c>
      <c r="P137" s="234">
        <f t="shared" si="70"/>
        <v>55321.670000000006</v>
      </c>
      <c r="Q137" s="234">
        <f t="shared" si="71"/>
        <v>53537.100000000006</v>
      </c>
      <c r="R137" s="243">
        <f t="shared" si="72"/>
        <v>55321.670000000006</v>
      </c>
      <c r="S137" s="134">
        <f t="shared" si="73"/>
        <v>184</v>
      </c>
    </row>
    <row r="138" spans="1:19" s="5" customFormat="1" x14ac:dyDescent="0.25">
      <c r="A138" s="115"/>
      <c r="B138" s="207">
        <v>3</v>
      </c>
      <c r="C138" s="244" t="s">
        <v>58</v>
      </c>
      <c r="D138" s="245">
        <v>77.59</v>
      </c>
      <c r="E138" s="246">
        <v>1</v>
      </c>
      <c r="F138" s="247">
        <f t="shared" si="40"/>
        <v>0</v>
      </c>
      <c r="G138" s="223">
        <v>0</v>
      </c>
      <c r="H138" s="224">
        <v>0</v>
      </c>
      <c r="I138" s="223">
        <v>0</v>
      </c>
      <c r="J138" s="223">
        <v>0</v>
      </c>
      <c r="K138" s="223">
        <v>0</v>
      </c>
      <c r="L138" s="223">
        <v>0</v>
      </c>
      <c r="M138" s="223">
        <v>0</v>
      </c>
      <c r="N138" s="223">
        <v>0</v>
      </c>
      <c r="O138" s="223">
        <v>0</v>
      </c>
      <c r="P138" s="223">
        <v>0</v>
      </c>
      <c r="Q138" s="223">
        <v>0</v>
      </c>
      <c r="R138" s="248">
        <v>0</v>
      </c>
      <c r="S138" s="120">
        <v>0</v>
      </c>
    </row>
    <row r="139" spans="1:19" s="135" customFormat="1" x14ac:dyDescent="0.25">
      <c r="A139" s="129"/>
      <c r="B139" s="229">
        <v>3</v>
      </c>
      <c r="C139" s="230" t="s">
        <v>87</v>
      </c>
      <c r="D139" s="231">
        <v>75.64</v>
      </c>
      <c r="E139" s="232">
        <v>16</v>
      </c>
      <c r="F139" s="233">
        <f t="shared" si="40"/>
        <v>222684.16</v>
      </c>
      <c r="G139" s="234">
        <v>0</v>
      </c>
      <c r="H139" s="242">
        <v>0</v>
      </c>
      <c r="I139" s="234">
        <v>0</v>
      </c>
      <c r="J139" s="234">
        <v>0</v>
      </c>
      <c r="K139" s="234">
        <v>0</v>
      </c>
      <c r="L139" s="234">
        <v>0</v>
      </c>
      <c r="M139" s="234">
        <v>0</v>
      </c>
      <c r="N139" s="234">
        <f t="shared" ref="N139" si="79">E139*D139*62</f>
        <v>75034.880000000005</v>
      </c>
      <c r="O139" s="234">
        <f t="shared" ref="O139" si="80">E139*D139*30</f>
        <v>36307.199999999997</v>
      </c>
      <c r="P139" s="234">
        <f t="shared" ref="P139" si="81">E139*D139*31</f>
        <v>37517.440000000002</v>
      </c>
      <c r="Q139" s="234">
        <f t="shared" ref="Q139" si="82">E139*D139*30</f>
        <v>36307.199999999997</v>
      </c>
      <c r="R139" s="243">
        <f t="shared" ref="R139" si="83">E139*D139*31</f>
        <v>37517.440000000002</v>
      </c>
      <c r="S139" s="134">
        <f t="shared" si="73"/>
        <v>184</v>
      </c>
    </row>
    <row r="140" spans="1:19" s="135" customFormat="1" x14ac:dyDescent="0.25">
      <c r="A140" s="129"/>
      <c r="B140" s="130">
        <v>4</v>
      </c>
      <c r="C140" s="27" t="s">
        <v>129</v>
      </c>
      <c r="D140" s="25">
        <v>71.400000000000006</v>
      </c>
      <c r="E140" s="29">
        <v>14</v>
      </c>
      <c r="F140" s="132">
        <f t="shared" si="40"/>
        <v>183926.40000000002</v>
      </c>
      <c r="G140" s="26">
        <v>0</v>
      </c>
      <c r="H140" s="140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f t="shared" si="78"/>
        <v>61975.200000000012</v>
      </c>
      <c r="O140" s="26">
        <f t="shared" si="69"/>
        <v>29988.000000000004</v>
      </c>
      <c r="P140" s="26">
        <f t="shared" si="70"/>
        <v>30987.600000000006</v>
      </c>
      <c r="Q140" s="26">
        <f t="shared" si="71"/>
        <v>29988.000000000004</v>
      </c>
      <c r="R140" s="133">
        <f t="shared" si="72"/>
        <v>30987.600000000006</v>
      </c>
      <c r="S140" s="134">
        <f t="shared" si="73"/>
        <v>184</v>
      </c>
    </row>
    <row r="141" spans="1:19" s="5" customFormat="1" x14ac:dyDescent="0.25">
      <c r="A141" s="115"/>
      <c r="B141" s="116">
        <v>4</v>
      </c>
      <c r="C141" s="18" t="s">
        <v>129</v>
      </c>
      <c r="D141" s="19">
        <v>71.400000000000006</v>
      </c>
      <c r="E141" s="21">
        <v>1</v>
      </c>
      <c r="F141" s="117">
        <f t="shared" si="40"/>
        <v>0</v>
      </c>
      <c r="G141" s="35">
        <v>0</v>
      </c>
      <c r="H141" s="118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119">
        <v>0</v>
      </c>
      <c r="S141" s="120">
        <v>0</v>
      </c>
    </row>
    <row r="142" spans="1:19" s="135" customFormat="1" x14ac:dyDescent="0.25">
      <c r="A142" s="129"/>
      <c r="B142" s="130">
        <v>5</v>
      </c>
      <c r="C142" s="27" t="s">
        <v>61</v>
      </c>
      <c r="D142" s="25">
        <v>75.64</v>
      </c>
      <c r="E142" s="29">
        <v>1</v>
      </c>
      <c r="F142" s="132">
        <f t="shared" ref="F142:F161" si="84">+E142*S142*D142</f>
        <v>13917.76</v>
      </c>
      <c r="G142" s="26">
        <v>0</v>
      </c>
      <c r="H142" s="140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0</v>
      </c>
      <c r="N142" s="26">
        <f t="shared" si="78"/>
        <v>4689.68</v>
      </c>
      <c r="O142" s="26">
        <f t="shared" si="69"/>
        <v>2269.1999999999998</v>
      </c>
      <c r="P142" s="26">
        <f t="shared" si="70"/>
        <v>2344.84</v>
      </c>
      <c r="Q142" s="26">
        <f t="shared" si="71"/>
        <v>2269.1999999999998</v>
      </c>
      <c r="R142" s="133">
        <f t="shared" si="72"/>
        <v>2344.84</v>
      </c>
      <c r="S142" s="134">
        <f t="shared" si="73"/>
        <v>184</v>
      </c>
    </row>
    <row r="143" spans="1:19" s="135" customFormat="1" x14ac:dyDescent="0.25">
      <c r="A143" s="129"/>
      <c r="B143" s="130">
        <v>6</v>
      </c>
      <c r="C143" s="27" t="s">
        <v>130</v>
      </c>
      <c r="D143" s="25">
        <v>75.64</v>
      </c>
      <c r="E143" s="29">
        <v>2</v>
      </c>
      <c r="F143" s="132">
        <f t="shared" si="84"/>
        <v>27835.52</v>
      </c>
      <c r="G143" s="26">
        <v>0</v>
      </c>
      <c r="H143" s="140">
        <v>0</v>
      </c>
      <c r="I143" s="26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f t="shared" si="78"/>
        <v>9379.36</v>
      </c>
      <c r="O143" s="26">
        <f t="shared" si="69"/>
        <v>4538.3999999999996</v>
      </c>
      <c r="P143" s="26">
        <f t="shared" si="70"/>
        <v>4689.68</v>
      </c>
      <c r="Q143" s="26">
        <f t="shared" si="71"/>
        <v>4538.3999999999996</v>
      </c>
      <c r="R143" s="133">
        <f t="shared" si="72"/>
        <v>4689.68</v>
      </c>
      <c r="S143" s="134">
        <f t="shared" si="73"/>
        <v>184</v>
      </c>
    </row>
    <row r="144" spans="1:19" s="135" customFormat="1" x14ac:dyDescent="0.25">
      <c r="A144" s="129"/>
      <c r="B144" s="130">
        <v>7</v>
      </c>
      <c r="C144" s="27" t="s">
        <v>129</v>
      </c>
      <c r="D144" s="25">
        <v>71.400000000000006</v>
      </c>
      <c r="E144" s="29">
        <v>1</v>
      </c>
      <c r="F144" s="132">
        <f t="shared" si="84"/>
        <v>11923.800000000001</v>
      </c>
      <c r="G144" s="26">
        <v>0</v>
      </c>
      <c r="H144" s="140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f>E144*D144*45</f>
        <v>3213.0000000000005</v>
      </c>
      <c r="O144" s="26">
        <f t="shared" si="69"/>
        <v>2142</v>
      </c>
      <c r="P144" s="26">
        <f t="shared" si="70"/>
        <v>2213.4</v>
      </c>
      <c r="Q144" s="26">
        <f t="shared" si="71"/>
        <v>2142</v>
      </c>
      <c r="R144" s="133">
        <f t="shared" si="72"/>
        <v>2213.4</v>
      </c>
      <c r="S144" s="134">
        <f>45+30+31+30+31</f>
        <v>167</v>
      </c>
    </row>
    <row r="145" spans="1:19" s="135" customFormat="1" x14ac:dyDescent="0.25">
      <c r="A145" s="129"/>
      <c r="B145" s="130">
        <v>8</v>
      </c>
      <c r="C145" s="27" t="s">
        <v>61</v>
      </c>
      <c r="D145" s="25">
        <v>75.64</v>
      </c>
      <c r="E145" s="29">
        <v>1</v>
      </c>
      <c r="F145" s="132">
        <f t="shared" si="84"/>
        <v>12631.88</v>
      </c>
      <c r="G145" s="26">
        <v>0</v>
      </c>
      <c r="H145" s="140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f>E145*D145*45</f>
        <v>3403.8</v>
      </c>
      <c r="O145" s="26">
        <f t="shared" si="69"/>
        <v>2269.1999999999998</v>
      </c>
      <c r="P145" s="26">
        <f t="shared" si="70"/>
        <v>2344.84</v>
      </c>
      <c r="Q145" s="26">
        <f t="shared" si="71"/>
        <v>2269.1999999999998</v>
      </c>
      <c r="R145" s="133">
        <f t="shared" si="72"/>
        <v>2344.84</v>
      </c>
      <c r="S145" s="134">
        <f>45+30+31+30+31</f>
        <v>167</v>
      </c>
    </row>
    <row r="146" spans="1:19" s="253" customFormat="1" x14ac:dyDescent="0.25">
      <c r="A146" s="249"/>
      <c r="B146" s="250">
        <v>1</v>
      </c>
      <c r="C146" s="131" t="s">
        <v>53</v>
      </c>
      <c r="D146" s="251">
        <v>71.400000000000006</v>
      </c>
      <c r="E146" s="235">
        <v>2</v>
      </c>
      <c r="F146" s="236">
        <f t="shared" si="84"/>
        <v>13137.6</v>
      </c>
      <c r="G146" s="252">
        <v>0</v>
      </c>
      <c r="H146" s="252">
        <v>0</v>
      </c>
      <c r="I146" s="252">
        <v>0</v>
      </c>
      <c r="J146" s="252">
        <v>0</v>
      </c>
      <c r="K146" s="252">
        <v>0</v>
      </c>
      <c r="L146" s="252">
        <v>0</v>
      </c>
      <c r="M146" s="252">
        <v>0</v>
      </c>
      <c r="N146" s="26">
        <f>+D146*E146*62</f>
        <v>8853.6</v>
      </c>
      <c r="O146" s="26">
        <f t="shared" ref="O146:O156" si="85">+D146*E146*30</f>
        <v>4284</v>
      </c>
      <c r="P146" s="26">
        <v>0</v>
      </c>
      <c r="Q146" s="26">
        <v>0</v>
      </c>
      <c r="R146" s="133">
        <v>0</v>
      </c>
      <c r="S146" s="134">
        <f>31+31+30</f>
        <v>92</v>
      </c>
    </row>
    <row r="147" spans="1:19" s="253" customFormat="1" x14ac:dyDescent="0.25">
      <c r="A147" s="249"/>
      <c r="B147" s="250">
        <v>1</v>
      </c>
      <c r="C147" s="131" t="s">
        <v>43</v>
      </c>
      <c r="D147" s="251">
        <v>72.540000000000006</v>
      </c>
      <c r="E147" s="235">
        <v>1</v>
      </c>
      <c r="F147" s="236">
        <f t="shared" si="84"/>
        <v>11098.62</v>
      </c>
      <c r="G147" s="252">
        <v>0</v>
      </c>
      <c r="H147" s="252">
        <v>0</v>
      </c>
      <c r="I147" s="252">
        <v>0</v>
      </c>
      <c r="J147" s="252">
        <v>0</v>
      </c>
      <c r="K147" s="252">
        <v>0</v>
      </c>
      <c r="L147" s="252">
        <v>0</v>
      </c>
      <c r="M147" s="252">
        <v>0</v>
      </c>
      <c r="N147" s="26">
        <f t="shared" ref="N147:N156" si="86">+D147*E147*31</f>
        <v>2248.7400000000002</v>
      </c>
      <c r="O147" s="26">
        <f t="shared" si="85"/>
        <v>2176.2000000000003</v>
      </c>
      <c r="P147" s="26">
        <f t="shared" ref="P147:P156" si="87">+D147*E147*31</f>
        <v>2248.7400000000002</v>
      </c>
      <c r="Q147" s="26">
        <f t="shared" ref="Q147:Q156" si="88">+D147*E147*30</f>
        <v>2176.2000000000003</v>
      </c>
      <c r="R147" s="133">
        <f t="shared" ref="R147:R156" si="89">+D147*E147*31</f>
        <v>2248.7400000000002</v>
      </c>
      <c r="S147" s="134">
        <f t="shared" ref="S147:S156" si="90">31+30+31+30+31</f>
        <v>153</v>
      </c>
    </row>
    <row r="148" spans="1:19" s="253" customFormat="1" x14ac:dyDescent="0.25">
      <c r="A148" s="249"/>
      <c r="B148" s="250">
        <v>2</v>
      </c>
      <c r="C148" s="131" t="s">
        <v>45</v>
      </c>
      <c r="D148" s="251">
        <v>73.59</v>
      </c>
      <c r="E148" s="235">
        <v>2</v>
      </c>
      <c r="F148" s="236">
        <f t="shared" si="84"/>
        <v>22518.54</v>
      </c>
      <c r="G148" s="252">
        <v>0</v>
      </c>
      <c r="H148" s="252">
        <v>0</v>
      </c>
      <c r="I148" s="252">
        <v>0</v>
      </c>
      <c r="J148" s="252">
        <v>0</v>
      </c>
      <c r="K148" s="252">
        <v>0</v>
      </c>
      <c r="L148" s="252">
        <v>0</v>
      </c>
      <c r="M148" s="252">
        <v>0</v>
      </c>
      <c r="N148" s="26">
        <f t="shared" si="86"/>
        <v>4562.58</v>
      </c>
      <c r="O148" s="26">
        <f t="shared" si="85"/>
        <v>4415.4000000000005</v>
      </c>
      <c r="P148" s="26">
        <f t="shared" si="87"/>
        <v>4562.58</v>
      </c>
      <c r="Q148" s="26">
        <f t="shared" si="88"/>
        <v>4415.4000000000005</v>
      </c>
      <c r="R148" s="133">
        <f t="shared" si="89"/>
        <v>4562.58</v>
      </c>
      <c r="S148" s="134">
        <f t="shared" si="90"/>
        <v>153</v>
      </c>
    </row>
    <row r="149" spans="1:19" s="253" customFormat="1" x14ac:dyDescent="0.25">
      <c r="A149" s="249"/>
      <c r="B149" s="250">
        <v>3</v>
      </c>
      <c r="C149" s="131" t="s">
        <v>46</v>
      </c>
      <c r="D149" s="251">
        <v>74.63</v>
      </c>
      <c r="E149" s="235">
        <v>2</v>
      </c>
      <c r="F149" s="236">
        <f t="shared" si="84"/>
        <v>22836.78</v>
      </c>
      <c r="G149" s="252">
        <v>0</v>
      </c>
      <c r="H149" s="252">
        <v>0</v>
      </c>
      <c r="I149" s="252">
        <v>0</v>
      </c>
      <c r="J149" s="252">
        <v>0</v>
      </c>
      <c r="K149" s="252">
        <v>0</v>
      </c>
      <c r="L149" s="252">
        <v>0</v>
      </c>
      <c r="M149" s="252">
        <v>0</v>
      </c>
      <c r="N149" s="26">
        <f t="shared" si="86"/>
        <v>4627.0599999999995</v>
      </c>
      <c r="O149" s="26">
        <f t="shared" si="85"/>
        <v>4477.7999999999993</v>
      </c>
      <c r="P149" s="26">
        <f t="shared" si="87"/>
        <v>4627.0599999999995</v>
      </c>
      <c r="Q149" s="26">
        <f t="shared" si="88"/>
        <v>4477.7999999999993</v>
      </c>
      <c r="R149" s="133">
        <f t="shared" si="89"/>
        <v>4627.0599999999995</v>
      </c>
      <c r="S149" s="134">
        <f t="shared" si="90"/>
        <v>153</v>
      </c>
    </row>
    <row r="150" spans="1:19" s="253" customFormat="1" x14ac:dyDescent="0.25">
      <c r="A150" s="249"/>
      <c r="B150" s="250">
        <v>4</v>
      </c>
      <c r="C150" s="131" t="s">
        <v>34</v>
      </c>
      <c r="D150" s="251">
        <v>71.400000000000006</v>
      </c>
      <c r="E150" s="235">
        <v>2</v>
      </c>
      <c r="F150" s="236">
        <f t="shared" si="84"/>
        <v>21848.400000000001</v>
      </c>
      <c r="G150" s="252">
        <v>0</v>
      </c>
      <c r="H150" s="252">
        <v>0</v>
      </c>
      <c r="I150" s="252">
        <v>0</v>
      </c>
      <c r="J150" s="252">
        <v>0</v>
      </c>
      <c r="K150" s="252">
        <v>0</v>
      </c>
      <c r="L150" s="252">
        <v>0</v>
      </c>
      <c r="M150" s="252">
        <v>0</v>
      </c>
      <c r="N150" s="26">
        <f t="shared" si="86"/>
        <v>4426.8</v>
      </c>
      <c r="O150" s="26">
        <f t="shared" si="85"/>
        <v>4284</v>
      </c>
      <c r="P150" s="26">
        <f t="shared" si="87"/>
        <v>4426.8</v>
      </c>
      <c r="Q150" s="26">
        <f t="shared" si="88"/>
        <v>4284</v>
      </c>
      <c r="R150" s="133">
        <f t="shared" si="89"/>
        <v>4426.8</v>
      </c>
      <c r="S150" s="134">
        <f t="shared" si="90"/>
        <v>153</v>
      </c>
    </row>
    <row r="151" spans="1:19" s="259" customFormat="1" x14ac:dyDescent="0.25">
      <c r="A151" s="254"/>
      <c r="B151" s="255">
        <v>4</v>
      </c>
      <c r="C151" s="256" t="s">
        <v>34</v>
      </c>
      <c r="D151" s="257">
        <v>71.400000000000006</v>
      </c>
      <c r="E151" s="24">
        <v>1</v>
      </c>
      <c r="F151" s="222">
        <f t="shared" si="84"/>
        <v>0</v>
      </c>
      <c r="G151" s="258">
        <v>0</v>
      </c>
      <c r="H151" s="258">
        <v>0</v>
      </c>
      <c r="I151" s="258">
        <v>0</v>
      </c>
      <c r="J151" s="258">
        <v>0</v>
      </c>
      <c r="K151" s="258">
        <v>0</v>
      </c>
      <c r="L151" s="258">
        <v>0</v>
      </c>
      <c r="M151" s="258">
        <v>0</v>
      </c>
      <c r="N151" s="35">
        <v>0</v>
      </c>
      <c r="O151" s="35">
        <v>0</v>
      </c>
      <c r="P151" s="35">
        <v>0</v>
      </c>
      <c r="Q151" s="35">
        <v>0</v>
      </c>
      <c r="R151" s="119">
        <v>0</v>
      </c>
      <c r="S151" s="120">
        <v>0</v>
      </c>
    </row>
    <row r="152" spans="1:19" s="253" customFormat="1" x14ac:dyDescent="0.25">
      <c r="A152" s="249"/>
      <c r="B152" s="250">
        <v>5</v>
      </c>
      <c r="C152" s="131" t="s">
        <v>38</v>
      </c>
      <c r="D152" s="251">
        <v>78.25</v>
      </c>
      <c r="E152" s="235">
        <v>5</v>
      </c>
      <c r="F152" s="236">
        <f t="shared" si="84"/>
        <v>59861.25</v>
      </c>
      <c r="G152" s="252">
        <v>0</v>
      </c>
      <c r="H152" s="252">
        <v>0</v>
      </c>
      <c r="I152" s="252">
        <v>0</v>
      </c>
      <c r="J152" s="252">
        <v>0</v>
      </c>
      <c r="K152" s="252">
        <v>0</v>
      </c>
      <c r="L152" s="252">
        <v>0</v>
      </c>
      <c r="M152" s="252">
        <v>0</v>
      </c>
      <c r="N152" s="26">
        <f t="shared" si="86"/>
        <v>12128.75</v>
      </c>
      <c r="O152" s="26">
        <f t="shared" si="85"/>
        <v>11737.5</v>
      </c>
      <c r="P152" s="26">
        <f t="shared" si="87"/>
        <v>12128.75</v>
      </c>
      <c r="Q152" s="26">
        <f t="shared" si="88"/>
        <v>11737.5</v>
      </c>
      <c r="R152" s="133">
        <f t="shared" si="89"/>
        <v>12128.75</v>
      </c>
      <c r="S152" s="134">
        <f t="shared" si="90"/>
        <v>153</v>
      </c>
    </row>
    <row r="153" spans="1:19" s="253" customFormat="1" x14ac:dyDescent="0.25">
      <c r="A153" s="249"/>
      <c r="B153" s="250">
        <v>6</v>
      </c>
      <c r="C153" s="131" t="s">
        <v>31</v>
      </c>
      <c r="D153" s="251">
        <v>71.400000000000006</v>
      </c>
      <c r="E153" s="235">
        <v>12</v>
      </c>
      <c r="F153" s="236">
        <f t="shared" si="84"/>
        <v>131090.40000000002</v>
      </c>
      <c r="G153" s="252">
        <v>0</v>
      </c>
      <c r="H153" s="252">
        <v>0</v>
      </c>
      <c r="I153" s="252">
        <v>0</v>
      </c>
      <c r="J153" s="252">
        <v>0</v>
      </c>
      <c r="K153" s="252">
        <v>0</v>
      </c>
      <c r="L153" s="252">
        <v>0</v>
      </c>
      <c r="M153" s="252">
        <v>0</v>
      </c>
      <c r="N153" s="26">
        <f t="shared" si="86"/>
        <v>26560.800000000003</v>
      </c>
      <c r="O153" s="26">
        <f t="shared" si="85"/>
        <v>25704.000000000004</v>
      </c>
      <c r="P153" s="26">
        <f t="shared" si="87"/>
        <v>26560.800000000003</v>
      </c>
      <c r="Q153" s="26">
        <f t="shared" si="88"/>
        <v>25704.000000000004</v>
      </c>
      <c r="R153" s="133">
        <f t="shared" si="89"/>
        <v>26560.800000000003</v>
      </c>
      <c r="S153" s="134">
        <f t="shared" si="90"/>
        <v>153</v>
      </c>
    </row>
    <row r="154" spans="1:19" s="259" customFormat="1" x14ac:dyDescent="0.25">
      <c r="A154" s="254"/>
      <c r="B154" s="255">
        <v>6</v>
      </c>
      <c r="C154" s="256" t="s">
        <v>31</v>
      </c>
      <c r="D154" s="257">
        <v>71.400000000000006</v>
      </c>
      <c r="E154" s="24">
        <v>1</v>
      </c>
      <c r="F154" s="222">
        <f t="shared" si="84"/>
        <v>8710.8000000000011</v>
      </c>
      <c r="G154" s="258">
        <v>0</v>
      </c>
      <c r="H154" s="258">
        <v>0</v>
      </c>
      <c r="I154" s="258">
        <v>0</v>
      </c>
      <c r="J154" s="258">
        <v>0</v>
      </c>
      <c r="K154" s="258">
        <v>0</v>
      </c>
      <c r="L154" s="258">
        <v>0</v>
      </c>
      <c r="M154" s="258">
        <v>0</v>
      </c>
      <c r="N154" s="35">
        <v>0</v>
      </c>
      <c r="O154" s="35">
        <f t="shared" si="85"/>
        <v>2142</v>
      </c>
      <c r="P154" s="35">
        <f t="shared" si="87"/>
        <v>2213.4</v>
      </c>
      <c r="Q154" s="35">
        <f t="shared" si="88"/>
        <v>2142</v>
      </c>
      <c r="R154" s="119">
        <f t="shared" si="89"/>
        <v>2213.4</v>
      </c>
      <c r="S154" s="120">
        <f>30+31+30+31</f>
        <v>122</v>
      </c>
    </row>
    <row r="155" spans="1:19" s="259" customFormat="1" x14ac:dyDescent="0.25">
      <c r="A155" s="254"/>
      <c r="B155" s="255">
        <v>7</v>
      </c>
      <c r="C155" s="256" t="s">
        <v>53</v>
      </c>
      <c r="D155" s="257">
        <v>71.400000000000006</v>
      </c>
      <c r="E155" s="24">
        <v>6</v>
      </c>
      <c r="F155" s="222">
        <f t="shared" si="84"/>
        <v>0</v>
      </c>
      <c r="G155" s="258">
        <v>0</v>
      </c>
      <c r="H155" s="258">
        <v>0</v>
      </c>
      <c r="I155" s="258">
        <v>0</v>
      </c>
      <c r="J155" s="258">
        <v>0</v>
      </c>
      <c r="K155" s="258">
        <v>0</v>
      </c>
      <c r="L155" s="258">
        <v>0</v>
      </c>
      <c r="M155" s="258">
        <v>0</v>
      </c>
      <c r="N155" s="35">
        <v>0</v>
      </c>
      <c r="O155" s="35">
        <v>0</v>
      </c>
      <c r="P155" s="35">
        <v>0</v>
      </c>
      <c r="Q155" s="35">
        <v>0</v>
      </c>
      <c r="R155" s="119">
        <v>0</v>
      </c>
      <c r="S155" s="120">
        <v>0</v>
      </c>
    </row>
    <row r="156" spans="1:19" s="253" customFormat="1" x14ac:dyDescent="0.25">
      <c r="A156" s="249"/>
      <c r="B156" s="250">
        <v>7</v>
      </c>
      <c r="C156" s="131" t="s">
        <v>53</v>
      </c>
      <c r="D156" s="251">
        <v>71.400000000000006</v>
      </c>
      <c r="E156" s="235">
        <v>118</v>
      </c>
      <c r="F156" s="236">
        <f t="shared" si="84"/>
        <v>1289055.6000000001</v>
      </c>
      <c r="G156" s="252">
        <v>0</v>
      </c>
      <c r="H156" s="252">
        <v>0</v>
      </c>
      <c r="I156" s="252">
        <v>0</v>
      </c>
      <c r="J156" s="252">
        <v>0</v>
      </c>
      <c r="K156" s="252">
        <v>0</v>
      </c>
      <c r="L156" s="252">
        <v>0</v>
      </c>
      <c r="M156" s="252">
        <v>0</v>
      </c>
      <c r="N156" s="26">
        <f t="shared" si="86"/>
        <v>261181.2</v>
      </c>
      <c r="O156" s="26">
        <f t="shared" si="85"/>
        <v>252756.00000000003</v>
      </c>
      <c r="P156" s="26">
        <f t="shared" si="87"/>
        <v>261181.2</v>
      </c>
      <c r="Q156" s="26">
        <f t="shared" si="88"/>
        <v>252756.00000000003</v>
      </c>
      <c r="R156" s="133">
        <f t="shared" si="89"/>
        <v>261181.2</v>
      </c>
      <c r="S156" s="134">
        <f t="shared" si="90"/>
        <v>153</v>
      </c>
    </row>
    <row r="157" spans="1:19" x14ac:dyDescent="0.25">
      <c r="A157" s="46"/>
      <c r="B157" s="121">
        <v>1</v>
      </c>
      <c r="C157" s="122" t="s">
        <v>34</v>
      </c>
      <c r="D157" s="123">
        <v>71.400000000000006</v>
      </c>
      <c r="E157" s="20">
        <v>5</v>
      </c>
      <c r="F157" s="124">
        <f t="shared" si="84"/>
        <v>75684</v>
      </c>
      <c r="G157" s="125">
        <f>E157*D157*31</f>
        <v>11067</v>
      </c>
      <c r="H157" s="126">
        <f>E157*D157*28</f>
        <v>9996</v>
      </c>
      <c r="I157" s="125">
        <f>E157*D157*31</f>
        <v>11067</v>
      </c>
      <c r="J157" s="125">
        <f>E157*D157*30</f>
        <v>10710</v>
      </c>
      <c r="K157" s="35">
        <f>E157*D157*31</f>
        <v>11067</v>
      </c>
      <c r="L157" s="125">
        <f>E157*D157*30</f>
        <v>10710</v>
      </c>
      <c r="M157" s="125">
        <f>E157*D157*31</f>
        <v>11067</v>
      </c>
      <c r="N157" s="125">
        <v>0</v>
      </c>
      <c r="O157" s="125">
        <v>0</v>
      </c>
      <c r="P157" s="125">
        <v>0</v>
      </c>
      <c r="Q157" s="125">
        <v>0</v>
      </c>
      <c r="R157" s="127">
        <v>0</v>
      </c>
      <c r="S157" s="128">
        <v>212</v>
      </c>
    </row>
    <row r="158" spans="1:19" x14ac:dyDescent="0.25">
      <c r="A158" s="46"/>
      <c r="B158" s="121">
        <v>6</v>
      </c>
      <c r="C158" s="122" t="s">
        <v>34</v>
      </c>
      <c r="D158" s="123">
        <v>71.400000000000006</v>
      </c>
      <c r="E158" s="20">
        <v>1</v>
      </c>
      <c r="F158" s="124">
        <f t="shared" si="84"/>
        <v>2213.4</v>
      </c>
      <c r="G158" s="125">
        <f>E158*D158*31</f>
        <v>2213.4</v>
      </c>
      <c r="H158" s="126">
        <v>0</v>
      </c>
      <c r="I158" s="125">
        <v>0</v>
      </c>
      <c r="J158" s="125">
        <v>0</v>
      </c>
      <c r="K158" s="35">
        <v>0</v>
      </c>
      <c r="L158" s="125">
        <v>0</v>
      </c>
      <c r="M158" s="125">
        <v>0</v>
      </c>
      <c r="N158" s="125">
        <v>0</v>
      </c>
      <c r="O158" s="125">
        <v>0</v>
      </c>
      <c r="P158" s="125">
        <v>0</v>
      </c>
      <c r="Q158" s="125">
        <v>0</v>
      </c>
      <c r="R158" s="127">
        <v>0</v>
      </c>
      <c r="S158" s="128">
        <v>31</v>
      </c>
    </row>
    <row r="159" spans="1:19" x14ac:dyDescent="0.25">
      <c r="A159" s="46"/>
      <c r="B159" s="121">
        <v>2</v>
      </c>
      <c r="C159" s="122" t="s">
        <v>37</v>
      </c>
      <c r="D159" s="123">
        <v>71.400000000000006</v>
      </c>
      <c r="E159" s="20">
        <v>1</v>
      </c>
      <c r="F159" s="124">
        <f t="shared" si="84"/>
        <v>15136.800000000001</v>
      </c>
      <c r="G159" s="125">
        <f>E159*D159*31</f>
        <v>2213.4</v>
      </c>
      <c r="H159" s="126">
        <f>E159*D159*28</f>
        <v>1999.2000000000003</v>
      </c>
      <c r="I159" s="125">
        <f>E159*D159*31</f>
        <v>2213.4</v>
      </c>
      <c r="J159" s="125">
        <f>E159*D159*30</f>
        <v>2142</v>
      </c>
      <c r="K159" s="35">
        <f>E159*D159*31</f>
        <v>2213.4</v>
      </c>
      <c r="L159" s="125">
        <f>E159*D159*30</f>
        <v>2142</v>
      </c>
      <c r="M159" s="125">
        <f>E159*D159*31</f>
        <v>2213.4</v>
      </c>
      <c r="N159" s="125">
        <v>0</v>
      </c>
      <c r="O159" s="125">
        <v>0</v>
      </c>
      <c r="P159" s="125">
        <v>0</v>
      </c>
      <c r="Q159" s="125">
        <v>0</v>
      </c>
      <c r="R159" s="127">
        <v>0</v>
      </c>
      <c r="S159" s="128">
        <v>212</v>
      </c>
    </row>
    <row r="160" spans="1:19" x14ac:dyDescent="0.25">
      <c r="A160" s="46"/>
      <c r="B160" s="121">
        <v>3</v>
      </c>
      <c r="C160" s="122" t="s">
        <v>38</v>
      </c>
      <c r="D160" s="123">
        <v>78.25</v>
      </c>
      <c r="E160" s="20">
        <v>1</v>
      </c>
      <c r="F160" s="124">
        <f t="shared" si="84"/>
        <v>16589</v>
      </c>
      <c r="G160" s="125">
        <f t="shared" ref="G160:G161" si="91">E160*D160*31</f>
        <v>2425.75</v>
      </c>
      <c r="H160" s="126">
        <f t="shared" ref="H160:H161" si="92">E160*D160*28</f>
        <v>2191</v>
      </c>
      <c r="I160" s="125">
        <f t="shared" ref="I160:I161" si="93">E160*D160*31</f>
        <v>2425.75</v>
      </c>
      <c r="J160" s="125">
        <f t="shared" ref="J160:J161" si="94">E160*D160*30</f>
        <v>2347.5</v>
      </c>
      <c r="K160" s="35">
        <f t="shared" ref="K160:K161" si="95">E160*D160*31</f>
        <v>2425.75</v>
      </c>
      <c r="L160" s="125">
        <f t="shared" ref="L160:L161" si="96">E160*D160*30</f>
        <v>2347.5</v>
      </c>
      <c r="M160" s="125">
        <f t="shared" ref="M160:M161" si="97">E160*D160*31</f>
        <v>2425.75</v>
      </c>
      <c r="N160" s="125">
        <v>0</v>
      </c>
      <c r="O160" s="125">
        <v>0</v>
      </c>
      <c r="P160" s="125">
        <v>0</v>
      </c>
      <c r="Q160" s="125">
        <v>0</v>
      </c>
      <c r="R160" s="127">
        <v>0</v>
      </c>
      <c r="S160" s="128">
        <v>212</v>
      </c>
    </row>
    <row r="161" spans="1:19" x14ac:dyDescent="0.25">
      <c r="A161" s="46"/>
      <c r="B161" s="121">
        <v>4</v>
      </c>
      <c r="C161" s="122" t="s">
        <v>31</v>
      </c>
      <c r="D161" s="123">
        <v>71.400000000000006</v>
      </c>
      <c r="E161" s="20">
        <v>2</v>
      </c>
      <c r="F161" s="124">
        <f t="shared" si="84"/>
        <v>30273.600000000002</v>
      </c>
      <c r="G161" s="125">
        <f t="shared" si="91"/>
        <v>4426.8</v>
      </c>
      <c r="H161" s="126">
        <f t="shared" si="92"/>
        <v>3998.4000000000005</v>
      </c>
      <c r="I161" s="125">
        <f t="shared" si="93"/>
        <v>4426.8</v>
      </c>
      <c r="J161" s="125">
        <f t="shared" si="94"/>
        <v>4284</v>
      </c>
      <c r="K161" s="35">
        <f t="shared" si="95"/>
        <v>4426.8</v>
      </c>
      <c r="L161" s="125">
        <f t="shared" si="96"/>
        <v>4284</v>
      </c>
      <c r="M161" s="125">
        <f t="shared" si="97"/>
        <v>4426.8</v>
      </c>
      <c r="N161" s="125">
        <v>0</v>
      </c>
      <c r="O161" s="125">
        <v>0</v>
      </c>
      <c r="P161" s="125">
        <v>0</v>
      </c>
      <c r="Q161" s="125">
        <v>0</v>
      </c>
      <c r="R161" s="127">
        <v>0</v>
      </c>
      <c r="S161" s="128">
        <v>212</v>
      </c>
    </row>
    <row r="162" spans="1:19" x14ac:dyDescent="0.25">
      <c r="A162" s="46"/>
      <c r="B162" s="121">
        <v>5</v>
      </c>
      <c r="C162" s="122" t="s">
        <v>53</v>
      </c>
      <c r="D162" s="123">
        <v>71.400000000000006</v>
      </c>
      <c r="E162" s="20">
        <f>3+12</f>
        <v>15</v>
      </c>
      <c r="F162" s="124">
        <f>+E162*S162*D162</f>
        <v>227052.00000000003</v>
      </c>
      <c r="G162" s="125">
        <f>E162*D162*31</f>
        <v>33201</v>
      </c>
      <c r="H162" s="126">
        <f>E162*D162*28</f>
        <v>29988</v>
      </c>
      <c r="I162" s="125">
        <f>E162*D162*31</f>
        <v>33201</v>
      </c>
      <c r="J162" s="125">
        <f>E162*D162*30</f>
        <v>32130</v>
      </c>
      <c r="K162" s="35">
        <f>E162*D162*31</f>
        <v>33201</v>
      </c>
      <c r="L162" s="125">
        <f>E162*D162*30</f>
        <v>32130</v>
      </c>
      <c r="M162" s="125">
        <f>E162*D162*31</f>
        <v>33201</v>
      </c>
      <c r="N162" s="125">
        <v>0</v>
      </c>
      <c r="O162" s="125">
        <v>0</v>
      </c>
      <c r="P162" s="125">
        <v>0</v>
      </c>
      <c r="Q162" s="125">
        <v>0</v>
      </c>
      <c r="R162" s="127">
        <v>0</v>
      </c>
      <c r="S162" s="128">
        <v>212</v>
      </c>
    </row>
    <row r="163" spans="1:19" s="135" customFormat="1" x14ac:dyDescent="0.25">
      <c r="A163" s="129"/>
      <c r="B163" s="130">
        <v>1</v>
      </c>
      <c r="C163" s="27" t="s">
        <v>53</v>
      </c>
      <c r="D163" s="25">
        <v>71.400000000000006</v>
      </c>
      <c r="E163" s="29">
        <f>3+12</f>
        <v>15</v>
      </c>
      <c r="F163" s="132">
        <f>+E163*S163*D163</f>
        <v>163863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f t="shared" ref="N163:N168" si="98">+D163*E163*31</f>
        <v>33201</v>
      </c>
      <c r="O163" s="26">
        <f t="shared" ref="O163:O168" si="99">+D163*E163*30</f>
        <v>32130</v>
      </c>
      <c r="P163" s="26">
        <f t="shared" ref="P163:P168" si="100">+D163*E163*31</f>
        <v>33201</v>
      </c>
      <c r="Q163" s="26">
        <f t="shared" ref="Q163:Q168" si="101">+D163*E163*30</f>
        <v>32130</v>
      </c>
      <c r="R163" s="133">
        <f t="shared" ref="R163:R168" si="102">+D163*E163*31</f>
        <v>33201</v>
      </c>
      <c r="S163" s="134">
        <f t="shared" ref="S163:S168" si="103">31+30+31+30+31</f>
        <v>153</v>
      </c>
    </row>
    <row r="164" spans="1:19" s="135" customFormat="1" x14ac:dyDescent="0.25">
      <c r="A164" s="129"/>
      <c r="B164" s="130">
        <v>2</v>
      </c>
      <c r="C164" s="27" t="s">
        <v>34</v>
      </c>
      <c r="D164" s="25">
        <v>71.400000000000006</v>
      </c>
      <c r="E164" s="29">
        <v>4</v>
      </c>
      <c r="F164" s="132">
        <f t="shared" ref="F164:F174" si="104">+E164*S164*D164</f>
        <v>43696.800000000003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f t="shared" si="98"/>
        <v>8853.6</v>
      </c>
      <c r="O164" s="26">
        <f t="shared" si="99"/>
        <v>8568</v>
      </c>
      <c r="P164" s="26">
        <f t="shared" si="100"/>
        <v>8853.6</v>
      </c>
      <c r="Q164" s="26">
        <f t="shared" si="101"/>
        <v>8568</v>
      </c>
      <c r="R164" s="133">
        <f t="shared" si="102"/>
        <v>8853.6</v>
      </c>
      <c r="S164" s="134">
        <f t="shared" si="103"/>
        <v>153</v>
      </c>
    </row>
    <row r="165" spans="1:19" s="5" customFormat="1" x14ac:dyDescent="0.25">
      <c r="A165" s="115"/>
      <c r="B165" s="116">
        <v>2</v>
      </c>
      <c r="C165" s="18" t="s">
        <v>34</v>
      </c>
      <c r="D165" s="19">
        <v>71.400000000000006</v>
      </c>
      <c r="E165" s="21">
        <v>1</v>
      </c>
      <c r="F165" s="117">
        <f t="shared" si="104"/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119">
        <v>0</v>
      </c>
      <c r="S165" s="120">
        <v>0</v>
      </c>
    </row>
    <row r="166" spans="1:19" s="135" customFormat="1" x14ac:dyDescent="0.25">
      <c r="A166" s="129"/>
      <c r="B166" s="130">
        <v>3</v>
      </c>
      <c r="C166" s="27" t="s">
        <v>37</v>
      </c>
      <c r="D166" s="25">
        <v>71.400000000000006</v>
      </c>
      <c r="E166" s="29">
        <v>1</v>
      </c>
      <c r="F166" s="132">
        <f t="shared" si="104"/>
        <v>10924.2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f t="shared" si="98"/>
        <v>2213.4</v>
      </c>
      <c r="O166" s="26">
        <f t="shared" si="99"/>
        <v>2142</v>
      </c>
      <c r="P166" s="26">
        <f t="shared" si="100"/>
        <v>2213.4</v>
      </c>
      <c r="Q166" s="26">
        <f t="shared" si="101"/>
        <v>2142</v>
      </c>
      <c r="R166" s="133">
        <f t="shared" si="102"/>
        <v>2213.4</v>
      </c>
      <c r="S166" s="134">
        <f t="shared" si="103"/>
        <v>153</v>
      </c>
    </row>
    <row r="167" spans="1:19" s="135" customFormat="1" x14ac:dyDescent="0.25">
      <c r="A167" s="129"/>
      <c r="B167" s="130">
        <v>4</v>
      </c>
      <c r="C167" s="27" t="s">
        <v>38</v>
      </c>
      <c r="D167" s="25">
        <v>78.25</v>
      </c>
      <c r="E167" s="29">
        <v>1</v>
      </c>
      <c r="F167" s="132">
        <f t="shared" si="104"/>
        <v>11972.25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f t="shared" si="98"/>
        <v>2425.75</v>
      </c>
      <c r="O167" s="26">
        <f t="shared" si="99"/>
        <v>2347.5</v>
      </c>
      <c r="P167" s="26">
        <f t="shared" si="100"/>
        <v>2425.75</v>
      </c>
      <c r="Q167" s="26">
        <f t="shared" si="101"/>
        <v>2347.5</v>
      </c>
      <c r="R167" s="133">
        <f t="shared" si="102"/>
        <v>2425.75</v>
      </c>
      <c r="S167" s="134">
        <f t="shared" si="103"/>
        <v>153</v>
      </c>
    </row>
    <row r="168" spans="1:19" s="135" customFormat="1" x14ac:dyDescent="0.25">
      <c r="A168" s="129"/>
      <c r="B168" s="130">
        <v>5</v>
      </c>
      <c r="C168" s="27" t="s">
        <v>31</v>
      </c>
      <c r="D168" s="25">
        <v>71.400000000000006</v>
      </c>
      <c r="E168" s="29">
        <v>2</v>
      </c>
      <c r="F168" s="132">
        <f t="shared" si="104"/>
        <v>21848.400000000001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f t="shared" si="98"/>
        <v>4426.8</v>
      </c>
      <c r="O168" s="26">
        <f t="shared" si="99"/>
        <v>4284</v>
      </c>
      <c r="P168" s="26">
        <f t="shared" si="100"/>
        <v>4426.8</v>
      </c>
      <c r="Q168" s="26">
        <f t="shared" si="101"/>
        <v>4284</v>
      </c>
      <c r="R168" s="133">
        <f t="shared" si="102"/>
        <v>4426.8</v>
      </c>
      <c r="S168" s="134">
        <f t="shared" si="103"/>
        <v>153</v>
      </c>
    </row>
    <row r="169" spans="1:19" x14ac:dyDescent="0.25">
      <c r="A169" s="46"/>
      <c r="B169" s="121">
        <v>1</v>
      </c>
      <c r="C169" s="18" t="s">
        <v>43</v>
      </c>
      <c r="D169" s="19">
        <v>72.540000000000006</v>
      </c>
      <c r="E169" s="21">
        <v>4</v>
      </c>
      <c r="F169" s="124">
        <f t="shared" si="104"/>
        <v>61513.920000000006</v>
      </c>
      <c r="G169" s="125">
        <f>E169*D169*31</f>
        <v>8994.9600000000009</v>
      </c>
      <c r="H169" s="126">
        <f>E169*D169*28</f>
        <v>8124.4800000000005</v>
      </c>
      <c r="I169" s="125">
        <f>E169*D169*31</f>
        <v>8994.9600000000009</v>
      </c>
      <c r="J169" s="125">
        <f>E169*D169*30</f>
        <v>8704.8000000000011</v>
      </c>
      <c r="K169" s="35">
        <f>E169*D169*31</f>
        <v>8994.9600000000009</v>
      </c>
      <c r="L169" s="125">
        <f>E169*D169*30</f>
        <v>8704.8000000000011</v>
      </c>
      <c r="M169" s="125">
        <f>E169*D169*31</f>
        <v>8994.9600000000009</v>
      </c>
      <c r="N169" s="125">
        <v>0</v>
      </c>
      <c r="O169" s="125">
        <v>0</v>
      </c>
      <c r="P169" s="125">
        <v>0</v>
      </c>
      <c r="Q169" s="125">
        <v>0</v>
      </c>
      <c r="R169" s="127">
        <v>0</v>
      </c>
      <c r="S169" s="128">
        <v>212</v>
      </c>
    </row>
    <row r="170" spans="1:19" x14ac:dyDescent="0.25">
      <c r="A170" s="46"/>
      <c r="B170" s="121">
        <v>2</v>
      </c>
      <c r="C170" s="18" t="s">
        <v>47</v>
      </c>
      <c r="D170" s="19">
        <v>71.400000000000006</v>
      </c>
      <c r="E170" s="21">
        <v>1</v>
      </c>
      <c r="F170" s="124">
        <f t="shared" si="104"/>
        <v>15136.800000000001</v>
      </c>
      <c r="G170" s="125">
        <f>E170*D170*31</f>
        <v>2213.4</v>
      </c>
      <c r="H170" s="126">
        <f>E170*D170*28</f>
        <v>1999.2000000000003</v>
      </c>
      <c r="I170" s="125">
        <f>E170*D170*31</f>
        <v>2213.4</v>
      </c>
      <c r="J170" s="125">
        <f>E170*D170*30</f>
        <v>2142</v>
      </c>
      <c r="K170" s="35">
        <f>E170*D170*31</f>
        <v>2213.4</v>
      </c>
      <c r="L170" s="125">
        <f>E170*D170*30</f>
        <v>2142</v>
      </c>
      <c r="M170" s="125">
        <f>E170*D170*31</f>
        <v>2213.4</v>
      </c>
      <c r="N170" s="125">
        <v>0</v>
      </c>
      <c r="O170" s="125">
        <v>0</v>
      </c>
      <c r="P170" s="125">
        <v>0</v>
      </c>
      <c r="Q170" s="125">
        <v>0</v>
      </c>
      <c r="R170" s="127">
        <v>0</v>
      </c>
      <c r="S170" s="128">
        <v>212</v>
      </c>
    </row>
    <row r="171" spans="1:19" x14ac:dyDescent="0.25">
      <c r="A171" s="46"/>
      <c r="B171" s="121">
        <v>3</v>
      </c>
      <c r="C171" s="18" t="s">
        <v>51</v>
      </c>
      <c r="D171" s="19">
        <v>72.540000000000006</v>
      </c>
      <c r="E171" s="21">
        <v>1</v>
      </c>
      <c r="F171" s="124">
        <f t="shared" si="104"/>
        <v>15378.480000000001</v>
      </c>
      <c r="G171" s="125">
        <f t="shared" ref="G171:G173" si="105">E171*D171*31</f>
        <v>2248.7400000000002</v>
      </c>
      <c r="H171" s="126">
        <f t="shared" ref="H171:H173" si="106">E171*D171*28</f>
        <v>2031.1200000000001</v>
      </c>
      <c r="I171" s="125">
        <f t="shared" ref="I171:I174" si="107">E171*D171*31</f>
        <v>2248.7400000000002</v>
      </c>
      <c r="J171" s="125">
        <f t="shared" ref="J171:J174" si="108">E171*D171*30</f>
        <v>2176.2000000000003</v>
      </c>
      <c r="K171" s="35">
        <f t="shared" ref="K171:K174" si="109">E171*D171*31</f>
        <v>2248.7400000000002</v>
      </c>
      <c r="L171" s="125">
        <f t="shared" ref="L171:L174" si="110">E171*D171*30</f>
        <v>2176.2000000000003</v>
      </c>
      <c r="M171" s="125">
        <f t="shared" ref="M171:M174" si="111">E171*D171*31</f>
        <v>2248.7400000000002</v>
      </c>
      <c r="N171" s="125">
        <v>0</v>
      </c>
      <c r="O171" s="125">
        <v>0</v>
      </c>
      <c r="P171" s="125">
        <v>0</v>
      </c>
      <c r="Q171" s="125">
        <v>0</v>
      </c>
      <c r="R171" s="127">
        <v>0</v>
      </c>
      <c r="S171" s="128">
        <v>212</v>
      </c>
    </row>
    <row r="172" spans="1:19" x14ac:dyDescent="0.25">
      <c r="A172" s="46"/>
      <c r="B172" s="121">
        <v>4</v>
      </c>
      <c r="C172" s="18" t="s">
        <v>31</v>
      </c>
      <c r="D172" s="19">
        <v>71.400000000000006</v>
      </c>
      <c r="E172" s="21">
        <v>9</v>
      </c>
      <c r="F172" s="124">
        <f t="shared" si="104"/>
        <v>136231.20000000001</v>
      </c>
      <c r="G172" s="125">
        <f t="shared" si="105"/>
        <v>19920.600000000002</v>
      </c>
      <c r="H172" s="126">
        <f t="shared" si="106"/>
        <v>17992.8</v>
      </c>
      <c r="I172" s="125">
        <f t="shared" si="107"/>
        <v>19920.600000000002</v>
      </c>
      <c r="J172" s="125">
        <f t="shared" si="108"/>
        <v>19278</v>
      </c>
      <c r="K172" s="35">
        <f t="shared" si="109"/>
        <v>19920.600000000002</v>
      </c>
      <c r="L172" s="125">
        <f t="shared" si="110"/>
        <v>19278</v>
      </c>
      <c r="M172" s="125">
        <f t="shared" si="111"/>
        <v>19920.600000000002</v>
      </c>
      <c r="N172" s="125">
        <v>0</v>
      </c>
      <c r="O172" s="125">
        <v>0</v>
      </c>
      <c r="P172" s="125">
        <v>0</v>
      </c>
      <c r="Q172" s="125">
        <v>0</v>
      </c>
      <c r="R172" s="127">
        <v>0</v>
      </c>
      <c r="S172" s="128">
        <v>212</v>
      </c>
    </row>
    <row r="173" spans="1:19" x14ac:dyDescent="0.25">
      <c r="A173" s="46"/>
      <c r="B173" s="121">
        <v>5</v>
      </c>
      <c r="C173" s="18" t="s">
        <v>53</v>
      </c>
      <c r="D173" s="19">
        <v>71.400000000000006</v>
      </c>
      <c r="E173" s="21">
        <v>5</v>
      </c>
      <c r="F173" s="124">
        <f t="shared" si="104"/>
        <v>75684</v>
      </c>
      <c r="G173" s="125">
        <f t="shared" si="105"/>
        <v>11067</v>
      </c>
      <c r="H173" s="126">
        <f t="shared" si="106"/>
        <v>9996</v>
      </c>
      <c r="I173" s="125">
        <f t="shared" si="107"/>
        <v>11067</v>
      </c>
      <c r="J173" s="125">
        <f t="shared" si="108"/>
        <v>10710</v>
      </c>
      <c r="K173" s="35">
        <f t="shared" si="109"/>
        <v>11067</v>
      </c>
      <c r="L173" s="125">
        <f t="shared" si="110"/>
        <v>10710</v>
      </c>
      <c r="M173" s="125">
        <f t="shared" si="111"/>
        <v>11067</v>
      </c>
      <c r="N173" s="125">
        <v>0</v>
      </c>
      <c r="O173" s="125">
        <v>0</v>
      </c>
      <c r="P173" s="125">
        <v>0</v>
      </c>
      <c r="Q173" s="125">
        <v>0</v>
      </c>
      <c r="R173" s="127">
        <v>0</v>
      </c>
      <c r="S173" s="128">
        <v>212</v>
      </c>
    </row>
    <row r="174" spans="1:19" x14ac:dyDescent="0.25">
      <c r="A174" s="46"/>
      <c r="B174" s="121">
        <v>5</v>
      </c>
      <c r="C174" s="18" t="s">
        <v>53</v>
      </c>
      <c r="D174" s="19">
        <v>71.400000000000006</v>
      </c>
      <c r="E174" s="21">
        <v>1</v>
      </c>
      <c r="F174" s="124">
        <f t="shared" si="104"/>
        <v>15136.800000000001</v>
      </c>
      <c r="G174" s="125">
        <v>0</v>
      </c>
      <c r="H174" s="126">
        <f>E174*D174*28+D174*E174*31</f>
        <v>4212.6000000000004</v>
      </c>
      <c r="I174" s="125">
        <f t="shared" si="107"/>
        <v>2213.4</v>
      </c>
      <c r="J174" s="125">
        <f t="shared" si="108"/>
        <v>2142</v>
      </c>
      <c r="K174" s="35">
        <f t="shared" si="109"/>
        <v>2213.4</v>
      </c>
      <c r="L174" s="125">
        <f t="shared" si="110"/>
        <v>2142</v>
      </c>
      <c r="M174" s="125">
        <f t="shared" si="111"/>
        <v>2213.4</v>
      </c>
      <c r="N174" s="125">
        <v>0</v>
      </c>
      <c r="O174" s="125">
        <v>0</v>
      </c>
      <c r="P174" s="125">
        <v>0</v>
      </c>
      <c r="Q174" s="125">
        <v>0</v>
      </c>
      <c r="R174" s="127">
        <v>0</v>
      </c>
      <c r="S174" s="128">
        <f>212</f>
        <v>212</v>
      </c>
    </row>
    <row r="175" spans="1:19" x14ac:dyDescent="0.25">
      <c r="A175" s="46"/>
      <c r="B175" s="121">
        <v>6</v>
      </c>
      <c r="C175" s="122" t="s">
        <v>36</v>
      </c>
      <c r="D175" s="123">
        <v>80.86</v>
      </c>
      <c r="E175" s="20">
        <v>1</v>
      </c>
      <c r="F175" s="124">
        <f>+E175*S175*D175</f>
        <v>12209.86</v>
      </c>
      <c r="G175" s="125">
        <f>E175*D175*31</f>
        <v>2506.66</v>
      </c>
      <c r="H175" s="126">
        <f>E175*D175*28</f>
        <v>2264.08</v>
      </c>
      <c r="I175" s="125">
        <f>E175*D175*31</f>
        <v>2506.66</v>
      </c>
      <c r="J175" s="125">
        <f>E175*D175*30</f>
        <v>2425.8000000000002</v>
      </c>
      <c r="K175" s="35">
        <f>E175*D175*31</f>
        <v>2506.66</v>
      </c>
      <c r="L175" s="125">
        <v>0</v>
      </c>
      <c r="M175" s="125">
        <v>0</v>
      </c>
      <c r="N175" s="125">
        <v>0</v>
      </c>
      <c r="O175" s="125">
        <v>0</v>
      </c>
      <c r="P175" s="125">
        <v>0</v>
      </c>
      <c r="Q175" s="125">
        <v>0</v>
      </c>
      <c r="R175" s="127">
        <v>0</v>
      </c>
      <c r="S175" s="128">
        <f>212-30-31</f>
        <v>151</v>
      </c>
    </row>
    <row r="176" spans="1:19" s="135" customFormat="1" x14ac:dyDescent="0.25">
      <c r="A176" s="129"/>
      <c r="B176" s="130">
        <v>1</v>
      </c>
      <c r="C176" s="27" t="s">
        <v>43</v>
      </c>
      <c r="D176" s="25">
        <v>72.540000000000006</v>
      </c>
      <c r="E176" s="29">
        <v>4</v>
      </c>
      <c r="F176" s="132">
        <f t="shared" ref="F176:F189" si="112">+E176*S176*D176</f>
        <v>44394.48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f t="shared" ref="N176:N181" si="113">+D176*E176*31</f>
        <v>8994.9600000000009</v>
      </c>
      <c r="O176" s="26">
        <f t="shared" ref="O176:O181" si="114">+D176*E176*30</f>
        <v>8704.8000000000011</v>
      </c>
      <c r="P176" s="26">
        <f t="shared" ref="P176:P181" si="115">+D176*E176*31</f>
        <v>8994.9600000000009</v>
      </c>
      <c r="Q176" s="26">
        <f t="shared" ref="Q176:Q181" si="116">+D176*E176*30</f>
        <v>8704.8000000000011</v>
      </c>
      <c r="R176" s="133">
        <f t="shared" ref="R176:R181" si="117">+D176*E176*31</f>
        <v>8994.9600000000009</v>
      </c>
      <c r="S176" s="134">
        <f t="shared" ref="S176:S181" si="118">31+30+31+30+31</f>
        <v>153</v>
      </c>
    </row>
    <row r="177" spans="1:19" s="135" customFormat="1" x14ac:dyDescent="0.25">
      <c r="A177" s="129"/>
      <c r="B177" s="130">
        <v>2</v>
      </c>
      <c r="C177" s="27" t="s">
        <v>47</v>
      </c>
      <c r="D177" s="25">
        <v>71.400000000000006</v>
      </c>
      <c r="E177" s="29">
        <v>1</v>
      </c>
      <c r="F177" s="132">
        <f t="shared" si="112"/>
        <v>10924.2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f t="shared" si="113"/>
        <v>2213.4</v>
      </c>
      <c r="O177" s="26">
        <f t="shared" si="114"/>
        <v>2142</v>
      </c>
      <c r="P177" s="26">
        <f t="shared" si="115"/>
        <v>2213.4</v>
      </c>
      <c r="Q177" s="26">
        <f t="shared" si="116"/>
        <v>2142</v>
      </c>
      <c r="R177" s="133">
        <f t="shared" si="117"/>
        <v>2213.4</v>
      </c>
      <c r="S177" s="134">
        <f t="shared" si="118"/>
        <v>153</v>
      </c>
    </row>
    <row r="178" spans="1:19" s="135" customFormat="1" x14ac:dyDescent="0.25">
      <c r="A178" s="129"/>
      <c r="B178" s="130">
        <v>3</v>
      </c>
      <c r="C178" s="27" t="s">
        <v>51</v>
      </c>
      <c r="D178" s="25">
        <v>72.540000000000006</v>
      </c>
      <c r="E178" s="29">
        <v>1</v>
      </c>
      <c r="F178" s="132">
        <f t="shared" si="112"/>
        <v>11098.62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0</v>
      </c>
      <c r="N178" s="26">
        <f t="shared" si="113"/>
        <v>2248.7400000000002</v>
      </c>
      <c r="O178" s="26">
        <f t="shared" si="114"/>
        <v>2176.2000000000003</v>
      </c>
      <c r="P178" s="26">
        <f t="shared" si="115"/>
        <v>2248.7400000000002</v>
      </c>
      <c r="Q178" s="26">
        <f t="shared" si="116"/>
        <v>2176.2000000000003</v>
      </c>
      <c r="R178" s="133">
        <f t="shared" si="117"/>
        <v>2248.7400000000002</v>
      </c>
      <c r="S178" s="134">
        <f t="shared" si="118"/>
        <v>153</v>
      </c>
    </row>
    <row r="179" spans="1:19" s="135" customFormat="1" x14ac:dyDescent="0.25">
      <c r="A179" s="129"/>
      <c r="B179" s="130">
        <v>4</v>
      </c>
      <c r="C179" s="27" t="s">
        <v>31</v>
      </c>
      <c r="D179" s="25">
        <v>71.400000000000006</v>
      </c>
      <c r="E179" s="29">
        <v>9</v>
      </c>
      <c r="F179" s="132">
        <f t="shared" si="112"/>
        <v>98317.8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f t="shared" si="113"/>
        <v>19920.600000000002</v>
      </c>
      <c r="O179" s="26">
        <f t="shared" si="114"/>
        <v>19278</v>
      </c>
      <c r="P179" s="26">
        <f t="shared" si="115"/>
        <v>19920.600000000002</v>
      </c>
      <c r="Q179" s="26">
        <f t="shared" si="116"/>
        <v>19278</v>
      </c>
      <c r="R179" s="133">
        <f t="shared" si="117"/>
        <v>19920.600000000002</v>
      </c>
      <c r="S179" s="134">
        <f t="shared" si="118"/>
        <v>153</v>
      </c>
    </row>
    <row r="180" spans="1:19" s="5" customFormat="1" x14ac:dyDescent="0.25">
      <c r="A180" s="115"/>
      <c r="B180" s="116">
        <v>5</v>
      </c>
      <c r="C180" s="18" t="s">
        <v>53</v>
      </c>
      <c r="D180" s="19">
        <v>71.400000000000006</v>
      </c>
      <c r="E180" s="21">
        <v>1</v>
      </c>
      <c r="F180" s="117">
        <f t="shared" si="112"/>
        <v>0</v>
      </c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119">
        <v>0</v>
      </c>
      <c r="S180" s="120">
        <v>0</v>
      </c>
    </row>
    <row r="181" spans="1:19" s="135" customFormat="1" x14ac:dyDescent="0.25">
      <c r="A181" s="129"/>
      <c r="B181" s="130">
        <v>5</v>
      </c>
      <c r="C181" s="27" t="s">
        <v>53</v>
      </c>
      <c r="D181" s="25">
        <v>71.400000000000006</v>
      </c>
      <c r="E181" s="29">
        <v>5</v>
      </c>
      <c r="F181" s="132">
        <f t="shared" si="112"/>
        <v>54621.000000000007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f t="shared" si="113"/>
        <v>11067</v>
      </c>
      <c r="O181" s="26">
        <f t="shared" si="114"/>
        <v>10710</v>
      </c>
      <c r="P181" s="26">
        <f t="shared" si="115"/>
        <v>11067</v>
      </c>
      <c r="Q181" s="26">
        <f t="shared" si="116"/>
        <v>10710</v>
      </c>
      <c r="R181" s="133">
        <f t="shared" si="117"/>
        <v>11067</v>
      </c>
      <c r="S181" s="134">
        <f t="shared" si="118"/>
        <v>153</v>
      </c>
    </row>
    <row r="182" spans="1:19" x14ac:dyDescent="0.25">
      <c r="A182" s="46"/>
      <c r="B182" s="121">
        <v>1</v>
      </c>
      <c r="C182" s="122" t="s">
        <v>34</v>
      </c>
      <c r="D182" s="123">
        <v>71.400000000000006</v>
      </c>
      <c r="E182" s="225">
        <v>2</v>
      </c>
      <c r="F182" s="124">
        <f t="shared" si="112"/>
        <v>30273.600000000002</v>
      </c>
      <c r="G182" s="125">
        <f>E182*D182*31</f>
        <v>4426.8</v>
      </c>
      <c r="H182" s="126">
        <f>E182*D182*28</f>
        <v>3998.4000000000005</v>
      </c>
      <c r="I182" s="125">
        <f>E182*D182*31</f>
        <v>4426.8</v>
      </c>
      <c r="J182" s="125">
        <f>E182*D182*30</f>
        <v>4284</v>
      </c>
      <c r="K182" s="35">
        <f>E182*D182*31</f>
        <v>4426.8</v>
      </c>
      <c r="L182" s="125">
        <f>E182*D182*30</f>
        <v>4284</v>
      </c>
      <c r="M182" s="125">
        <f>E182*D182*31</f>
        <v>4426.8</v>
      </c>
      <c r="N182" s="125">
        <v>0</v>
      </c>
      <c r="O182" s="125">
        <v>0</v>
      </c>
      <c r="P182" s="125">
        <v>0</v>
      </c>
      <c r="Q182" s="125">
        <v>0</v>
      </c>
      <c r="R182" s="127">
        <v>0</v>
      </c>
      <c r="S182" s="128">
        <v>212</v>
      </c>
    </row>
    <row r="183" spans="1:19" x14ac:dyDescent="0.25">
      <c r="A183" s="46"/>
      <c r="B183" s="121">
        <v>2</v>
      </c>
      <c r="C183" s="122" t="s">
        <v>31</v>
      </c>
      <c r="D183" s="123">
        <v>71.400000000000006</v>
      </c>
      <c r="E183" s="20">
        <v>1</v>
      </c>
      <c r="F183" s="124">
        <f t="shared" si="112"/>
        <v>15136.800000000001</v>
      </c>
      <c r="G183" s="125">
        <f>E183*D183*31</f>
        <v>2213.4</v>
      </c>
      <c r="H183" s="126">
        <f>E183*D183*28</f>
        <v>1999.2000000000003</v>
      </c>
      <c r="I183" s="125">
        <f>E183*D183*31</f>
        <v>2213.4</v>
      </c>
      <c r="J183" s="125">
        <f>E183*D183*30</f>
        <v>2142</v>
      </c>
      <c r="K183" s="35">
        <f>E183*D183*31</f>
        <v>2213.4</v>
      </c>
      <c r="L183" s="125">
        <f>E183*D183*30</f>
        <v>2142</v>
      </c>
      <c r="M183" s="125">
        <f>E183*D183*31</f>
        <v>2213.4</v>
      </c>
      <c r="N183" s="125">
        <v>0</v>
      </c>
      <c r="O183" s="125">
        <v>0</v>
      </c>
      <c r="P183" s="125">
        <v>0</v>
      </c>
      <c r="Q183" s="125">
        <v>0</v>
      </c>
      <c r="R183" s="127">
        <v>0</v>
      </c>
      <c r="S183" s="128">
        <v>212</v>
      </c>
    </row>
    <row r="184" spans="1:19" x14ac:dyDescent="0.25">
      <c r="A184" s="46"/>
      <c r="B184" s="121">
        <v>5</v>
      </c>
      <c r="C184" s="122" t="s">
        <v>37</v>
      </c>
      <c r="D184" s="123">
        <v>71.400000000000006</v>
      </c>
      <c r="E184" s="20">
        <v>1</v>
      </c>
      <c r="F184" s="124">
        <f t="shared" si="112"/>
        <v>5283.6</v>
      </c>
      <c r="G184" s="125">
        <v>0</v>
      </c>
      <c r="H184" s="126">
        <f t="shared" ref="H184:H187" si="119">E184*D184*28+D184*E184*15</f>
        <v>3070.2000000000003</v>
      </c>
      <c r="I184" s="125">
        <f>E184*D184*31</f>
        <v>2213.4</v>
      </c>
      <c r="J184" s="125">
        <v>0</v>
      </c>
      <c r="K184" s="35">
        <v>0</v>
      </c>
      <c r="L184" s="125">
        <v>0</v>
      </c>
      <c r="M184" s="125">
        <v>0</v>
      </c>
      <c r="N184" s="125">
        <v>0</v>
      </c>
      <c r="O184" s="125">
        <v>0</v>
      </c>
      <c r="P184" s="125">
        <v>0</v>
      </c>
      <c r="Q184" s="125">
        <v>0</v>
      </c>
      <c r="R184" s="127">
        <v>0</v>
      </c>
      <c r="S184" s="128">
        <f>15+28+31</f>
        <v>74</v>
      </c>
    </row>
    <row r="185" spans="1:19" x14ac:dyDescent="0.25">
      <c r="A185" s="46"/>
      <c r="B185" s="121">
        <v>6</v>
      </c>
      <c r="C185" s="122" t="s">
        <v>37</v>
      </c>
      <c r="D185" s="123">
        <v>71.400000000000006</v>
      </c>
      <c r="E185" s="20">
        <v>1</v>
      </c>
      <c r="F185" s="124">
        <f t="shared" si="112"/>
        <v>6497.4000000000005</v>
      </c>
      <c r="G185" s="125">
        <v>0</v>
      </c>
      <c r="H185" s="126">
        <v>0</v>
      </c>
      <c r="I185" s="125">
        <v>0</v>
      </c>
      <c r="J185" s="125">
        <f>E185*D185*30</f>
        <v>2142</v>
      </c>
      <c r="K185" s="35">
        <f t="shared" ref="K185" si="120">E185*D185*31</f>
        <v>2213.4</v>
      </c>
      <c r="L185" s="125">
        <f t="shared" ref="L185" si="121">E185*D185*30</f>
        <v>2142</v>
      </c>
      <c r="M185" s="125">
        <v>0</v>
      </c>
      <c r="N185" s="125">
        <v>0</v>
      </c>
      <c r="O185" s="125">
        <v>0</v>
      </c>
      <c r="P185" s="125">
        <v>0</v>
      </c>
      <c r="Q185" s="125">
        <v>0</v>
      </c>
      <c r="R185" s="127">
        <v>0</v>
      </c>
      <c r="S185" s="128">
        <f>30+31+30</f>
        <v>91</v>
      </c>
    </row>
    <row r="186" spans="1:19" s="135" customFormat="1" x14ac:dyDescent="0.25">
      <c r="A186" s="129"/>
      <c r="B186" s="130">
        <v>7</v>
      </c>
      <c r="C186" s="27" t="s">
        <v>37</v>
      </c>
      <c r="D186" s="25">
        <v>71.400000000000006</v>
      </c>
      <c r="E186" s="29">
        <v>1</v>
      </c>
      <c r="F186" s="132">
        <f t="shared" si="112"/>
        <v>6568.8</v>
      </c>
      <c r="G186" s="26">
        <v>0</v>
      </c>
      <c r="H186" s="140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f t="shared" ref="M186" si="122">E186*D186*31</f>
        <v>2213.4</v>
      </c>
      <c r="N186" s="26">
        <f>E186*D186*31</f>
        <v>2213.4</v>
      </c>
      <c r="O186" s="26">
        <f>E186*D186*30</f>
        <v>2142</v>
      </c>
      <c r="P186" s="26">
        <v>0</v>
      </c>
      <c r="Q186" s="26">
        <v>0</v>
      </c>
      <c r="R186" s="133">
        <v>0</v>
      </c>
      <c r="S186" s="134">
        <f>31+31+30</f>
        <v>92</v>
      </c>
    </row>
    <row r="187" spans="1:19" s="5" customFormat="1" x14ac:dyDescent="0.25">
      <c r="A187" s="115"/>
      <c r="B187" s="116">
        <v>4</v>
      </c>
      <c r="C187" s="18" t="s">
        <v>53</v>
      </c>
      <c r="D187" s="19">
        <v>71.400000000000006</v>
      </c>
      <c r="E187" s="21">
        <v>1</v>
      </c>
      <c r="F187" s="117">
        <f t="shared" si="112"/>
        <v>5283.6</v>
      </c>
      <c r="G187" s="35">
        <v>0</v>
      </c>
      <c r="H187" s="118">
        <f t="shared" si="119"/>
        <v>3070.2000000000003</v>
      </c>
      <c r="I187" s="35">
        <f>E187*D187*31</f>
        <v>2213.4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119">
        <v>0</v>
      </c>
      <c r="S187" s="120">
        <f>15+28+31</f>
        <v>74</v>
      </c>
    </row>
    <row r="188" spans="1:19" s="5" customFormat="1" x14ac:dyDescent="0.25">
      <c r="A188" s="115"/>
      <c r="B188" s="116">
        <v>8</v>
      </c>
      <c r="C188" s="18" t="s">
        <v>53</v>
      </c>
      <c r="D188" s="19">
        <v>71.400000000000006</v>
      </c>
      <c r="E188" s="21">
        <v>1</v>
      </c>
      <c r="F188" s="117">
        <f t="shared" si="112"/>
        <v>6497.4000000000005</v>
      </c>
      <c r="G188" s="35">
        <v>0</v>
      </c>
      <c r="H188" s="118">
        <v>0</v>
      </c>
      <c r="I188" s="35">
        <v>0</v>
      </c>
      <c r="J188" s="35">
        <f>E188*D188*30</f>
        <v>2142</v>
      </c>
      <c r="K188" s="35">
        <f t="shared" ref="K188" si="123">E188*D188*31</f>
        <v>2213.4</v>
      </c>
      <c r="L188" s="35">
        <f t="shared" ref="L188" si="124">E188*D188*30</f>
        <v>2142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119">
        <v>0</v>
      </c>
      <c r="S188" s="120">
        <f>30+31+30</f>
        <v>91</v>
      </c>
    </row>
    <row r="189" spans="1:19" s="135" customFormat="1" x14ac:dyDescent="0.25">
      <c r="A189" s="129"/>
      <c r="B189" s="130">
        <v>9</v>
      </c>
      <c r="C189" s="27" t="s">
        <v>53</v>
      </c>
      <c r="D189" s="25">
        <v>71.400000000000006</v>
      </c>
      <c r="E189" s="29">
        <v>1</v>
      </c>
      <c r="F189" s="132">
        <f t="shared" si="112"/>
        <v>6568.8</v>
      </c>
      <c r="G189" s="26">
        <v>0</v>
      </c>
      <c r="H189" s="140">
        <v>0</v>
      </c>
      <c r="I189" s="26">
        <v>0</v>
      </c>
      <c r="J189" s="26">
        <v>0</v>
      </c>
      <c r="K189" s="26">
        <v>0</v>
      </c>
      <c r="L189" s="26">
        <v>0</v>
      </c>
      <c r="M189" s="26">
        <f t="shared" ref="M189" si="125">E189*D189*31</f>
        <v>2213.4</v>
      </c>
      <c r="N189" s="26">
        <f>E189*D189*31</f>
        <v>2213.4</v>
      </c>
      <c r="O189" s="26">
        <f>E189*D189*30</f>
        <v>2142</v>
      </c>
      <c r="P189" s="26">
        <v>0</v>
      </c>
      <c r="Q189" s="26">
        <v>0</v>
      </c>
      <c r="R189" s="133">
        <v>0</v>
      </c>
      <c r="S189" s="134">
        <f>31+31+30</f>
        <v>92</v>
      </c>
    </row>
    <row r="190" spans="1:19" x14ac:dyDescent="0.25">
      <c r="A190" s="46"/>
      <c r="B190" s="121">
        <v>3</v>
      </c>
      <c r="C190" s="122" t="s">
        <v>53</v>
      </c>
      <c r="D190" s="123">
        <v>71.400000000000006</v>
      </c>
      <c r="E190" s="20">
        <v>13</v>
      </c>
      <c r="F190" s="124">
        <f>+E190*S190*D190</f>
        <v>196778.40000000002</v>
      </c>
      <c r="G190" s="125">
        <f>E190*D190*31</f>
        <v>28774.2</v>
      </c>
      <c r="H190" s="126">
        <f>E190*D190*28</f>
        <v>25989.600000000002</v>
      </c>
      <c r="I190" s="125">
        <f>E190*D190*31</f>
        <v>28774.2</v>
      </c>
      <c r="J190" s="125">
        <f>E190*D190*30</f>
        <v>27846</v>
      </c>
      <c r="K190" s="35">
        <f>E190*D190*31</f>
        <v>28774.2</v>
      </c>
      <c r="L190" s="125">
        <f>E190*D190*30</f>
        <v>27846</v>
      </c>
      <c r="M190" s="125">
        <f>E190*D190*31</f>
        <v>28774.2</v>
      </c>
      <c r="N190" s="125">
        <v>0</v>
      </c>
      <c r="O190" s="125">
        <v>0</v>
      </c>
      <c r="P190" s="125">
        <v>0</v>
      </c>
      <c r="Q190" s="125">
        <v>0</v>
      </c>
      <c r="R190" s="127">
        <v>0</v>
      </c>
      <c r="S190" s="128">
        <v>212</v>
      </c>
    </row>
    <row r="191" spans="1:19" s="135" customFormat="1" x14ac:dyDescent="0.25">
      <c r="A191" s="129"/>
      <c r="B191" s="130">
        <v>1</v>
      </c>
      <c r="C191" s="27" t="s">
        <v>34</v>
      </c>
      <c r="D191" s="25">
        <v>71.400000000000006</v>
      </c>
      <c r="E191" s="235">
        <v>2</v>
      </c>
      <c r="F191" s="132">
        <f t="shared" ref="F191:F192" si="126">+E191*S191*D191</f>
        <v>21848.400000000001</v>
      </c>
      <c r="G191" s="26">
        <v>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f t="shared" ref="N191:N193" si="127">+D191*E191*31</f>
        <v>4426.8</v>
      </c>
      <c r="O191" s="26">
        <f t="shared" ref="O191:O193" si="128">+D191*E191*30</f>
        <v>4284</v>
      </c>
      <c r="P191" s="26">
        <f t="shared" ref="P191:P193" si="129">+D191*E191*31</f>
        <v>4426.8</v>
      </c>
      <c r="Q191" s="26">
        <f t="shared" ref="Q191:Q193" si="130">+D191*E191*30</f>
        <v>4284</v>
      </c>
      <c r="R191" s="133">
        <f t="shared" ref="R191:R193" si="131">+D191*E191*31</f>
        <v>4426.8</v>
      </c>
      <c r="S191" s="134">
        <f t="shared" ref="S191:S193" si="132">31+30+31+30+31</f>
        <v>153</v>
      </c>
    </row>
    <row r="192" spans="1:19" s="135" customFormat="1" x14ac:dyDescent="0.25">
      <c r="A192" s="129"/>
      <c r="B192" s="130">
        <v>2</v>
      </c>
      <c r="C192" s="27" t="s">
        <v>31</v>
      </c>
      <c r="D192" s="25">
        <v>71.400000000000006</v>
      </c>
      <c r="E192" s="29">
        <v>1</v>
      </c>
      <c r="F192" s="132">
        <f t="shared" si="126"/>
        <v>10924.2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f t="shared" si="127"/>
        <v>2213.4</v>
      </c>
      <c r="O192" s="26">
        <f t="shared" si="128"/>
        <v>2142</v>
      </c>
      <c r="P192" s="26">
        <f t="shared" si="129"/>
        <v>2213.4</v>
      </c>
      <c r="Q192" s="26">
        <f t="shared" si="130"/>
        <v>2142</v>
      </c>
      <c r="R192" s="133">
        <f t="shared" si="131"/>
        <v>2213.4</v>
      </c>
      <c r="S192" s="134">
        <f t="shared" si="132"/>
        <v>153</v>
      </c>
    </row>
    <row r="193" spans="1:19" s="135" customFormat="1" x14ac:dyDescent="0.25">
      <c r="A193" s="129"/>
      <c r="B193" s="130">
        <v>3</v>
      </c>
      <c r="C193" s="27" t="s">
        <v>53</v>
      </c>
      <c r="D193" s="25">
        <v>71.400000000000006</v>
      </c>
      <c r="E193" s="29">
        <v>13</v>
      </c>
      <c r="F193" s="132">
        <f>+E193*S193*D193</f>
        <v>142014.6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f t="shared" si="127"/>
        <v>28774.2</v>
      </c>
      <c r="O193" s="26">
        <f t="shared" si="128"/>
        <v>27846</v>
      </c>
      <c r="P193" s="26">
        <f t="shared" si="129"/>
        <v>28774.2</v>
      </c>
      <c r="Q193" s="26">
        <f t="shared" si="130"/>
        <v>27846</v>
      </c>
      <c r="R193" s="133">
        <f t="shared" si="131"/>
        <v>28774.2</v>
      </c>
      <c r="S193" s="134">
        <f t="shared" si="132"/>
        <v>153</v>
      </c>
    </row>
    <row r="194" spans="1:19" x14ac:dyDescent="0.25">
      <c r="A194" s="46"/>
      <c r="B194" s="121">
        <v>1</v>
      </c>
      <c r="C194" s="122" t="s">
        <v>46</v>
      </c>
      <c r="D194" s="123">
        <v>74.63</v>
      </c>
      <c r="E194" s="20">
        <v>2</v>
      </c>
      <c r="F194" s="124">
        <f t="shared" ref="F194:F215" si="133">+E194*S194*D194</f>
        <v>31643.119999999999</v>
      </c>
      <c r="G194" s="125">
        <f>E194*D194*31</f>
        <v>4627.0599999999995</v>
      </c>
      <c r="H194" s="126">
        <f>E194*D194*28</f>
        <v>4179.28</v>
      </c>
      <c r="I194" s="125">
        <f>E194*D194*31</f>
        <v>4627.0599999999995</v>
      </c>
      <c r="J194" s="125">
        <f>E194*D194*30</f>
        <v>4477.7999999999993</v>
      </c>
      <c r="K194" s="35">
        <f>E194*D194*31</f>
        <v>4627.0599999999995</v>
      </c>
      <c r="L194" s="125">
        <f>E194*D194*30</f>
        <v>4477.7999999999993</v>
      </c>
      <c r="M194" s="125">
        <f>E194*D194*31</f>
        <v>4627.0599999999995</v>
      </c>
      <c r="N194" s="125">
        <v>0</v>
      </c>
      <c r="O194" s="125">
        <v>0</v>
      </c>
      <c r="P194" s="125">
        <v>0</v>
      </c>
      <c r="Q194" s="125">
        <v>0</v>
      </c>
      <c r="R194" s="127">
        <v>0</v>
      </c>
      <c r="S194" s="128">
        <v>212</v>
      </c>
    </row>
    <row r="195" spans="1:19" x14ac:dyDescent="0.25">
      <c r="A195" s="46"/>
      <c r="B195" s="121">
        <v>2</v>
      </c>
      <c r="C195" s="122" t="s">
        <v>34</v>
      </c>
      <c r="D195" s="123">
        <v>71.400000000000006</v>
      </c>
      <c r="E195" s="20">
        <v>1</v>
      </c>
      <c r="F195" s="124">
        <f t="shared" si="133"/>
        <v>15136.800000000001</v>
      </c>
      <c r="G195" s="125">
        <f>E195*D195*31</f>
        <v>2213.4</v>
      </c>
      <c r="H195" s="126">
        <f>E195*D195*28</f>
        <v>1999.2000000000003</v>
      </c>
      <c r="I195" s="125">
        <f>E195*D195*31</f>
        <v>2213.4</v>
      </c>
      <c r="J195" s="125">
        <f>E195*D195*30</f>
        <v>2142</v>
      </c>
      <c r="K195" s="35">
        <f>E195*D195*31</f>
        <v>2213.4</v>
      </c>
      <c r="L195" s="125">
        <f>E195*D195*30</f>
        <v>2142</v>
      </c>
      <c r="M195" s="125">
        <f>E195*D195*31</f>
        <v>2213.4</v>
      </c>
      <c r="N195" s="125">
        <v>0</v>
      </c>
      <c r="O195" s="125">
        <v>0</v>
      </c>
      <c r="P195" s="125">
        <v>0</v>
      </c>
      <c r="Q195" s="125">
        <v>0</v>
      </c>
      <c r="R195" s="127">
        <v>0</v>
      </c>
      <c r="S195" s="128">
        <v>212</v>
      </c>
    </row>
    <row r="196" spans="1:19" x14ac:dyDescent="0.25">
      <c r="A196" s="46"/>
      <c r="B196" s="121">
        <v>3</v>
      </c>
      <c r="C196" s="122" t="s">
        <v>31</v>
      </c>
      <c r="D196" s="123">
        <v>71.400000000000006</v>
      </c>
      <c r="E196" s="20">
        <v>1</v>
      </c>
      <c r="F196" s="124">
        <f t="shared" si="133"/>
        <v>15136.800000000001</v>
      </c>
      <c r="G196" s="125">
        <f>E196*D196*31</f>
        <v>2213.4</v>
      </c>
      <c r="H196" s="126">
        <f>E196*D196*28</f>
        <v>1999.2000000000003</v>
      </c>
      <c r="I196" s="125">
        <f>E196*D196*31</f>
        <v>2213.4</v>
      </c>
      <c r="J196" s="125">
        <f>E196*D196*30</f>
        <v>2142</v>
      </c>
      <c r="K196" s="35">
        <f>E196*D196*31</f>
        <v>2213.4</v>
      </c>
      <c r="L196" s="125">
        <f>E196*D196*30</f>
        <v>2142</v>
      </c>
      <c r="M196" s="125">
        <f>E196*D196*31</f>
        <v>2213.4</v>
      </c>
      <c r="N196" s="125">
        <v>0</v>
      </c>
      <c r="O196" s="125">
        <v>0</v>
      </c>
      <c r="P196" s="125">
        <v>0</v>
      </c>
      <c r="Q196" s="125">
        <v>0</v>
      </c>
      <c r="R196" s="127">
        <v>0</v>
      </c>
      <c r="S196" s="128">
        <v>212</v>
      </c>
    </row>
    <row r="197" spans="1:19" x14ac:dyDescent="0.25">
      <c r="A197" s="46"/>
      <c r="B197" s="121">
        <v>4</v>
      </c>
      <c r="C197" s="122" t="s">
        <v>53</v>
      </c>
      <c r="D197" s="123">
        <v>71.400000000000006</v>
      </c>
      <c r="E197" s="20">
        <v>13</v>
      </c>
      <c r="F197" s="124">
        <f t="shared" si="133"/>
        <v>196778.40000000002</v>
      </c>
      <c r="G197" s="125">
        <f>E197*D197*31</f>
        <v>28774.2</v>
      </c>
      <c r="H197" s="126">
        <f>E197*D197*28</f>
        <v>25989.600000000002</v>
      </c>
      <c r="I197" s="125">
        <f>E197*D197*31</f>
        <v>28774.2</v>
      </c>
      <c r="J197" s="125">
        <f>E197*D197*30</f>
        <v>27846</v>
      </c>
      <c r="K197" s="35">
        <f>E197*D197*31</f>
        <v>28774.2</v>
      </c>
      <c r="L197" s="125">
        <f>E197*D197*30</f>
        <v>27846</v>
      </c>
      <c r="M197" s="125">
        <f>E197*D197*31</f>
        <v>28774.2</v>
      </c>
      <c r="N197" s="125">
        <v>0</v>
      </c>
      <c r="O197" s="125">
        <v>0</v>
      </c>
      <c r="P197" s="125">
        <v>0</v>
      </c>
      <c r="Q197" s="125">
        <v>0</v>
      </c>
      <c r="R197" s="127">
        <v>0</v>
      </c>
      <c r="S197" s="128">
        <v>212</v>
      </c>
    </row>
    <row r="198" spans="1:19" s="135" customFormat="1" x14ac:dyDescent="0.25">
      <c r="A198" s="129"/>
      <c r="B198" s="130">
        <v>1</v>
      </c>
      <c r="C198" s="27" t="s">
        <v>46</v>
      </c>
      <c r="D198" s="25">
        <v>74.63</v>
      </c>
      <c r="E198" s="29">
        <v>2</v>
      </c>
      <c r="F198" s="132">
        <f t="shared" si="133"/>
        <v>22836.78</v>
      </c>
      <c r="G198" s="26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f t="shared" ref="N198:N201" si="134">+D198*E198*31</f>
        <v>4627.0599999999995</v>
      </c>
      <c r="O198" s="26">
        <f t="shared" ref="O198:O201" si="135">+D198*E198*30</f>
        <v>4477.7999999999993</v>
      </c>
      <c r="P198" s="26">
        <f t="shared" ref="P198:P201" si="136">+D198*E198*31</f>
        <v>4627.0599999999995</v>
      </c>
      <c r="Q198" s="26">
        <f t="shared" ref="Q198:Q201" si="137">+D198*E198*30</f>
        <v>4477.7999999999993</v>
      </c>
      <c r="R198" s="133">
        <f t="shared" ref="R198:R201" si="138">+D198*E198*31</f>
        <v>4627.0599999999995</v>
      </c>
      <c r="S198" s="134">
        <f t="shared" ref="S198:S201" si="139">31+30+31+30+31</f>
        <v>153</v>
      </c>
    </row>
    <row r="199" spans="1:19" s="5" customFormat="1" x14ac:dyDescent="0.25">
      <c r="A199" s="115"/>
      <c r="B199" s="116">
        <v>2</v>
      </c>
      <c r="C199" s="18" t="s">
        <v>34</v>
      </c>
      <c r="D199" s="19">
        <v>71.400000000000006</v>
      </c>
      <c r="E199" s="21">
        <v>1</v>
      </c>
      <c r="F199" s="117">
        <f t="shared" si="133"/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119">
        <v>0</v>
      </c>
      <c r="S199" s="120">
        <v>0</v>
      </c>
    </row>
    <row r="200" spans="1:19" s="135" customFormat="1" x14ac:dyDescent="0.25">
      <c r="A200" s="129"/>
      <c r="B200" s="130">
        <v>3</v>
      </c>
      <c r="C200" s="27" t="s">
        <v>31</v>
      </c>
      <c r="D200" s="25">
        <v>71.400000000000006</v>
      </c>
      <c r="E200" s="29">
        <v>1</v>
      </c>
      <c r="F200" s="132">
        <f t="shared" si="133"/>
        <v>10924.2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f t="shared" si="134"/>
        <v>2213.4</v>
      </c>
      <c r="O200" s="26">
        <f t="shared" si="135"/>
        <v>2142</v>
      </c>
      <c r="P200" s="26">
        <f t="shared" si="136"/>
        <v>2213.4</v>
      </c>
      <c r="Q200" s="26">
        <f t="shared" si="137"/>
        <v>2142</v>
      </c>
      <c r="R200" s="133">
        <f t="shared" si="138"/>
        <v>2213.4</v>
      </c>
      <c r="S200" s="134">
        <f t="shared" si="139"/>
        <v>153</v>
      </c>
    </row>
    <row r="201" spans="1:19" s="135" customFormat="1" x14ac:dyDescent="0.25">
      <c r="A201" s="129"/>
      <c r="B201" s="130">
        <v>4</v>
      </c>
      <c r="C201" s="27" t="s">
        <v>53</v>
      </c>
      <c r="D201" s="25">
        <v>71.400000000000006</v>
      </c>
      <c r="E201" s="29">
        <v>13</v>
      </c>
      <c r="F201" s="132">
        <f t="shared" si="133"/>
        <v>142014.6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f t="shared" si="134"/>
        <v>28774.2</v>
      </c>
      <c r="O201" s="26">
        <f t="shared" si="135"/>
        <v>27846</v>
      </c>
      <c r="P201" s="26">
        <f t="shared" si="136"/>
        <v>28774.2</v>
      </c>
      <c r="Q201" s="26">
        <f t="shared" si="137"/>
        <v>27846</v>
      </c>
      <c r="R201" s="133">
        <f t="shared" si="138"/>
        <v>28774.2</v>
      </c>
      <c r="S201" s="134">
        <f t="shared" si="139"/>
        <v>153</v>
      </c>
    </row>
    <row r="202" spans="1:19" x14ac:dyDescent="0.25">
      <c r="A202" s="46"/>
      <c r="B202" s="121">
        <v>1</v>
      </c>
      <c r="C202" s="122" t="s">
        <v>34</v>
      </c>
      <c r="D202" s="123">
        <v>71.400000000000006</v>
      </c>
      <c r="E202" s="20">
        <v>1</v>
      </c>
      <c r="F202" s="124">
        <f t="shared" si="133"/>
        <v>15136.800000000001</v>
      </c>
      <c r="G202" s="125">
        <f>E202*D202*31</f>
        <v>2213.4</v>
      </c>
      <c r="H202" s="126">
        <f>E202*D202*28</f>
        <v>1999.2000000000003</v>
      </c>
      <c r="I202" s="125">
        <f>E202*D202*31</f>
        <v>2213.4</v>
      </c>
      <c r="J202" s="125">
        <f>E202*D202*30</f>
        <v>2142</v>
      </c>
      <c r="K202" s="35">
        <f>E202*D202*31</f>
        <v>2213.4</v>
      </c>
      <c r="L202" s="125">
        <f>E202*D202*30</f>
        <v>2142</v>
      </c>
      <c r="M202" s="125">
        <f>E202*D202*31</f>
        <v>2213.4</v>
      </c>
      <c r="N202" s="125">
        <v>0</v>
      </c>
      <c r="O202" s="125">
        <v>0</v>
      </c>
      <c r="P202" s="125">
        <v>0</v>
      </c>
      <c r="Q202" s="125">
        <v>0</v>
      </c>
      <c r="R202" s="127">
        <v>0</v>
      </c>
      <c r="S202" s="128">
        <v>212</v>
      </c>
    </row>
    <row r="203" spans="1:19" x14ac:dyDescent="0.25">
      <c r="A203" s="46"/>
      <c r="B203" s="121">
        <v>3</v>
      </c>
      <c r="C203" s="122" t="s">
        <v>53</v>
      </c>
      <c r="D203" s="123">
        <v>71.400000000000006</v>
      </c>
      <c r="E203" s="20">
        <v>1</v>
      </c>
      <c r="F203" s="124">
        <f t="shared" si="133"/>
        <v>5283.6</v>
      </c>
      <c r="G203" s="125">
        <v>0</v>
      </c>
      <c r="H203" s="126">
        <f>E203*D203*28+D203*E203*15</f>
        <v>3070.2000000000003</v>
      </c>
      <c r="I203" s="125">
        <f>E203*D203*31</f>
        <v>2213.4</v>
      </c>
      <c r="J203" s="125">
        <v>0</v>
      </c>
      <c r="K203" s="35">
        <v>0</v>
      </c>
      <c r="L203" s="125">
        <v>0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7">
        <v>0</v>
      </c>
      <c r="S203" s="128">
        <f>15+28+31</f>
        <v>74</v>
      </c>
    </row>
    <row r="204" spans="1:19" x14ac:dyDescent="0.25">
      <c r="A204" s="46"/>
      <c r="B204" s="121">
        <v>4</v>
      </c>
      <c r="C204" s="122" t="s">
        <v>53</v>
      </c>
      <c r="D204" s="123">
        <v>71.400000000000006</v>
      </c>
      <c r="E204" s="20">
        <v>1</v>
      </c>
      <c r="F204" s="124">
        <f t="shared" si="133"/>
        <v>6497.4000000000005</v>
      </c>
      <c r="G204" s="125">
        <v>0</v>
      </c>
      <c r="H204" s="126">
        <v>0</v>
      </c>
      <c r="I204" s="125">
        <v>0</v>
      </c>
      <c r="J204" s="125">
        <f>E204*D204*30</f>
        <v>2142</v>
      </c>
      <c r="K204" s="35">
        <f t="shared" ref="K204" si="140">E204*D204*31</f>
        <v>2213.4</v>
      </c>
      <c r="L204" s="125">
        <f t="shared" ref="L204" si="141">E204*D204*30</f>
        <v>2142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7">
        <v>0</v>
      </c>
      <c r="S204" s="128">
        <f>30+31+30</f>
        <v>91</v>
      </c>
    </row>
    <row r="205" spans="1:19" x14ac:dyDescent="0.25">
      <c r="A205" s="46"/>
      <c r="B205" s="121">
        <v>2</v>
      </c>
      <c r="C205" s="122" t="s">
        <v>53</v>
      </c>
      <c r="D205" s="123">
        <v>71.400000000000006</v>
      </c>
      <c r="E205" s="20">
        <v>8</v>
      </c>
      <c r="F205" s="124">
        <f t="shared" si="133"/>
        <v>121094.40000000001</v>
      </c>
      <c r="G205" s="125">
        <f>E205*D205*31</f>
        <v>17707.2</v>
      </c>
      <c r="H205" s="126">
        <f>E205*D205*28</f>
        <v>15993.600000000002</v>
      </c>
      <c r="I205" s="125">
        <f>E205*D205*31</f>
        <v>17707.2</v>
      </c>
      <c r="J205" s="125">
        <f>E205*D205*30</f>
        <v>17136</v>
      </c>
      <c r="K205" s="35">
        <f>E205*D205*31</f>
        <v>17707.2</v>
      </c>
      <c r="L205" s="125">
        <f>E205*D205*30</f>
        <v>17136</v>
      </c>
      <c r="M205" s="125">
        <f>E205*D205*31</f>
        <v>17707.2</v>
      </c>
      <c r="N205" s="125">
        <v>0</v>
      </c>
      <c r="O205" s="125">
        <v>0</v>
      </c>
      <c r="P205" s="125">
        <v>0</v>
      </c>
      <c r="Q205" s="125">
        <v>0</v>
      </c>
      <c r="R205" s="127">
        <v>0</v>
      </c>
      <c r="S205" s="128">
        <v>212</v>
      </c>
    </row>
    <row r="206" spans="1:19" s="135" customFormat="1" x14ac:dyDescent="0.25">
      <c r="A206" s="129"/>
      <c r="B206" s="130">
        <v>5</v>
      </c>
      <c r="C206" s="27" t="s">
        <v>53</v>
      </c>
      <c r="D206" s="25">
        <v>71.400000000000006</v>
      </c>
      <c r="E206" s="29">
        <v>1</v>
      </c>
      <c r="F206" s="132">
        <f t="shared" si="133"/>
        <v>6568.8</v>
      </c>
      <c r="G206" s="26">
        <v>0</v>
      </c>
      <c r="H206" s="140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f t="shared" ref="M206" si="142">E206*D206*31</f>
        <v>2213.4</v>
      </c>
      <c r="N206" s="26">
        <f>E206*D206*31</f>
        <v>2213.4</v>
      </c>
      <c r="O206" s="26">
        <f>E206*D206*30</f>
        <v>2142</v>
      </c>
      <c r="P206" s="26">
        <v>0</v>
      </c>
      <c r="Q206" s="26">
        <v>0</v>
      </c>
      <c r="R206" s="133">
        <v>0</v>
      </c>
      <c r="S206" s="134">
        <f>31+31+30</f>
        <v>92</v>
      </c>
    </row>
    <row r="207" spans="1:19" s="135" customFormat="1" x14ac:dyDescent="0.25">
      <c r="A207" s="129"/>
      <c r="B207" s="130">
        <v>5</v>
      </c>
      <c r="C207" s="27" t="s">
        <v>34</v>
      </c>
      <c r="D207" s="25">
        <v>71.400000000000006</v>
      </c>
      <c r="E207" s="29">
        <v>1</v>
      </c>
      <c r="F207" s="132">
        <f t="shared" si="133"/>
        <v>6568.8</v>
      </c>
      <c r="G207" s="26">
        <v>0</v>
      </c>
      <c r="H207" s="140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26">
        <f>+D207*E207*62</f>
        <v>4426.8</v>
      </c>
      <c r="O207" s="26">
        <f>E207*D207*30</f>
        <v>2142</v>
      </c>
      <c r="P207" s="26">
        <v>0</v>
      </c>
      <c r="Q207" s="26">
        <v>0</v>
      </c>
      <c r="R207" s="133">
        <v>0</v>
      </c>
      <c r="S207" s="134">
        <f>31+31+30</f>
        <v>92</v>
      </c>
    </row>
    <row r="208" spans="1:19" s="135" customFormat="1" x14ac:dyDescent="0.25">
      <c r="A208" s="129"/>
      <c r="B208" s="130">
        <v>1</v>
      </c>
      <c r="C208" s="27" t="s">
        <v>34</v>
      </c>
      <c r="D208" s="25">
        <v>71.400000000000006</v>
      </c>
      <c r="E208" s="29">
        <v>1</v>
      </c>
      <c r="F208" s="132">
        <f t="shared" si="133"/>
        <v>10924.2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f t="shared" ref="N208:N209" si="143">+D208*E208*31</f>
        <v>2213.4</v>
      </c>
      <c r="O208" s="26">
        <f t="shared" ref="O208:O209" si="144">+D208*E208*30</f>
        <v>2142</v>
      </c>
      <c r="P208" s="26">
        <f t="shared" ref="P208:P209" si="145">+D208*E208*31</f>
        <v>2213.4</v>
      </c>
      <c r="Q208" s="26">
        <f t="shared" ref="Q208:Q209" si="146">+D208*E208*30</f>
        <v>2142</v>
      </c>
      <c r="R208" s="133">
        <f t="shared" ref="R208:R209" si="147">+D208*E208*31</f>
        <v>2213.4</v>
      </c>
      <c r="S208" s="134">
        <f t="shared" ref="S208:S209" si="148">31+30+31+30+31</f>
        <v>153</v>
      </c>
    </row>
    <row r="209" spans="1:20" s="135" customFormat="1" x14ac:dyDescent="0.25">
      <c r="A209" s="129"/>
      <c r="B209" s="130">
        <v>2</v>
      </c>
      <c r="C209" s="27" t="s">
        <v>53</v>
      </c>
      <c r="D209" s="25">
        <v>71.400000000000006</v>
      </c>
      <c r="E209" s="29">
        <v>8</v>
      </c>
      <c r="F209" s="132">
        <f t="shared" si="133"/>
        <v>87393.600000000006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f t="shared" si="143"/>
        <v>17707.2</v>
      </c>
      <c r="O209" s="26">
        <f t="shared" si="144"/>
        <v>17136</v>
      </c>
      <c r="P209" s="26">
        <f t="shared" si="145"/>
        <v>17707.2</v>
      </c>
      <c r="Q209" s="26">
        <f t="shared" si="146"/>
        <v>17136</v>
      </c>
      <c r="R209" s="133">
        <f t="shared" si="147"/>
        <v>17707.2</v>
      </c>
      <c r="S209" s="134">
        <f t="shared" si="148"/>
        <v>153</v>
      </c>
    </row>
    <row r="210" spans="1:20" x14ac:dyDescent="0.25">
      <c r="A210" s="46"/>
      <c r="B210" s="121">
        <v>1</v>
      </c>
      <c r="C210" s="122" t="s">
        <v>34</v>
      </c>
      <c r="D210" s="123">
        <v>71.400000000000006</v>
      </c>
      <c r="E210" s="20">
        <v>1</v>
      </c>
      <c r="F210" s="124">
        <f t="shared" si="133"/>
        <v>15136.800000000001</v>
      </c>
      <c r="G210" s="125">
        <f>E210*D210*31</f>
        <v>2213.4</v>
      </c>
      <c r="H210" s="126">
        <f>E210*D210*28</f>
        <v>1999.2000000000003</v>
      </c>
      <c r="I210" s="220">
        <f>E210*D210*31</f>
        <v>2213.4</v>
      </c>
      <c r="J210" s="125">
        <f>E210*D210*30</f>
        <v>2142</v>
      </c>
      <c r="K210" s="35">
        <f>E210*D210*31</f>
        <v>2213.4</v>
      </c>
      <c r="L210" s="125">
        <f>E210*D210*30</f>
        <v>2142</v>
      </c>
      <c r="M210" s="125">
        <f>E210*D210*31</f>
        <v>2213.4</v>
      </c>
      <c r="N210" s="125">
        <v>0</v>
      </c>
      <c r="O210" s="125">
        <v>0</v>
      </c>
      <c r="P210" s="125">
        <v>0</v>
      </c>
      <c r="Q210" s="125">
        <v>0</v>
      </c>
      <c r="R210" s="127">
        <v>0</v>
      </c>
      <c r="S210" s="128">
        <v>212</v>
      </c>
    </row>
    <row r="211" spans="1:20" x14ac:dyDescent="0.25">
      <c r="A211" s="46"/>
      <c r="B211" s="121">
        <v>2</v>
      </c>
      <c r="C211" s="122" t="s">
        <v>53</v>
      </c>
      <c r="D211" s="123">
        <v>71.400000000000006</v>
      </c>
      <c r="E211" s="20">
        <v>23</v>
      </c>
      <c r="F211" s="124">
        <f t="shared" si="133"/>
        <v>348146.4</v>
      </c>
      <c r="G211" s="125">
        <f>E211*D211*31</f>
        <v>50908.200000000004</v>
      </c>
      <c r="H211" s="126">
        <f>E211*D211*28</f>
        <v>45981.599999999999</v>
      </c>
      <c r="I211" s="220">
        <f>E211*D211*31</f>
        <v>50908.200000000004</v>
      </c>
      <c r="J211" s="125">
        <f>E211*D211*30</f>
        <v>49266</v>
      </c>
      <c r="K211" s="35">
        <f>E211*D211*31</f>
        <v>50908.200000000004</v>
      </c>
      <c r="L211" s="125">
        <f>E211*D211*30</f>
        <v>49266</v>
      </c>
      <c r="M211" s="125">
        <f>E211*D211*31</f>
        <v>50908.200000000004</v>
      </c>
      <c r="N211" s="125">
        <v>0</v>
      </c>
      <c r="O211" s="125">
        <v>0</v>
      </c>
      <c r="P211" s="125">
        <v>0</v>
      </c>
      <c r="Q211" s="125">
        <v>0</v>
      </c>
      <c r="R211" s="127">
        <v>0</v>
      </c>
      <c r="S211" s="128">
        <v>212</v>
      </c>
    </row>
    <row r="212" spans="1:20" x14ac:dyDescent="0.25">
      <c r="A212" s="46"/>
      <c r="B212" s="121">
        <v>3</v>
      </c>
      <c r="C212" s="122" t="s">
        <v>36</v>
      </c>
      <c r="D212" s="123">
        <v>80.86</v>
      </c>
      <c r="E212" s="20">
        <v>1</v>
      </c>
      <c r="F212" s="124">
        <f t="shared" si="133"/>
        <v>17142.32</v>
      </c>
      <c r="G212" s="125">
        <f>E212*D212*31</f>
        <v>2506.66</v>
      </c>
      <c r="H212" s="126">
        <f>E212*D212*28</f>
        <v>2264.08</v>
      </c>
      <c r="I212" s="220">
        <f>E212*D212*31</f>
        <v>2506.66</v>
      </c>
      <c r="J212" s="125">
        <f>E212*D212*30</f>
        <v>2425.8000000000002</v>
      </c>
      <c r="K212" s="35">
        <f>E212*D212*31</f>
        <v>2506.66</v>
      </c>
      <c r="L212" s="125">
        <f>E212*D212*30</f>
        <v>2425.8000000000002</v>
      </c>
      <c r="M212" s="125">
        <f>E212*D212*31</f>
        <v>2506.66</v>
      </c>
      <c r="N212" s="125">
        <v>0</v>
      </c>
      <c r="O212" s="125">
        <v>0</v>
      </c>
      <c r="P212" s="125">
        <v>0</v>
      </c>
      <c r="Q212" s="125">
        <v>0</v>
      </c>
      <c r="R212" s="127">
        <v>0</v>
      </c>
      <c r="S212" s="128">
        <v>212</v>
      </c>
    </row>
    <row r="213" spans="1:20" s="135" customFormat="1" x14ac:dyDescent="0.25">
      <c r="A213" s="129"/>
      <c r="B213" s="130">
        <v>1</v>
      </c>
      <c r="C213" s="27" t="s">
        <v>34</v>
      </c>
      <c r="D213" s="25">
        <v>71.400000000000006</v>
      </c>
      <c r="E213" s="29">
        <v>1</v>
      </c>
      <c r="F213" s="132">
        <f t="shared" si="133"/>
        <v>4355.4000000000005</v>
      </c>
      <c r="G213" s="26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v>0</v>
      </c>
      <c r="N213" s="26">
        <f t="shared" ref="N213:N215" si="149">+D213*E213*31</f>
        <v>2213.4</v>
      </c>
      <c r="O213" s="26">
        <f t="shared" ref="O213:O215" si="150">+D213*E213*30</f>
        <v>2142</v>
      </c>
      <c r="P213" s="26">
        <v>0</v>
      </c>
      <c r="Q213" s="26">
        <v>0</v>
      </c>
      <c r="R213" s="133">
        <v>0</v>
      </c>
      <c r="S213" s="134">
        <f>31+30</f>
        <v>61</v>
      </c>
    </row>
    <row r="214" spans="1:20" s="135" customFormat="1" x14ac:dyDescent="0.25">
      <c r="A214" s="129"/>
      <c r="B214" s="130">
        <v>2</v>
      </c>
      <c r="C214" s="27" t="s">
        <v>53</v>
      </c>
      <c r="D214" s="25">
        <v>71.400000000000006</v>
      </c>
      <c r="E214" s="29">
        <v>23</v>
      </c>
      <c r="F214" s="132">
        <f t="shared" si="133"/>
        <v>251256.6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  <c r="M214" s="26">
        <v>0</v>
      </c>
      <c r="N214" s="26">
        <f t="shared" si="149"/>
        <v>50908.200000000004</v>
      </c>
      <c r="O214" s="26">
        <f t="shared" si="150"/>
        <v>49266</v>
      </c>
      <c r="P214" s="26">
        <f t="shared" ref="P214:P215" si="151">+D214*E214*31</f>
        <v>50908.200000000004</v>
      </c>
      <c r="Q214" s="26">
        <f t="shared" ref="Q214:Q215" si="152">+D214*E214*30</f>
        <v>49266</v>
      </c>
      <c r="R214" s="133">
        <f t="shared" ref="R214:R215" si="153">+D214*E214*31</f>
        <v>50908.200000000004</v>
      </c>
      <c r="S214" s="134">
        <f t="shared" ref="S214:S215" si="154">31+30+31+30+31</f>
        <v>153</v>
      </c>
    </row>
    <row r="215" spans="1:20" s="135" customFormat="1" x14ac:dyDescent="0.25">
      <c r="A215" s="129"/>
      <c r="B215" s="130">
        <v>3</v>
      </c>
      <c r="C215" s="27" t="s">
        <v>36</v>
      </c>
      <c r="D215" s="25">
        <v>80.86</v>
      </c>
      <c r="E215" s="29">
        <v>1</v>
      </c>
      <c r="F215" s="132">
        <f t="shared" si="133"/>
        <v>12371.58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f t="shared" si="149"/>
        <v>2506.66</v>
      </c>
      <c r="O215" s="26">
        <f t="shared" si="150"/>
        <v>2425.8000000000002</v>
      </c>
      <c r="P215" s="26">
        <f t="shared" si="151"/>
        <v>2506.66</v>
      </c>
      <c r="Q215" s="26">
        <f t="shared" si="152"/>
        <v>2425.8000000000002</v>
      </c>
      <c r="R215" s="133">
        <f t="shared" si="153"/>
        <v>2506.66</v>
      </c>
      <c r="S215" s="134">
        <f t="shared" si="154"/>
        <v>153</v>
      </c>
    </row>
    <row r="216" spans="1:20" x14ac:dyDescent="0.25">
      <c r="A216" s="46"/>
      <c r="B216" s="121">
        <v>1</v>
      </c>
      <c r="C216" s="122" t="s">
        <v>31</v>
      </c>
      <c r="D216" s="123">
        <v>71.400000000000006</v>
      </c>
      <c r="E216" s="20">
        <v>1</v>
      </c>
      <c r="F216" s="124">
        <f>+E216*S216*D216</f>
        <v>15136.800000000001</v>
      </c>
      <c r="G216" s="125">
        <f>E216*D216*31</f>
        <v>2213.4</v>
      </c>
      <c r="H216" s="126">
        <f>E216*D216*28</f>
        <v>1999.2000000000003</v>
      </c>
      <c r="I216" s="125">
        <f>E216*D216*31</f>
        <v>2213.4</v>
      </c>
      <c r="J216" s="125">
        <f>E216*D216*30</f>
        <v>2142</v>
      </c>
      <c r="K216" s="125">
        <f>E216*D216*31</f>
        <v>2213.4</v>
      </c>
      <c r="L216" s="125">
        <f>E216*D216*30</f>
        <v>2142</v>
      </c>
      <c r="M216" s="125">
        <f>E216*D216*31</f>
        <v>2213.4</v>
      </c>
      <c r="N216" s="125">
        <v>0</v>
      </c>
      <c r="O216" s="125">
        <v>0</v>
      </c>
      <c r="P216" s="125">
        <v>0</v>
      </c>
      <c r="Q216" s="125">
        <v>0</v>
      </c>
      <c r="R216" s="127">
        <v>0</v>
      </c>
      <c r="S216" s="128">
        <v>212</v>
      </c>
    </row>
    <row r="217" spans="1:20" x14ac:dyDescent="0.25">
      <c r="A217" s="46"/>
      <c r="B217" s="121">
        <v>2</v>
      </c>
      <c r="C217" s="122" t="s">
        <v>53</v>
      </c>
      <c r="D217" s="123">
        <v>71.400000000000006</v>
      </c>
      <c r="E217" s="20">
        <v>6</v>
      </c>
      <c r="F217" s="124">
        <f>+E217*S217*D217</f>
        <v>90820.800000000003</v>
      </c>
      <c r="G217" s="125">
        <f>E217*D217*31</f>
        <v>13280.400000000001</v>
      </c>
      <c r="H217" s="126">
        <f>E217*D217*28</f>
        <v>11995.2</v>
      </c>
      <c r="I217" s="125">
        <f>E217*D217*31</f>
        <v>13280.400000000001</v>
      </c>
      <c r="J217" s="125">
        <f>E217*D217*30</f>
        <v>12852.000000000002</v>
      </c>
      <c r="K217" s="125">
        <f>E217*D217*31</f>
        <v>13280.400000000001</v>
      </c>
      <c r="L217" s="125">
        <f>E217*D217*30</f>
        <v>12852.000000000002</v>
      </c>
      <c r="M217" s="125">
        <f>E217*D217*31</f>
        <v>13280.400000000001</v>
      </c>
      <c r="N217" s="125">
        <v>0</v>
      </c>
      <c r="O217" s="125">
        <v>0</v>
      </c>
      <c r="P217" s="125">
        <v>0</v>
      </c>
      <c r="Q217" s="125">
        <v>0</v>
      </c>
      <c r="R217" s="127">
        <v>0</v>
      </c>
      <c r="S217" s="128">
        <v>212</v>
      </c>
    </row>
    <row r="218" spans="1:20" s="135" customFormat="1" x14ac:dyDescent="0.25">
      <c r="A218" s="129"/>
      <c r="B218" s="130">
        <v>1</v>
      </c>
      <c r="C218" s="27" t="s">
        <v>31</v>
      </c>
      <c r="D218" s="25">
        <v>71.400000000000006</v>
      </c>
      <c r="E218" s="29">
        <v>1</v>
      </c>
      <c r="F218" s="132">
        <f>+E218*S218*D218</f>
        <v>10924.2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v>0</v>
      </c>
      <c r="N218" s="26">
        <f t="shared" ref="N218:N220" si="155">+D218*E218*31</f>
        <v>2213.4</v>
      </c>
      <c r="O218" s="26">
        <f t="shared" ref="O218:O220" si="156">+D218*E218*30</f>
        <v>2142</v>
      </c>
      <c r="P218" s="26">
        <f t="shared" ref="P218:P220" si="157">+D218*E218*31</f>
        <v>2213.4</v>
      </c>
      <c r="Q218" s="26">
        <f t="shared" ref="Q218:Q220" si="158">+D218*E218*30</f>
        <v>2142</v>
      </c>
      <c r="R218" s="133">
        <f t="shared" ref="R218:R220" si="159">+D218*E218*31</f>
        <v>2213.4</v>
      </c>
      <c r="S218" s="134">
        <f t="shared" ref="S218:S220" si="160">31+30+31+30+31</f>
        <v>153</v>
      </c>
    </row>
    <row r="219" spans="1:20" s="5" customFormat="1" x14ac:dyDescent="0.25">
      <c r="A219" s="115"/>
      <c r="B219" s="116">
        <v>2</v>
      </c>
      <c r="C219" s="18" t="s">
        <v>53</v>
      </c>
      <c r="D219" s="19">
        <v>71.400000000000006</v>
      </c>
      <c r="E219" s="21">
        <v>1</v>
      </c>
      <c r="F219" s="117">
        <f>+E219*S219*D219</f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119">
        <v>0</v>
      </c>
      <c r="S219" s="120">
        <v>0</v>
      </c>
    </row>
    <row r="220" spans="1:20" s="135" customFormat="1" x14ac:dyDescent="0.25">
      <c r="A220" s="129"/>
      <c r="B220" s="130">
        <v>2</v>
      </c>
      <c r="C220" s="27" t="s">
        <v>53</v>
      </c>
      <c r="D220" s="25">
        <v>71.400000000000006</v>
      </c>
      <c r="E220" s="29">
        <v>5</v>
      </c>
      <c r="F220" s="132">
        <f>+E220*S220*D220</f>
        <v>54621.000000000007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  <c r="M220" s="26">
        <v>0</v>
      </c>
      <c r="N220" s="26">
        <f t="shared" si="155"/>
        <v>11067</v>
      </c>
      <c r="O220" s="26">
        <f t="shared" si="156"/>
        <v>10710</v>
      </c>
      <c r="P220" s="26">
        <f t="shared" si="157"/>
        <v>11067</v>
      </c>
      <c r="Q220" s="26">
        <f t="shared" si="158"/>
        <v>10710</v>
      </c>
      <c r="R220" s="133">
        <f t="shared" si="159"/>
        <v>11067</v>
      </c>
      <c r="S220" s="134">
        <f t="shared" si="160"/>
        <v>153</v>
      </c>
    </row>
    <row r="221" spans="1:20" ht="15.75" thickBot="1" x14ac:dyDescent="0.3">
      <c r="A221" s="46"/>
      <c r="B221" s="169"/>
      <c r="C221" s="122" t="s">
        <v>123</v>
      </c>
      <c r="D221" s="123"/>
      <c r="E221" s="20"/>
      <c r="F221" s="179">
        <f>182427-SUM(F216:F220)</f>
        <v>10924.199999999983</v>
      </c>
      <c r="G221" s="180"/>
      <c r="H221" s="181"/>
      <c r="I221" s="182"/>
      <c r="J221" s="182"/>
      <c r="K221" s="182"/>
      <c r="L221" s="182"/>
      <c r="M221" s="182"/>
      <c r="N221" s="182"/>
      <c r="O221" s="182"/>
      <c r="P221" s="182"/>
      <c r="Q221" s="182"/>
      <c r="R221" s="183">
        <f>F221</f>
        <v>10924.199999999983</v>
      </c>
    </row>
    <row r="222" spans="1:20" x14ac:dyDescent="0.25">
      <c r="A222" s="46"/>
      <c r="B222" s="260"/>
      <c r="C222" s="594" t="s">
        <v>57</v>
      </c>
      <c r="D222" s="594"/>
      <c r="E222" s="187"/>
      <c r="F222" s="146"/>
      <c r="G222" s="147"/>
      <c r="H222" s="147"/>
      <c r="I222" s="147"/>
      <c r="J222" s="147"/>
      <c r="K222" s="147"/>
      <c r="L222" s="147"/>
      <c r="M222" s="147"/>
      <c r="N222" s="188"/>
      <c r="O222" s="188"/>
      <c r="P222" s="188"/>
      <c r="Q222" s="147"/>
      <c r="R222" s="189"/>
    </row>
    <row r="223" spans="1:20" ht="24" customHeight="1" x14ac:dyDescent="0.25">
      <c r="A223" s="46"/>
      <c r="B223" s="190"/>
      <c r="C223" s="595" t="s">
        <v>131</v>
      </c>
      <c r="D223" s="595"/>
      <c r="E223" s="151" t="e">
        <f>E225+#REF!+#REF!+#REF!+#REF!+#REF!+#REF!</f>
        <v>#REF!</v>
      </c>
      <c r="F223" s="152" t="e">
        <f>F225+#REF!+#REF!+#REF!+#REF!+#REF!+#REF!</f>
        <v>#REF!</v>
      </c>
      <c r="G223" s="191" t="e">
        <f>G225+#REF!+#REF!+#REF!+#REF!+#REF!+#REF!</f>
        <v>#REF!</v>
      </c>
      <c r="H223" s="191" t="e">
        <f>H225+#REF!+#REF!+#REF!+#REF!+#REF!+#REF!</f>
        <v>#REF!</v>
      </c>
      <c r="I223" s="191" t="e">
        <f>I225+#REF!+#REF!+#REF!+#REF!+#REF!+#REF!</f>
        <v>#REF!</v>
      </c>
      <c r="J223" s="191" t="e">
        <f>J225+#REF!+#REF!+#REF!+#REF!+#REF!+#REF!</f>
        <v>#REF!</v>
      </c>
      <c r="K223" s="191" t="e">
        <f>K225+#REF!+#REF!+#REF!+#REF!+#REF!+#REF!</f>
        <v>#REF!</v>
      </c>
      <c r="L223" s="191" t="e">
        <f>L225+#REF!+#REF!+#REF!+#REF!+#REF!+#REF!</f>
        <v>#REF!</v>
      </c>
      <c r="M223" s="191" t="e">
        <f>M225+#REF!+#REF!+#REF!+#REF!+#REF!+#REF!</f>
        <v>#REF!</v>
      </c>
      <c r="N223" s="191" t="e">
        <f>N225+#REF!+#REF!+#REF!+#REF!+#REF!+#REF!</f>
        <v>#REF!</v>
      </c>
      <c r="O223" s="191" t="e">
        <f>O225+#REF!+#REF!+#REF!+#REF!+#REF!+#REF!</f>
        <v>#REF!</v>
      </c>
      <c r="P223" s="191" t="e">
        <f>P225+#REF!+#REF!+#REF!+#REF!+#REF!+#REF!</f>
        <v>#REF!</v>
      </c>
      <c r="Q223" s="191" t="e">
        <f>Q225+#REF!+#REF!+#REF!+#REF!+#REF!+#REF!</f>
        <v>#REF!</v>
      </c>
      <c r="R223" s="154" t="e">
        <f>R225+#REF!+#REF!+#REF!+#REF!+#REF!+#REF!</f>
        <v>#REF!</v>
      </c>
      <c r="S223" s="16" t="e">
        <f>F223-SUM(G223:R223)</f>
        <v>#REF!</v>
      </c>
      <c r="T223" s="76"/>
    </row>
    <row r="224" spans="1:20" x14ac:dyDescent="0.25">
      <c r="A224" s="46"/>
      <c r="B224" s="48"/>
      <c r="C224" s="261"/>
      <c r="D224" s="262"/>
      <c r="E224" s="98"/>
      <c r="F224" s="196" t="e">
        <f>+F226+#REF!+#REF!+#REF!+#REF!+#REF!+#REF!</f>
        <v>#REF!</v>
      </c>
      <c r="G224" s="100"/>
      <c r="H224" s="100"/>
      <c r="I224" s="100"/>
      <c r="J224" s="100"/>
      <c r="K224" s="100"/>
      <c r="L224" s="197"/>
      <c r="M224" s="100"/>
      <c r="N224" s="261"/>
      <c r="O224" s="261"/>
      <c r="P224" s="261"/>
      <c r="Q224" s="100"/>
      <c r="R224" s="263"/>
    </row>
    <row r="225" spans="1:19" ht="25.9" customHeight="1" x14ac:dyDescent="0.25">
      <c r="A225" s="46"/>
      <c r="B225" s="207"/>
      <c r="C225" s="597" t="s">
        <v>132</v>
      </c>
      <c r="D225" s="597"/>
      <c r="E225" s="264">
        <f>SUM(E228:E285)</f>
        <v>179</v>
      </c>
      <c r="F225" s="201">
        <f>SUM(F228:F285)</f>
        <v>2190944.4299999997</v>
      </c>
      <c r="G225" s="265">
        <f t="shared" ref="G225:Q225" si="161">SUM(G228:G285)</f>
        <v>146639.61000000002</v>
      </c>
      <c r="H225" s="266">
        <f t="shared" si="161"/>
        <v>137067.29999999999</v>
      </c>
      <c r="I225" s="266">
        <f t="shared" si="161"/>
        <v>144961.35</v>
      </c>
      <c r="J225" s="266">
        <f t="shared" si="161"/>
        <v>139801.50000000003</v>
      </c>
      <c r="K225" s="266">
        <f t="shared" si="161"/>
        <v>144461.54999999999</v>
      </c>
      <c r="L225" s="267">
        <f t="shared" si="161"/>
        <v>139801.50000000003</v>
      </c>
      <c r="M225" s="266">
        <f t="shared" si="161"/>
        <v>146674.94999999998</v>
      </c>
      <c r="N225" s="266">
        <f t="shared" si="161"/>
        <v>269501.20999999996</v>
      </c>
      <c r="O225" s="266">
        <f t="shared" si="161"/>
        <v>221693.7</v>
      </c>
      <c r="P225" s="266">
        <f t="shared" si="161"/>
        <v>240412.12999999992</v>
      </c>
      <c r="Q225" s="266">
        <f t="shared" si="161"/>
        <v>226194.90000000005</v>
      </c>
      <c r="R225" s="268">
        <f>SUM(R228:R285)</f>
        <v>233734.72999999995</v>
      </c>
      <c r="S225" s="16">
        <f>F225-SUM(G225:R225)</f>
        <v>0</v>
      </c>
    </row>
    <row r="226" spans="1:19" x14ac:dyDescent="0.25">
      <c r="A226" s="46"/>
      <c r="B226" s="207"/>
      <c r="C226" s="208"/>
      <c r="D226" s="208"/>
      <c r="E226" s="264"/>
      <c r="F226" s="201">
        <f>SUM(F228:F285)</f>
        <v>2190944.4299999997</v>
      </c>
      <c r="G226" s="265"/>
      <c r="H226" s="266"/>
      <c r="I226" s="266"/>
      <c r="J226" s="266"/>
      <c r="K226" s="266"/>
      <c r="L226" s="266"/>
      <c r="M226" s="266"/>
      <c r="N226" s="266"/>
      <c r="O226" s="266"/>
      <c r="P226" s="266"/>
      <c r="Q226" s="269"/>
      <c r="R226" s="268"/>
    </row>
    <row r="227" spans="1:19" x14ac:dyDescent="0.25">
      <c r="A227" s="46"/>
      <c r="B227" s="121"/>
      <c r="C227" s="110"/>
      <c r="D227" s="110"/>
      <c r="E227" s="211" t="s">
        <v>122</v>
      </c>
      <c r="F227" s="270">
        <v>0</v>
      </c>
      <c r="G227" s="213"/>
      <c r="H227" s="213"/>
      <c r="I227" s="213"/>
      <c r="J227" s="213"/>
      <c r="K227" s="213"/>
      <c r="L227" s="213"/>
      <c r="M227" s="271"/>
      <c r="N227" s="213"/>
      <c r="O227" s="213"/>
      <c r="P227" s="272"/>
      <c r="Q227" s="272"/>
      <c r="R227" s="215"/>
    </row>
    <row r="228" spans="1:19" x14ac:dyDescent="0.25">
      <c r="A228" s="46"/>
      <c r="B228" s="184">
        <v>1</v>
      </c>
      <c r="C228" s="216" t="s">
        <v>43</v>
      </c>
      <c r="D228" s="217">
        <v>72.540000000000006</v>
      </c>
      <c r="E228" s="273">
        <v>4</v>
      </c>
      <c r="F228" s="219">
        <f t="shared" ref="F228:F244" si="162">+E228*S228*D228</f>
        <v>61513.920000000006</v>
      </c>
      <c r="G228" s="220">
        <f t="shared" ref="G228:G250" si="163">E228*D228*31</f>
        <v>8994.9600000000009</v>
      </c>
      <c r="H228" s="221">
        <f>E228*D228*28</f>
        <v>8124.4800000000005</v>
      </c>
      <c r="I228" s="220">
        <f>E228*D228*31</f>
        <v>8994.9600000000009</v>
      </c>
      <c r="J228" s="220">
        <f>E228*D228*30</f>
        <v>8704.8000000000011</v>
      </c>
      <c r="K228" s="220">
        <f>E228*D228*31</f>
        <v>8994.9600000000009</v>
      </c>
      <c r="L228" s="220">
        <f>E228*D228*30</f>
        <v>8704.8000000000011</v>
      </c>
      <c r="M228" s="125">
        <f t="shared" ref="M228:M254" si="164">E228*D228*31</f>
        <v>8994.9600000000009</v>
      </c>
      <c r="N228" s="125">
        <v>0</v>
      </c>
      <c r="O228" s="125">
        <v>0</v>
      </c>
      <c r="P228" s="125">
        <v>0</v>
      </c>
      <c r="Q228" s="125">
        <v>0</v>
      </c>
      <c r="R228" s="127">
        <v>0</v>
      </c>
      <c r="S228" s="128">
        <v>212</v>
      </c>
    </row>
    <row r="229" spans="1:19" x14ac:dyDescent="0.25">
      <c r="A229" s="46"/>
      <c r="B229" s="121">
        <v>2</v>
      </c>
      <c r="C229" s="122" t="s">
        <v>45</v>
      </c>
      <c r="D229" s="123">
        <v>73.59</v>
      </c>
      <c r="E229" s="20">
        <v>1</v>
      </c>
      <c r="F229" s="124">
        <f t="shared" si="162"/>
        <v>15601.08</v>
      </c>
      <c r="G229" s="220">
        <f t="shared" si="163"/>
        <v>2281.29</v>
      </c>
      <c r="H229" s="221">
        <f t="shared" ref="H229:H250" si="165">E229*D229*28</f>
        <v>2060.52</v>
      </c>
      <c r="I229" s="220">
        <f t="shared" ref="I229:I251" si="166">E229*D229*31</f>
        <v>2281.29</v>
      </c>
      <c r="J229" s="220">
        <f t="shared" ref="J229:J250" si="167">E229*D229*30</f>
        <v>2207.7000000000003</v>
      </c>
      <c r="K229" s="220">
        <f t="shared" ref="K229:K250" si="168">E229*D229*31</f>
        <v>2281.29</v>
      </c>
      <c r="L229" s="220">
        <f t="shared" ref="L229:L250" si="169">E229*D229*30</f>
        <v>2207.7000000000003</v>
      </c>
      <c r="M229" s="125">
        <f t="shared" si="164"/>
        <v>2281.29</v>
      </c>
      <c r="N229" s="125">
        <v>0</v>
      </c>
      <c r="O229" s="125">
        <v>0</v>
      </c>
      <c r="P229" s="125">
        <v>0</v>
      </c>
      <c r="Q229" s="125">
        <v>0</v>
      </c>
      <c r="R229" s="127">
        <v>0</v>
      </c>
      <c r="S229" s="128">
        <v>212</v>
      </c>
    </row>
    <row r="230" spans="1:19" x14ac:dyDescent="0.25">
      <c r="A230" s="46"/>
      <c r="B230" s="121">
        <v>3</v>
      </c>
      <c r="C230" s="122" t="s">
        <v>58</v>
      </c>
      <c r="D230" s="123">
        <v>77.59</v>
      </c>
      <c r="E230" s="20">
        <v>1</v>
      </c>
      <c r="F230" s="124">
        <f t="shared" si="162"/>
        <v>16449.080000000002</v>
      </c>
      <c r="G230" s="220">
        <f t="shared" si="163"/>
        <v>2405.29</v>
      </c>
      <c r="H230" s="221">
        <f t="shared" si="165"/>
        <v>2172.52</v>
      </c>
      <c r="I230" s="220">
        <f t="shared" si="166"/>
        <v>2405.29</v>
      </c>
      <c r="J230" s="220">
        <f t="shared" si="167"/>
        <v>2327.7000000000003</v>
      </c>
      <c r="K230" s="220">
        <f t="shared" si="168"/>
        <v>2405.29</v>
      </c>
      <c r="L230" s="220">
        <f t="shared" si="169"/>
        <v>2327.7000000000003</v>
      </c>
      <c r="M230" s="125">
        <f t="shared" si="164"/>
        <v>2405.29</v>
      </c>
      <c r="N230" s="125">
        <v>0</v>
      </c>
      <c r="O230" s="125">
        <v>0</v>
      </c>
      <c r="P230" s="125">
        <v>0</v>
      </c>
      <c r="Q230" s="125">
        <v>0</v>
      </c>
      <c r="R230" s="127">
        <v>0</v>
      </c>
      <c r="S230" s="128">
        <v>212</v>
      </c>
    </row>
    <row r="231" spans="1:19" x14ac:dyDescent="0.25">
      <c r="A231" s="46"/>
      <c r="B231" s="184">
        <v>4</v>
      </c>
      <c r="C231" s="170" t="s">
        <v>133</v>
      </c>
      <c r="D231" s="171">
        <v>71.400000000000006</v>
      </c>
      <c r="E231" s="172">
        <v>11</v>
      </c>
      <c r="F231" s="173">
        <f t="shared" si="162"/>
        <v>166504.80000000002</v>
      </c>
      <c r="G231" s="125">
        <f t="shared" si="163"/>
        <v>24347.4</v>
      </c>
      <c r="H231" s="126">
        <f t="shared" si="165"/>
        <v>21991.200000000004</v>
      </c>
      <c r="I231" s="125">
        <f t="shared" si="166"/>
        <v>24347.4</v>
      </c>
      <c r="J231" s="125">
        <f t="shared" si="167"/>
        <v>23562.000000000004</v>
      </c>
      <c r="K231" s="125">
        <f t="shared" si="168"/>
        <v>24347.4</v>
      </c>
      <c r="L231" s="125">
        <f t="shared" si="169"/>
        <v>23562.000000000004</v>
      </c>
      <c r="M231" s="174">
        <f t="shared" si="164"/>
        <v>24347.4</v>
      </c>
      <c r="N231" s="174">
        <v>0</v>
      </c>
      <c r="O231" s="174">
        <v>0</v>
      </c>
      <c r="P231" s="174">
        <v>0</v>
      </c>
      <c r="Q231" s="174">
        <v>0</v>
      </c>
      <c r="R231" s="274">
        <v>0</v>
      </c>
      <c r="S231" s="128">
        <v>212</v>
      </c>
    </row>
    <row r="232" spans="1:19" x14ac:dyDescent="0.25">
      <c r="A232" s="46"/>
      <c r="B232" s="184">
        <v>4</v>
      </c>
      <c r="C232" s="170" t="s">
        <v>133</v>
      </c>
      <c r="D232" s="171">
        <v>71.400000000000006</v>
      </c>
      <c r="E232" s="172">
        <v>1</v>
      </c>
      <c r="F232" s="173">
        <f t="shared" si="162"/>
        <v>1499.4</v>
      </c>
      <c r="G232" s="125">
        <v>0</v>
      </c>
      <c r="H232" s="126">
        <f>E232*D232*21</f>
        <v>1499.4</v>
      </c>
      <c r="I232" s="125">
        <v>0</v>
      </c>
      <c r="J232" s="125">
        <v>0</v>
      </c>
      <c r="K232" s="125">
        <v>0</v>
      </c>
      <c r="L232" s="125">
        <v>0</v>
      </c>
      <c r="M232" s="174">
        <v>0</v>
      </c>
      <c r="N232" s="174">
        <v>0</v>
      </c>
      <c r="O232" s="174">
        <v>0</v>
      </c>
      <c r="P232" s="174">
        <v>0</v>
      </c>
      <c r="Q232" s="174">
        <v>0</v>
      </c>
      <c r="R232" s="274">
        <v>0</v>
      </c>
      <c r="S232" s="128">
        <v>21</v>
      </c>
    </row>
    <row r="233" spans="1:19" x14ac:dyDescent="0.25">
      <c r="A233" s="46"/>
      <c r="B233" s="184">
        <v>4</v>
      </c>
      <c r="C233" s="170" t="s">
        <v>133</v>
      </c>
      <c r="D233" s="171">
        <v>71.400000000000006</v>
      </c>
      <c r="E233" s="172">
        <v>1</v>
      </c>
      <c r="F233" s="173">
        <f t="shared" si="162"/>
        <v>0</v>
      </c>
      <c r="G233" s="125">
        <v>0</v>
      </c>
      <c r="H233" s="126">
        <v>0</v>
      </c>
      <c r="I233" s="125">
        <v>0</v>
      </c>
      <c r="J233" s="125">
        <v>0</v>
      </c>
      <c r="K233" s="125">
        <v>0</v>
      </c>
      <c r="L233" s="125">
        <v>0</v>
      </c>
      <c r="M233" s="174">
        <v>0</v>
      </c>
      <c r="N233" s="174">
        <v>0</v>
      </c>
      <c r="O233" s="174">
        <v>0</v>
      </c>
      <c r="P233" s="174">
        <v>0</v>
      </c>
      <c r="Q233" s="174">
        <v>0</v>
      </c>
      <c r="R233" s="274">
        <v>0</v>
      </c>
      <c r="S233" s="128">
        <v>0</v>
      </c>
    </row>
    <row r="234" spans="1:19" x14ac:dyDescent="0.25">
      <c r="A234" s="46"/>
      <c r="B234" s="184">
        <v>4</v>
      </c>
      <c r="C234" s="170" t="s">
        <v>133</v>
      </c>
      <c r="D234" s="171">
        <v>71.400000000000006</v>
      </c>
      <c r="E234" s="172">
        <v>1</v>
      </c>
      <c r="F234" s="173">
        <f t="shared" si="162"/>
        <v>4212.6000000000004</v>
      </c>
      <c r="G234" s="125">
        <f t="shared" ref="G234:G235" si="170">E234*D234*31</f>
        <v>2213.4</v>
      </c>
      <c r="H234" s="126">
        <f t="shared" ref="H234:H235" si="171">E234*D234*28</f>
        <v>1999.2000000000003</v>
      </c>
      <c r="I234" s="125">
        <v>0</v>
      </c>
      <c r="J234" s="125">
        <v>0</v>
      </c>
      <c r="K234" s="125">
        <v>0</v>
      </c>
      <c r="L234" s="125">
        <v>0</v>
      </c>
      <c r="M234" s="174">
        <v>0</v>
      </c>
      <c r="N234" s="174">
        <v>0</v>
      </c>
      <c r="O234" s="174">
        <v>0</v>
      </c>
      <c r="P234" s="174">
        <v>0</v>
      </c>
      <c r="Q234" s="174">
        <v>0</v>
      </c>
      <c r="R234" s="274">
        <v>0</v>
      </c>
      <c r="S234" s="128">
        <f>31+28</f>
        <v>59</v>
      </c>
    </row>
    <row r="235" spans="1:19" x14ac:dyDescent="0.25">
      <c r="A235" s="46"/>
      <c r="B235" s="184">
        <v>4</v>
      </c>
      <c r="C235" s="170" t="s">
        <v>133</v>
      </c>
      <c r="D235" s="171">
        <v>71.400000000000006</v>
      </c>
      <c r="E235" s="172">
        <v>1</v>
      </c>
      <c r="F235" s="173">
        <f t="shared" si="162"/>
        <v>4212.6000000000004</v>
      </c>
      <c r="G235" s="125">
        <f t="shared" si="170"/>
        <v>2213.4</v>
      </c>
      <c r="H235" s="126">
        <f t="shared" si="171"/>
        <v>1999.2000000000003</v>
      </c>
      <c r="I235" s="125">
        <v>0</v>
      </c>
      <c r="J235" s="125">
        <v>0</v>
      </c>
      <c r="K235" s="125">
        <v>0</v>
      </c>
      <c r="L235" s="125">
        <v>0</v>
      </c>
      <c r="M235" s="174">
        <v>0</v>
      </c>
      <c r="N235" s="174">
        <v>0</v>
      </c>
      <c r="O235" s="174">
        <v>0</v>
      </c>
      <c r="P235" s="174">
        <v>0</v>
      </c>
      <c r="Q235" s="174">
        <v>0</v>
      </c>
      <c r="R235" s="274">
        <v>0</v>
      </c>
      <c r="S235" s="128">
        <f>31+28</f>
        <v>59</v>
      </c>
    </row>
    <row r="236" spans="1:19" x14ac:dyDescent="0.25">
      <c r="A236" s="46"/>
      <c r="B236" s="184">
        <v>4</v>
      </c>
      <c r="C236" s="170" t="s">
        <v>133</v>
      </c>
      <c r="D236" s="171">
        <v>71.400000000000006</v>
      </c>
      <c r="E236" s="172">
        <v>1</v>
      </c>
      <c r="F236" s="173">
        <f t="shared" si="162"/>
        <v>10924.2</v>
      </c>
      <c r="G236" s="125">
        <v>0</v>
      </c>
      <c r="H236" s="126">
        <v>0</v>
      </c>
      <c r="I236" s="125">
        <f t="shared" ref="I236" si="172">E236*D236*31</f>
        <v>2213.4</v>
      </c>
      <c r="J236" s="125">
        <f t="shared" ref="J236" si="173">E236*D236*30</f>
        <v>2142</v>
      </c>
      <c r="K236" s="125">
        <f t="shared" ref="K236" si="174">E236*D236*31</f>
        <v>2213.4</v>
      </c>
      <c r="L236" s="125">
        <f t="shared" ref="L236" si="175">E236*D236*30</f>
        <v>2142</v>
      </c>
      <c r="M236" s="174">
        <f t="shared" ref="M236" si="176">E236*D236*31</f>
        <v>2213.4</v>
      </c>
      <c r="N236" s="174">
        <v>0</v>
      </c>
      <c r="O236" s="174">
        <v>0</v>
      </c>
      <c r="P236" s="174">
        <v>0</v>
      </c>
      <c r="Q236" s="174">
        <v>0</v>
      </c>
      <c r="R236" s="274">
        <v>0</v>
      </c>
      <c r="S236" s="128">
        <f>31+30+31+30+31</f>
        <v>153</v>
      </c>
    </row>
    <row r="237" spans="1:19" x14ac:dyDescent="0.25">
      <c r="A237" s="46"/>
      <c r="B237" s="121">
        <v>5</v>
      </c>
      <c r="C237" s="122" t="s">
        <v>47</v>
      </c>
      <c r="D237" s="123">
        <v>71.400000000000006</v>
      </c>
      <c r="E237" s="20">
        <v>1</v>
      </c>
      <c r="F237" s="124">
        <f t="shared" si="162"/>
        <v>15136.800000000001</v>
      </c>
      <c r="G237" s="125">
        <f t="shared" si="163"/>
        <v>2213.4</v>
      </c>
      <c r="H237" s="125">
        <f t="shared" si="165"/>
        <v>1999.2000000000003</v>
      </c>
      <c r="I237" s="125">
        <f t="shared" si="166"/>
        <v>2213.4</v>
      </c>
      <c r="J237" s="125">
        <f t="shared" si="167"/>
        <v>2142</v>
      </c>
      <c r="K237" s="125">
        <f t="shared" si="168"/>
        <v>2213.4</v>
      </c>
      <c r="L237" s="125">
        <f t="shared" si="169"/>
        <v>2142</v>
      </c>
      <c r="M237" s="125">
        <f t="shared" si="164"/>
        <v>2213.4</v>
      </c>
      <c r="N237" s="125">
        <v>0</v>
      </c>
      <c r="O237" s="125">
        <v>0</v>
      </c>
      <c r="P237" s="125">
        <v>0</v>
      </c>
      <c r="Q237" s="125">
        <v>0</v>
      </c>
      <c r="R237" s="127">
        <v>0</v>
      </c>
      <c r="S237" s="128">
        <v>212</v>
      </c>
    </row>
    <row r="238" spans="1:19" x14ac:dyDescent="0.25">
      <c r="A238" s="46"/>
      <c r="B238" s="121">
        <v>6</v>
      </c>
      <c r="C238" s="122" t="s">
        <v>51</v>
      </c>
      <c r="D238" s="123">
        <v>72.540000000000006</v>
      </c>
      <c r="E238" s="20">
        <v>4</v>
      </c>
      <c r="F238" s="124">
        <f t="shared" si="162"/>
        <v>61513.920000000006</v>
      </c>
      <c r="G238" s="220">
        <f t="shared" si="163"/>
        <v>8994.9600000000009</v>
      </c>
      <c r="H238" s="221">
        <f t="shared" si="165"/>
        <v>8124.4800000000005</v>
      </c>
      <c r="I238" s="220">
        <f t="shared" si="166"/>
        <v>8994.9600000000009</v>
      </c>
      <c r="J238" s="220">
        <f t="shared" si="167"/>
        <v>8704.8000000000011</v>
      </c>
      <c r="K238" s="220">
        <f t="shared" si="168"/>
        <v>8994.9600000000009</v>
      </c>
      <c r="L238" s="220">
        <f t="shared" si="169"/>
        <v>8704.8000000000011</v>
      </c>
      <c r="M238" s="125">
        <f t="shared" si="164"/>
        <v>8994.9600000000009</v>
      </c>
      <c r="N238" s="125">
        <v>0</v>
      </c>
      <c r="O238" s="125">
        <v>0</v>
      </c>
      <c r="P238" s="125">
        <v>0</v>
      </c>
      <c r="Q238" s="125">
        <v>0</v>
      </c>
      <c r="R238" s="127">
        <v>0</v>
      </c>
      <c r="S238" s="128">
        <v>212</v>
      </c>
    </row>
    <row r="239" spans="1:19" x14ac:dyDescent="0.25">
      <c r="A239" s="46"/>
      <c r="B239" s="184">
        <v>7</v>
      </c>
      <c r="C239" s="122" t="s">
        <v>59</v>
      </c>
      <c r="D239" s="123">
        <v>73.59</v>
      </c>
      <c r="E239" s="20">
        <v>1</v>
      </c>
      <c r="F239" s="124">
        <f t="shared" si="162"/>
        <v>15601.08</v>
      </c>
      <c r="G239" s="220">
        <f t="shared" si="163"/>
        <v>2281.29</v>
      </c>
      <c r="H239" s="221">
        <f t="shared" si="165"/>
        <v>2060.52</v>
      </c>
      <c r="I239" s="220">
        <f t="shared" si="166"/>
        <v>2281.29</v>
      </c>
      <c r="J239" s="220">
        <f t="shared" si="167"/>
        <v>2207.7000000000003</v>
      </c>
      <c r="K239" s="220">
        <f t="shared" si="168"/>
        <v>2281.29</v>
      </c>
      <c r="L239" s="220">
        <f t="shared" si="169"/>
        <v>2207.7000000000003</v>
      </c>
      <c r="M239" s="125">
        <f t="shared" si="164"/>
        <v>2281.29</v>
      </c>
      <c r="N239" s="125">
        <v>0</v>
      </c>
      <c r="O239" s="125">
        <v>0</v>
      </c>
      <c r="P239" s="125">
        <v>0</v>
      </c>
      <c r="Q239" s="125">
        <v>0</v>
      </c>
      <c r="R239" s="127">
        <v>0</v>
      </c>
      <c r="S239" s="128">
        <v>212</v>
      </c>
    </row>
    <row r="240" spans="1:19" x14ac:dyDescent="0.25">
      <c r="A240" s="46"/>
      <c r="B240" s="121">
        <v>8</v>
      </c>
      <c r="C240" s="122" t="s">
        <v>60</v>
      </c>
      <c r="D240" s="123">
        <v>77.59</v>
      </c>
      <c r="E240" s="20">
        <v>2</v>
      </c>
      <c r="F240" s="124">
        <f t="shared" si="162"/>
        <v>32898.160000000003</v>
      </c>
      <c r="G240" s="220">
        <f t="shared" si="163"/>
        <v>4810.58</v>
      </c>
      <c r="H240" s="221">
        <f t="shared" si="165"/>
        <v>4345.04</v>
      </c>
      <c r="I240" s="220">
        <f t="shared" si="166"/>
        <v>4810.58</v>
      </c>
      <c r="J240" s="220">
        <f t="shared" si="167"/>
        <v>4655.4000000000005</v>
      </c>
      <c r="K240" s="220">
        <f t="shared" si="168"/>
        <v>4810.58</v>
      </c>
      <c r="L240" s="220">
        <f t="shared" si="169"/>
        <v>4655.4000000000005</v>
      </c>
      <c r="M240" s="125">
        <f t="shared" si="164"/>
        <v>4810.58</v>
      </c>
      <c r="N240" s="125">
        <v>0</v>
      </c>
      <c r="O240" s="125">
        <v>0</v>
      </c>
      <c r="P240" s="125">
        <v>0</v>
      </c>
      <c r="Q240" s="125">
        <v>0</v>
      </c>
      <c r="R240" s="127">
        <v>0</v>
      </c>
      <c r="S240" s="128">
        <v>212</v>
      </c>
    </row>
    <row r="241" spans="1:20" s="277" customFormat="1" x14ac:dyDescent="0.25">
      <c r="A241" s="275"/>
      <c r="B241" s="116">
        <v>9</v>
      </c>
      <c r="C241" s="18" t="s">
        <v>37</v>
      </c>
      <c r="D241" s="19">
        <v>71.400000000000006</v>
      </c>
      <c r="E241" s="21">
        <v>14</v>
      </c>
      <c r="F241" s="117">
        <f t="shared" si="162"/>
        <v>211915.2</v>
      </c>
      <c r="G241" s="223">
        <f t="shared" si="163"/>
        <v>30987.600000000006</v>
      </c>
      <c r="H241" s="224">
        <f t="shared" si="165"/>
        <v>27988.800000000003</v>
      </c>
      <c r="I241" s="223">
        <f t="shared" si="166"/>
        <v>30987.600000000006</v>
      </c>
      <c r="J241" s="223">
        <f t="shared" si="167"/>
        <v>29988.000000000004</v>
      </c>
      <c r="K241" s="223">
        <f t="shared" si="168"/>
        <v>30987.600000000006</v>
      </c>
      <c r="L241" s="223">
        <f t="shared" si="169"/>
        <v>29988.000000000004</v>
      </c>
      <c r="M241" s="35">
        <f t="shared" si="164"/>
        <v>30987.600000000006</v>
      </c>
      <c r="N241" s="35">
        <v>0</v>
      </c>
      <c r="O241" s="35">
        <v>0</v>
      </c>
      <c r="P241" s="35">
        <v>0</v>
      </c>
      <c r="Q241" s="35">
        <v>0</v>
      </c>
      <c r="R241" s="119">
        <v>0</v>
      </c>
      <c r="S241" s="276">
        <v>212</v>
      </c>
      <c r="T241" s="5"/>
    </row>
    <row r="242" spans="1:20" s="283" customFormat="1" x14ac:dyDescent="0.25">
      <c r="A242" s="278"/>
      <c r="B242" s="255">
        <v>15</v>
      </c>
      <c r="C242" s="256" t="s">
        <v>37</v>
      </c>
      <c r="D242" s="257">
        <v>71.400000000000006</v>
      </c>
      <c r="E242" s="24">
        <v>1</v>
      </c>
      <c r="F242" s="222">
        <f t="shared" si="162"/>
        <v>6925.8</v>
      </c>
      <c r="G242" s="279">
        <f t="shared" si="163"/>
        <v>2213.4</v>
      </c>
      <c r="H242" s="280">
        <f t="shared" si="165"/>
        <v>1999.2000000000003</v>
      </c>
      <c r="I242" s="279">
        <f>E242*D242*7</f>
        <v>499.80000000000007</v>
      </c>
      <c r="J242" s="279">
        <v>0</v>
      </c>
      <c r="K242" s="279">
        <v>0</v>
      </c>
      <c r="L242" s="279">
        <v>0</v>
      </c>
      <c r="M242" s="258">
        <f t="shared" si="164"/>
        <v>2213.4</v>
      </c>
      <c r="N242" s="258">
        <v>0</v>
      </c>
      <c r="O242" s="258">
        <v>0</v>
      </c>
      <c r="P242" s="258">
        <v>0</v>
      </c>
      <c r="Q242" s="258">
        <v>0</v>
      </c>
      <c r="R242" s="281">
        <v>0</v>
      </c>
      <c r="S242" s="282">
        <f>212-24-30-31-30</f>
        <v>97</v>
      </c>
      <c r="T242" s="259"/>
    </row>
    <row r="243" spans="1:20" s="277" customFormat="1" x14ac:dyDescent="0.25">
      <c r="A243" s="275"/>
      <c r="B243" s="116">
        <v>9</v>
      </c>
      <c r="C243" s="18" t="s">
        <v>37</v>
      </c>
      <c r="D243" s="19">
        <v>71.400000000000006</v>
      </c>
      <c r="E243" s="21">
        <v>1</v>
      </c>
      <c r="F243" s="117">
        <f t="shared" si="162"/>
        <v>4212.6000000000004</v>
      </c>
      <c r="G243" s="223">
        <f t="shared" si="163"/>
        <v>2213.4</v>
      </c>
      <c r="H243" s="224">
        <f t="shared" si="165"/>
        <v>1999.2000000000003</v>
      </c>
      <c r="I243" s="223">
        <v>0</v>
      </c>
      <c r="J243" s="223">
        <v>0</v>
      </c>
      <c r="K243" s="223">
        <v>0</v>
      </c>
      <c r="L243" s="223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119">
        <v>0</v>
      </c>
      <c r="S243" s="276">
        <f>31+28</f>
        <v>59</v>
      </c>
      <c r="T243" s="5"/>
    </row>
    <row r="244" spans="1:20" s="277" customFormat="1" x14ac:dyDescent="0.25">
      <c r="A244" s="275"/>
      <c r="B244" s="116">
        <v>9</v>
      </c>
      <c r="C244" s="18" t="s">
        <v>37</v>
      </c>
      <c r="D244" s="19">
        <v>71.400000000000006</v>
      </c>
      <c r="E244" s="21">
        <v>1</v>
      </c>
      <c r="F244" s="117">
        <f t="shared" si="162"/>
        <v>10924.2</v>
      </c>
      <c r="G244" s="223">
        <v>0</v>
      </c>
      <c r="H244" s="224">
        <v>0</v>
      </c>
      <c r="I244" s="223">
        <f t="shared" ref="I244" si="177">E244*D244*31</f>
        <v>2213.4</v>
      </c>
      <c r="J244" s="223">
        <f t="shared" ref="J244" si="178">E244*D244*30</f>
        <v>2142</v>
      </c>
      <c r="K244" s="223">
        <f t="shared" ref="K244" si="179">E244*D244*31</f>
        <v>2213.4</v>
      </c>
      <c r="L244" s="223">
        <f t="shared" ref="L244" si="180">E244*D244*30</f>
        <v>2142</v>
      </c>
      <c r="M244" s="35">
        <f t="shared" ref="M244" si="181">E244*D244*31</f>
        <v>2213.4</v>
      </c>
      <c r="N244" s="35">
        <v>0</v>
      </c>
      <c r="O244" s="35">
        <v>0</v>
      </c>
      <c r="P244" s="35">
        <v>0</v>
      </c>
      <c r="Q244" s="35">
        <v>0</v>
      </c>
      <c r="R244" s="119">
        <v>0</v>
      </c>
      <c r="S244" s="276">
        <f>31+30+31+30+31</f>
        <v>153</v>
      </c>
      <c r="T244" s="5"/>
    </row>
    <row r="245" spans="1:20" s="1" customFormat="1" x14ac:dyDescent="0.25">
      <c r="A245" s="284"/>
      <c r="B245" s="184">
        <v>10</v>
      </c>
      <c r="C245" s="122" t="s">
        <v>61</v>
      </c>
      <c r="D245" s="123">
        <v>75.64</v>
      </c>
      <c r="E245" s="20">
        <v>4</v>
      </c>
      <c r="F245" s="124">
        <f>+E245*S246*D245</f>
        <v>64142.720000000001</v>
      </c>
      <c r="G245" s="220">
        <f t="shared" si="163"/>
        <v>9379.36</v>
      </c>
      <c r="H245" s="221">
        <f t="shared" si="165"/>
        <v>8471.68</v>
      </c>
      <c r="I245" s="220">
        <f t="shared" si="166"/>
        <v>9379.36</v>
      </c>
      <c r="J245" s="220">
        <f t="shared" si="167"/>
        <v>9076.7999999999993</v>
      </c>
      <c r="K245" s="220">
        <f t="shared" si="168"/>
        <v>9379.36</v>
      </c>
      <c r="L245" s="220">
        <f t="shared" si="169"/>
        <v>9076.7999999999993</v>
      </c>
      <c r="M245" s="125">
        <f t="shared" si="164"/>
        <v>9379.36</v>
      </c>
      <c r="N245" s="125">
        <v>0</v>
      </c>
      <c r="O245" s="125">
        <v>0</v>
      </c>
      <c r="P245" s="125">
        <v>0</v>
      </c>
      <c r="Q245" s="125">
        <v>0</v>
      </c>
      <c r="R245" s="127">
        <v>0</v>
      </c>
      <c r="S245" s="285">
        <v>212</v>
      </c>
      <c r="T245"/>
    </row>
    <row r="246" spans="1:20" s="1" customFormat="1" x14ac:dyDescent="0.25">
      <c r="A246" s="284"/>
      <c r="B246" s="121">
        <v>11</v>
      </c>
      <c r="C246" s="122" t="s">
        <v>63</v>
      </c>
      <c r="D246" s="123">
        <v>71.400000000000006</v>
      </c>
      <c r="E246" s="20">
        <v>2</v>
      </c>
      <c r="F246" s="124">
        <f>+E246*S247*D246</f>
        <v>30273.600000000002</v>
      </c>
      <c r="G246" s="220">
        <f t="shared" si="163"/>
        <v>4426.8</v>
      </c>
      <c r="H246" s="221">
        <f t="shared" si="165"/>
        <v>3998.4000000000005</v>
      </c>
      <c r="I246" s="220">
        <f t="shared" si="166"/>
        <v>4426.8</v>
      </c>
      <c r="J246" s="220">
        <f t="shared" si="167"/>
        <v>4284</v>
      </c>
      <c r="K246" s="220">
        <f t="shared" si="168"/>
        <v>4426.8</v>
      </c>
      <c r="L246" s="220">
        <f t="shared" si="169"/>
        <v>4284</v>
      </c>
      <c r="M246" s="125">
        <f t="shared" si="164"/>
        <v>4426.8</v>
      </c>
      <c r="N246" s="125">
        <v>0</v>
      </c>
      <c r="O246" s="125">
        <v>0</v>
      </c>
      <c r="P246" s="125">
        <v>0</v>
      </c>
      <c r="Q246" s="125">
        <v>0</v>
      </c>
      <c r="R246" s="127">
        <v>0</v>
      </c>
      <c r="S246" s="285">
        <v>212</v>
      </c>
      <c r="T246"/>
    </row>
    <row r="247" spans="1:20" s="1" customFormat="1" x14ac:dyDescent="0.25">
      <c r="A247" s="284"/>
      <c r="B247" s="121">
        <v>12</v>
      </c>
      <c r="C247" s="122" t="s">
        <v>38</v>
      </c>
      <c r="D247" s="123">
        <v>78.25</v>
      </c>
      <c r="E247" s="20">
        <v>2</v>
      </c>
      <c r="F247" s="124">
        <f>+E247*S248*D247</f>
        <v>33178</v>
      </c>
      <c r="G247" s="220">
        <f t="shared" si="163"/>
        <v>4851.5</v>
      </c>
      <c r="H247" s="221">
        <f t="shared" si="165"/>
        <v>4382</v>
      </c>
      <c r="I247" s="220">
        <f t="shared" si="166"/>
        <v>4851.5</v>
      </c>
      <c r="J247" s="220">
        <f t="shared" si="167"/>
        <v>4695</v>
      </c>
      <c r="K247" s="220">
        <f t="shared" si="168"/>
        <v>4851.5</v>
      </c>
      <c r="L247" s="220">
        <f t="shared" si="169"/>
        <v>4695</v>
      </c>
      <c r="M247" s="125">
        <f t="shared" si="164"/>
        <v>4851.5</v>
      </c>
      <c r="N247" s="125">
        <v>0</v>
      </c>
      <c r="O247" s="125">
        <v>0</v>
      </c>
      <c r="P247" s="125">
        <v>0</v>
      </c>
      <c r="Q247" s="125">
        <v>0</v>
      </c>
      <c r="R247" s="127">
        <v>0</v>
      </c>
      <c r="S247" s="285">
        <v>212</v>
      </c>
      <c r="T247"/>
    </row>
    <row r="248" spans="1:20" s="1" customFormat="1" x14ac:dyDescent="0.25">
      <c r="A248" s="284"/>
      <c r="B248" s="184">
        <v>13</v>
      </c>
      <c r="C248" s="122" t="s">
        <v>53</v>
      </c>
      <c r="D248" s="123">
        <v>71.400000000000006</v>
      </c>
      <c r="E248" s="20">
        <v>8</v>
      </c>
      <c r="F248" s="124">
        <f t="shared" ref="F248:F285" si="182">+E248*S248*D248</f>
        <v>121094.40000000001</v>
      </c>
      <c r="G248" s="220">
        <f t="shared" si="163"/>
        <v>17707.2</v>
      </c>
      <c r="H248" s="221">
        <f t="shared" si="165"/>
        <v>15993.600000000002</v>
      </c>
      <c r="I248" s="220">
        <f t="shared" si="166"/>
        <v>17707.2</v>
      </c>
      <c r="J248" s="220">
        <f t="shared" si="167"/>
        <v>17136</v>
      </c>
      <c r="K248" s="220">
        <f t="shared" si="168"/>
        <v>17707.2</v>
      </c>
      <c r="L248" s="220">
        <f t="shared" si="169"/>
        <v>17136</v>
      </c>
      <c r="M248" s="125">
        <f t="shared" si="164"/>
        <v>17707.2</v>
      </c>
      <c r="N248" s="125">
        <v>0</v>
      </c>
      <c r="O248" s="125">
        <v>0</v>
      </c>
      <c r="P248" s="125">
        <v>0</v>
      </c>
      <c r="Q248" s="125">
        <v>0</v>
      </c>
      <c r="R248" s="127">
        <v>0</v>
      </c>
      <c r="S248" s="285">
        <v>212</v>
      </c>
      <c r="T248"/>
    </row>
    <row r="249" spans="1:20" s="1" customFormat="1" x14ac:dyDescent="0.25">
      <c r="A249" s="284"/>
      <c r="B249" s="121">
        <v>14</v>
      </c>
      <c r="C249" s="122" t="s">
        <v>54</v>
      </c>
      <c r="D249" s="123">
        <v>72.540000000000006</v>
      </c>
      <c r="E249" s="20">
        <v>3</v>
      </c>
      <c r="F249" s="124">
        <f t="shared" si="182"/>
        <v>46135.44</v>
      </c>
      <c r="G249" s="125">
        <f t="shared" si="163"/>
        <v>6746.22</v>
      </c>
      <c r="H249" s="126">
        <f t="shared" si="165"/>
        <v>6093.3600000000006</v>
      </c>
      <c r="I249" s="125">
        <f t="shared" si="166"/>
        <v>6746.22</v>
      </c>
      <c r="J249" s="220">
        <f t="shared" si="167"/>
        <v>6528.6</v>
      </c>
      <c r="K249" s="220">
        <f t="shared" si="168"/>
        <v>6746.22</v>
      </c>
      <c r="L249" s="220">
        <f t="shared" si="169"/>
        <v>6528.6</v>
      </c>
      <c r="M249" s="125">
        <f t="shared" si="164"/>
        <v>6746.22</v>
      </c>
      <c r="N249" s="125">
        <v>0</v>
      </c>
      <c r="O249" s="125">
        <v>0</v>
      </c>
      <c r="P249" s="125">
        <v>0</v>
      </c>
      <c r="Q249" s="125">
        <v>0</v>
      </c>
      <c r="R249" s="127">
        <v>0</v>
      </c>
      <c r="S249" s="285">
        <v>212</v>
      </c>
      <c r="T249"/>
    </row>
    <row r="250" spans="1:20" x14ac:dyDescent="0.25">
      <c r="A250" s="46"/>
      <c r="B250" s="121">
        <v>15</v>
      </c>
      <c r="C250" s="286" t="s">
        <v>41</v>
      </c>
      <c r="D250" s="123">
        <v>75.64</v>
      </c>
      <c r="E250" s="20">
        <v>1</v>
      </c>
      <c r="F250" s="124">
        <f t="shared" si="182"/>
        <v>16035.68</v>
      </c>
      <c r="G250" s="125">
        <f t="shared" si="163"/>
        <v>2344.84</v>
      </c>
      <c r="H250" s="126">
        <f t="shared" si="165"/>
        <v>2117.92</v>
      </c>
      <c r="I250" s="125">
        <f t="shared" si="166"/>
        <v>2344.84</v>
      </c>
      <c r="J250" s="220">
        <f t="shared" si="167"/>
        <v>2269.1999999999998</v>
      </c>
      <c r="K250" s="220">
        <f t="shared" si="168"/>
        <v>2344.84</v>
      </c>
      <c r="L250" s="220">
        <f t="shared" si="169"/>
        <v>2269.1999999999998</v>
      </c>
      <c r="M250" s="125">
        <f t="shared" si="164"/>
        <v>2344.84</v>
      </c>
      <c r="N250" s="125">
        <v>0</v>
      </c>
      <c r="O250" s="125">
        <v>0</v>
      </c>
      <c r="P250" s="125">
        <v>0</v>
      </c>
      <c r="Q250" s="125">
        <v>0</v>
      </c>
      <c r="R250" s="127">
        <v>0</v>
      </c>
      <c r="S250" s="128">
        <v>212</v>
      </c>
    </row>
    <row r="251" spans="1:20" x14ac:dyDescent="0.25">
      <c r="A251" s="46"/>
      <c r="B251" s="184">
        <v>17</v>
      </c>
      <c r="C251" s="122" t="s">
        <v>64</v>
      </c>
      <c r="D251" s="123">
        <v>72.540000000000006</v>
      </c>
      <c r="E251" s="20">
        <v>1</v>
      </c>
      <c r="F251" s="124">
        <f t="shared" si="182"/>
        <v>5367.96</v>
      </c>
      <c r="G251" s="125">
        <v>0</v>
      </c>
      <c r="H251" s="126">
        <f>E251*D251*28+D251*E251*15</f>
        <v>3119.2200000000003</v>
      </c>
      <c r="I251" s="125">
        <f t="shared" si="166"/>
        <v>2248.7400000000002</v>
      </c>
      <c r="J251" s="220">
        <v>0</v>
      </c>
      <c r="K251" s="220">
        <v>0</v>
      </c>
      <c r="L251" s="220">
        <v>0</v>
      </c>
      <c r="M251" s="125">
        <v>0</v>
      </c>
      <c r="N251" s="125">
        <v>0</v>
      </c>
      <c r="O251" s="125">
        <v>0</v>
      </c>
      <c r="P251" s="125">
        <v>0</v>
      </c>
      <c r="Q251" s="125">
        <v>0</v>
      </c>
      <c r="R251" s="127">
        <v>0</v>
      </c>
      <c r="S251" s="128">
        <f>15+28+31</f>
        <v>74</v>
      </c>
    </row>
    <row r="252" spans="1:20" x14ac:dyDescent="0.25">
      <c r="A252" s="46"/>
      <c r="B252" s="184">
        <v>18</v>
      </c>
      <c r="C252" s="122" t="s">
        <v>64</v>
      </c>
      <c r="D252" s="123">
        <v>72.540000000000006</v>
      </c>
      <c r="E252" s="20">
        <v>1</v>
      </c>
      <c r="F252" s="124">
        <f t="shared" si="182"/>
        <v>6601.14</v>
      </c>
      <c r="G252" s="125">
        <v>0</v>
      </c>
      <c r="H252" s="126">
        <v>0</v>
      </c>
      <c r="I252" s="125">
        <v>0</v>
      </c>
      <c r="J252" s="125">
        <f>E252*D252*30</f>
        <v>2176.2000000000003</v>
      </c>
      <c r="K252" s="125">
        <f t="shared" ref="K252" si="183">E252*D252*31</f>
        <v>2248.7400000000002</v>
      </c>
      <c r="L252" s="125">
        <f t="shared" ref="L252" si="184">E252*D252*30</f>
        <v>2176.2000000000003</v>
      </c>
      <c r="M252" s="125">
        <v>0</v>
      </c>
      <c r="N252" s="125">
        <v>0</v>
      </c>
      <c r="O252" s="125">
        <v>0</v>
      </c>
      <c r="P252" s="125">
        <v>0</v>
      </c>
      <c r="Q252" s="125">
        <v>0</v>
      </c>
      <c r="R252" s="127">
        <v>0</v>
      </c>
      <c r="S252" s="128">
        <f>30+31+30</f>
        <v>91</v>
      </c>
    </row>
    <row r="253" spans="1:20" s="5" customFormat="1" x14ac:dyDescent="0.25">
      <c r="A253" s="115"/>
      <c r="B253" s="207">
        <v>18</v>
      </c>
      <c r="C253" s="18" t="s">
        <v>64</v>
      </c>
      <c r="D253" s="19">
        <v>72.540000000000006</v>
      </c>
      <c r="E253" s="21">
        <v>1</v>
      </c>
      <c r="F253" s="117">
        <f t="shared" si="182"/>
        <v>6673.68</v>
      </c>
      <c r="G253" s="35">
        <v>0</v>
      </c>
      <c r="H253" s="118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f t="shared" si="164"/>
        <v>2248.7400000000002</v>
      </c>
      <c r="N253" s="35">
        <f>E253*D253*31</f>
        <v>2248.7400000000002</v>
      </c>
      <c r="O253" s="35">
        <f>E253*D253*30</f>
        <v>2176.2000000000003</v>
      </c>
      <c r="P253" s="35">
        <v>0</v>
      </c>
      <c r="Q253" s="35">
        <v>0</v>
      </c>
      <c r="R253" s="119">
        <v>0</v>
      </c>
      <c r="S253" s="120">
        <f>31+31+30</f>
        <v>92</v>
      </c>
    </row>
    <row r="254" spans="1:20" s="5" customFormat="1" x14ac:dyDescent="0.25">
      <c r="A254" s="115"/>
      <c r="B254" s="207">
        <v>16</v>
      </c>
      <c r="C254" s="18" t="s">
        <v>36</v>
      </c>
      <c r="D254" s="19">
        <v>80.86</v>
      </c>
      <c r="E254" s="21">
        <v>2</v>
      </c>
      <c r="F254" s="117">
        <f t="shared" si="182"/>
        <v>34284.639999999999</v>
      </c>
      <c r="G254" s="35">
        <f t="shared" ref="G254" si="185">E254*D254*31</f>
        <v>5013.32</v>
      </c>
      <c r="H254" s="118">
        <f t="shared" ref="H254" si="186">E254*D254*28</f>
        <v>4528.16</v>
      </c>
      <c r="I254" s="35">
        <f t="shared" ref="I254" si="187">E254*D254*31</f>
        <v>5013.32</v>
      </c>
      <c r="J254" s="35">
        <f t="shared" ref="J254" si="188">E254*D254*30</f>
        <v>4851.6000000000004</v>
      </c>
      <c r="K254" s="35">
        <f t="shared" ref="K254" si="189">E254*D254*31</f>
        <v>5013.32</v>
      </c>
      <c r="L254" s="35">
        <f t="shared" ref="L254" si="190">E254*D254*30</f>
        <v>4851.6000000000004</v>
      </c>
      <c r="M254" s="35">
        <f t="shared" si="164"/>
        <v>5013.32</v>
      </c>
      <c r="N254" s="35">
        <v>0</v>
      </c>
      <c r="O254" s="35">
        <v>0</v>
      </c>
      <c r="P254" s="35">
        <v>0</v>
      </c>
      <c r="Q254" s="35">
        <v>0</v>
      </c>
      <c r="R254" s="119">
        <v>0</v>
      </c>
      <c r="S254" s="120">
        <v>212</v>
      </c>
    </row>
    <row r="255" spans="1:20" s="5" customFormat="1" x14ac:dyDescent="0.25">
      <c r="A255" s="115"/>
      <c r="B255" s="116">
        <v>1</v>
      </c>
      <c r="C255" s="18" t="s">
        <v>58</v>
      </c>
      <c r="D255" s="19">
        <v>77.59</v>
      </c>
      <c r="E255" s="21">
        <v>19</v>
      </c>
      <c r="F255" s="117">
        <f t="shared" si="182"/>
        <v>246193.07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f>+D255*E255*45</f>
        <v>66339.45</v>
      </c>
      <c r="O255" s="35">
        <f t="shared" ref="O255:O256" si="191">+D255*E255*30</f>
        <v>44226.3</v>
      </c>
      <c r="P255" s="35">
        <f t="shared" ref="P255:P256" si="192">+D255*E255*31</f>
        <v>45700.51</v>
      </c>
      <c r="Q255" s="35">
        <f t="shared" ref="Q255:Q256" si="193">+D255*E255*30</f>
        <v>44226.3</v>
      </c>
      <c r="R255" s="119">
        <f t="shared" ref="R255:R256" si="194">+D255*E255*31</f>
        <v>45700.51</v>
      </c>
      <c r="S255" s="120">
        <f>14+31+30+31+30+31</f>
        <v>167</v>
      </c>
    </row>
    <row r="256" spans="1:20" s="5" customFormat="1" x14ac:dyDescent="0.25">
      <c r="A256" s="115"/>
      <c r="B256" s="116">
        <v>2</v>
      </c>
      <c r="C256" s="18" t="s">
        <v>60</v>
      </c>
      <c r="D256" s="19">
        <v>77.59</v>
      </c>
      <c r="E256" s="21">
        <v>3</v>
      </c>
      <c r="F256" s="117">
        <f t="shared" si="182"/>
        <v>38872.590000000004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35">
        <v>0</v>
      </c>
      <c r="N256" s="35">
        <f t="shared" ref="N256:N263" si="195">+D256*E256*45</f>
        <v>10474.65</v>
      </c>
      <c r="O256" s="35">
        <f t="shared" si="191"/>
        <v>6983.1</v>
      </c>
      <c r="P256" s="35">
        <f t="shared" si="192"/>
        <v>7215.87</v>
      </c>
      <c r="Q256" s="35">
        <f t="shared" si="193"/>
        <v>6983.1</v>
      </c>
      <c r="R256" s="119">
        <f t="shared" si="194"/>
        <v>7215.87</v>
      </c>
      <c r="S256" s="120">
        <f t="shared" ref="S256:S263" si="196">14+31+30+31+30+31</f>
        <v>167</v>
      </c>
    </row>
    <row r="257" spans="1:19" s="5" customFormat="1" x14ac:dyDescent="0.25">
      <c r="A257" s="115"/>
      <c r="B257" s="116">
        <v>2</v>
      </c>
      <c r="C257" s="18" t="s">
        <v>60</v>
      </c>
      <c r="D257" s="19">
        <v>77.59</v>
      </c>
      <c r="E257" s="21">
        <v>2</v>
      </c>
      <c r="F257" s="117">
        <f t="shared" si="182"/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119">
        <v>0</v>
      </c>
      <c r="S257" s="120">
        <v>0</v>
      </c>
    </row>
    <row r="258" spans="1:19" s="5" customFormat="1" x14ac:dyDescent="0.25">
      <c r="A258" s="115"/>
      <c r="B258" s="116">
        <v>3</v>
      </c>
      <c r="C258" s="18" t="s">
        <v>134</v>
      </c>
      <c r="D258" s="19">
        <v>75.64</v>
      </c>
      <c r="E258" s="21">
        <v>1</v>
      </c>
      <c r="F258" s="117">
        <f t="shared" si="182"/>
        <v>12631.88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f t="shared" si="195"/>
        <v>3403.8</v>
      </c>
      <c r="O258" s="35">
        <f t="shared" ref="O258:O282" si="197">+D258*E258*30</f>
        <v>2269.1999999999998</v>
      </c>
      <c r="P258" s="35">
        <f t="shared" ref="P258:P282" si="198">+D258*E258*31</f>
        <v>2344.84</v>
      </c>
      <c r="Q258" s="35">
        <f t="shared" ref="Q258:Q285" si="199">+D258*E258*30</f>
        <v>2269.1999999999998</v>
      </c>
      <c r="R258" s="119">
        <f t="shared" ref="R258:R285" si="200">+D258*E258*31</f>
        <v>2344.84</v>
      </c>
      <c r="S258" s="120">
        <f t="shared" si="196"/>
        <v>167</v>
      </c>
    </row>
    <row r="259" spans="1:19" s="5" customFormat="1" x14ac:dyDescent="0.25">
      <c r="A259" s="115"/>
      <c r="B259" s="116">
        <v>4</v>
      </c>
      <c r="C259" s="18" t="s">
        <v>37</v>
      </c>
      <c r="D259" s="19">
        <v>71.400000000000006</v>
      </c>
      <c r="E259" s="21">
        <v>5</v>
      </c>
      <c r="F259" s="117">
        <f t="shared" si="182"/>
        <v>59619.000000000007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  <c r="M259" s="35">
        <v>0</v>
      </c>
      <c r="N259" s="35">
        <f t="shared" si="195"/>
        <v>16065</v>
      </c>
      <c r="O259" s="35">
        <f t="shared" si="197"/>
        <v>10710</v>
      </c>
      <c r="P259" s="35">
        <f t="shared" si="198"/>
        <v>11067</v>
      </c>
      <c r="Q259" s="35">
        <f t="shared" si="199"/>
        <v>10710</v>
      </c>
      <c r="R259" s="119">
        <f t="shared" si="200"/>
        <v>11067</v>
      </c>
      <c r="S259" s="120">
        <f t="shared" si="196"/>
        <v>167</v>
      </c>
    </row>
    <row r="260" spans="1:19" s="5" customFormat="1" x14ac:dyDescent="0.25">
      <c r="A260" s="115"/>
      <c r="B260" s="116">
        <v>4</v>
      </c>
      <c r="C260" s="18" t="s">
        <v>37</v>
      </c>
      <c r="D260" s="19">
        <v>71.400000000000006</v>
      </c>
      <c r="E260" s="21">
        <v>1</v>
      </c>
      <c r="F260" s="117">
        <f t="shared" si="182"/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119">
        <v>0</v>
      </c>
      <c r="S260" s="120">
        <v>0</v>
      </c>
    </row>
    <row r="261" spans="1:19" s="5" customFormat="1" x14ac:dyDescent="0.25">
      <c r="A261" s="115"/>
      <c r="B261" s="116">
        <v>5</v>
      </c>
      <c r="C261" s="287" t="s">
        <v>133</v>
      </c>
      <c r="D261" s="34">
        <v>71.400000000000006</v>
      </c>
      <c r="E261" s="33">
        <v>6</v>
      </c>
      <c r="F261" s="117">
        <f t="shared" si="182"/>
        <v>71542.8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  <c r="M261" s="35">
        <v>0</v>
      </c>
      <c r="N261" s="35">
        <f t="shared" si="195"/>
        <v>19278</v>
      </c>
      <c r="O261" s="35">
        <f t="shared" si="197"/>
        <v>12852.000000000002</v>
      </c>
      <c r="P261" s="35">
        <f t="shared" si="198"/>
        <v>13280.400000000001</v>
      </c>
      <c r="Q261" s="35">
        <f t="shared" si="199"/>
        <v>12852.000000000002</v>
      </c>
      <c r="R261" s="119">
        <f t="shared" si="200"/>
        <v>13280.400000000001</v>
      </c>
      <c r="S261" s="120">
        <f t="shared" si="196"/>
        <v>167</v>
      </c>
    </row>
    <row r="262" spans="1:19" s="5" customFormat="1" x14ac:dyDescent="0.25">
      <c r="A262" s="115"/>
      <c r="B262" s="116">
        <v>6</v>
      </c>
      <c r="C262" s="287" t="s">
        <v>135</v>
      </c>
      <c r="D262" s="19">
        <v>75.64</v>
      </c>
      <c r="E262" s="33">
        <v>1</v>
      </c>
      <c r="F262" s="117">
        <f t="shared" si="182"/>
        <v>12631.88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  <c r="M262" s="35">
        <v>0</v>
      </c>
      <c r="N262" s="35">
        <f t="shared" si="195"/>
        <v>3403.8</v>
      </c>
      <c r="O262" s="35">
        <f t="shared" si="197"/>
        <v>2269.1999999999998</v>
      </c>
      <c r="P262" s="35">
        <f t="shared" si="198"/>
        <v>2344.84</v>
      </c>
      <c r="Q262" s="35">
        <f t="shared" si="199"/>
        <v>2269.1999999999998</v>
      </c>
      <c r="R262" s="119">
        <f t="shared" si="200"/>
        <v>2344.84</v>
      </c>
      <c r="S262" s="120">
        <f t="shared" si="196"/>
        <v>167</v>
      </c>
    </row>
    <row r="263" spans="1:19" s="5" customFormat="1" x14ac:dyDescent="0.25">
      <c r="A263" s="115"/>
      <c r="B263" s="116">
        <v>7</v>
      </c>
      <c r="C263" s="18" t="s">
        <v>36</v>
      </c>
      <c r="D263" s="19">
        <v>80.86</v>
      </c>
      <c r="E263" s="21">
        <v>2</v>
      </c>
      <c r="F263" s="117">
        <f t="shared" si="182"/>
        <v>27007.24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  <c r="M263" s="35">
        <v>0</v>
      </c>
      <c r="N263" s="35">
        <f t="shared" si="195"/>
        <v>7277.4</v>
      </c>
      <c r="O263" s="35">
        <f t="shared" si="197"/>
        <v>4851.6000000000004</v>
      </c>
      <c r="P263" s="35">
        <f t="shared" si="198"/>
        <v>5013.32</v>
      </c>
      <c r="Q263" s="35">
        <f t="shared" si="199"/>
        <v>4851.6000000000004</v>
      </c>
      <c r="R263" s="119">
        <f t="shared" si="200"/>
        <v>5013.32</v>
      </c>
      <c r="S263" s="120">
        <f t="shared" si="196"/>
        <v>167</v>
      </c>
    </row>
    <row r="264" spans="1:19" s="5" customFormat="1" x14ac:dyDescent="0.25">
      <c r="A264" s="115"/>
      <c r="B264" s="116">
        <v>8</v>
      </c>
      <c r="C264" s="18" t="s">
        <v>43</v>
      </c>
      <c r="D264" s="19">
        <v>72.540000000000006</v>
      </c>
      <c r="E264" s="23">
        <v>4</v>
      </c>
      <c r="F264" s="117">
        <f t="shared" si="182"/>
        <v>44394.48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  <c r="M264" s="35">
        <v>0</v>
      </c>
      <c r="N264" s="35">
        <f t="shared" ref="N264:N282" si="201">+D264*E264*31</f>
        <v>8994.9600000000009</v>
      </c>
      <c r="O264" s="35">
        <f t="shared" si="197"/>
        <v>8704.8000000000011</v>
      </c>
      <c r="P264" s="35">
        <f t="shared" si="198"/>
        <v>8994.9600000000009</v>
      </c>
      <c r="Q264" s="35">
        <f t="shared" si="199"/>
        <v>8704.8000000000011</v>
      </c>
      <c r="R264" s="119">
        <f t="shared" si="200"/>
        <v>8994.9600000000009</v>
      </c>
      <c r="S264" s="120">
        <f t="shared" ref="S264:S282" si="202">31+30+31+30+31</f>
        <v>153</v>
      </c>
    </row>
    <row r="265" spans="1:19" s="5" customFormat="1" x14ac:dyDescent="0.25">
      <c r="A265" s="115"/>
      <c r="B265" s="116">
        <v>9</v>
      </c>
      <c r="C265" s="18" t="s">
        <v>45</v>
      </c>
      <c r="D265" s="19">
        <v>73.59</v>
      </c>
      <c r="E265" s="21">
        <v>1</v>
      </c>
      <c r="F265" s="117">
        <f t="shared" si="182"/>
        <v>11259.27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f t="shared" si="201"/>
        <v>2281.29</v>
      </c>
      <c r="O265" s="35">
        <f t="shared" si="197"/>
        <v>2207.7000000000003</v>
      </c>
      <c r="P265" s="35">
        <f t="shared" si="198"/>
        <v>2281.29</v>
      </c>
      <c r="Q265" s="35">
        <f t="shared" si="199"/>
        <v>2207.7000000000003</v>
      </c>
      <c r="R265" s="119">
        <f t="shared" si="200"/>
        <v>2281.29</v>
      </c>
      <c r="S265" s="120">
        <f t="shared" si="202"/>
        <v>153</v>
      </c>
    </row>
    <row r="266" spans="1:19" s="5" customFormat="1" x14ac:dyDescent="0.25">
      <c r="A266" s="115"/>
      <c r="B266" s="116">
        <v>10</v>
      </c>
      <c r="C266" s="18" t="s">
        <v>58</v>
      </c>
      <c r="D266" s="19">
        <v>77.59</v>
      </c>
      <c r="E266" s="21">
        <v>1</v>
      </c>
      <c r="F266" s="117">
        <f t="shared" si="182"/>
        <v>11871.27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  <c r="M266" s="35">
        <v>0</v>
      </c>
      <c r="N266" s="35">
        <f t="shared" si="201"/>
        <v>2405.29</v>
      </c>
      <c r="O266" s="35">
        <f t="shared" si="197"/>
        <v>2327.7000000000003</v>
      </c>
      <c r="P266" s="35">
        <f t="shared" si="198"/>
        <v>2405.29</v>
      </c>
      <c r="Q266" s="35">
        <f t="shared" si="199"/>
        <v>2327.7000000000003</v>
      </c>
      <c r="R266" s="119">
        <f t="shared" si="200"/>
        <v>2405.29</v>
      </c>
      <c r="S266" s="120">
        <f t="shared" si="202"/>
        <v>153</v>
      </c>
    </row>
    <row r="267" spans="1:19" s="5" customFormat="1" x14ac:dyDescent="0.25">
      <c r="A267" s="115"/>
      <c r="B267" s="116">
        <v>11</v>
      </c>
      <c r="C267" s="287" t="s">
        <v>133</v>
      </c>
      <c r="D267" s="34">
        <v>71.400000000000006</v>
      </c>
      <c r="E267" s="33">
        <v>12</v>
      </c>
      <c r="F267" s="117">
        <f t="shared" si="182"/>
        <v>131090.40000000002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  <c r="M267" s="35">
        <v>0</v>
      </c>
      <c r="N267" s="35">
        <f t="shared" si="201"/>
        <v>26560.800000000003</v>
      </c>
      <c r="O267" s="35">
        <f t="shared" si="197"/>
        <v>25704.000000000004</v>
      </c>
      <c r="P267" s="35">
        <f t="shared" si="198"/>
        <v>26560.800000000003</v>
      </c>
      <c r="Q267" s="35">
        <f t="shared" si="199"/>
        <v>25704.000000000004</v>
      </c>
      <c r="R267" s="119">
        <f t="shared" si="200"/>
        <v>26560.800000000003</v>
      </c>
      <c r="S267" s="120">
        <f t="shared" si="202"/>
        <v>153</v>
      </c>
    </row>
    <row r="268" spans="1:19" s="5" customFormat="1" x14ac:dyDescent="0.25">
      <c r="A268" s="115"/>
      <c r="B268" s="116">
        <v>12</v>
      </c>
      <c r="C268" s="18" t="s">
        <v>47</v>
      </c>
      <c r="D268" s="19">
        <v>71.400000000000006</v>
      </c>
      <c r="E268" s="21">
        <v>1</v>
      </c>
      <c r="F268" s="117">
        <f t="shared" si="182"/>
        <v>10924.2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f t="shared" si="201"/>
        <v>2213.4</v>
      </c>
      <c r="O268" s="35">
        <f t="shared" si="197"/>
        <v>2142</v>
      </c>
      <c r="P268" s="35">
        <f t="shared" si="198"/>
        <v>2213.4</v>
      </c>
      <c r="Q268" s="35">
        <f t="shared" si="199"/>
        <v>2142</v>
      </c>
      <c r="R268" s="119">
        <f t="shared" si="200"/>
        <v>2213.4</v>
      </c>
      <c r="S268" s="120">
        <f t="shared" si="202"/>
        <v>153</v>
      </c>
    </row>
    <row r="269" spans="1:19" s="5" customFormat="1" x14ac:dyDescent="0.25">
      <c r="A269" s="115"/>
      <c r="B269" s="116">
        <v>13</v>
      </c>
      <c r="C269" s="18" t="s">
        <v>51</v>
      </c>
      <c r="D269" s="19">
        <v>72.540000000000006</v>
      </c>
      <c r="E269" s="21">
        <v>4</v>
      </c>
      <c r="F269" s="117">
        <f t="shared" si="182"/>
        <v>44394.48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0</v>
      </c>
      <c r="N269" s="35">
        <f t="shared" si="201"/>
        <v>8994.9600000000009</v>
      </c>
      <c r="O269" s="35">
        <f t="shared" si="197"/>
        <v>8704.8000000000011</v>
      </c>
      <c r="P269" s="35">
        <f t="shared" si="198"/>
        <v>8994.9600000000009</v>
      </c>
      <c r="Q269" s="35">
        <f t="shared" si="199"/>
        <v>8704.8000000000011</v>
      </c>
      <c r="R269" s="119">
        <f t="shared" si="200"/>
        <v>8994.9600000000009</v>
      </c>
      <c r="S269" s="120">
        <f t="shared" si="202"/>
        <v>153</v>
      </c>
    </row>
    <row r="270" spans="1:19" s="5" customFormat="1" x14ac:dyDescent="0.25">
      <c r="A270" s="115"/>
      <c r="B270" s="116">
        <v>14</v>
      </c>
      <c r="C270" s="18" t="s">
        <v>59</v>
      </c>
      <c r="D270" s="19">
        <v>73.59</v>
      </c>
      <c r="E270" s="21">
        <v>1</v>
      </c>
      <c r="F270" s="117">
        <f t="shared" si="182"/>
        <v>11259.27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f t="shared" si="201"/>
        <v>2281.29</v>
      </c>
      <c r="O270" s="35">
        <f t="shared" si="197"/>
        <v>2207.7000000000003</v>
      </c>
      <c r="P270" s="35">
        <f t="shared" si="198"/>
        <v>2281.29</v>
      </c>
      <c r="Q270" s="35">
        <f t="shared" si="199"/>
        <v>2207.7000000000003</v>
      </c>
      <c r="R270" s="119">
        <f t="shared" si="200"/>
        <v>2281.29</v>
      </c>
      <c r="S270" s="120">
        <f t="shared" si="202"/>
        <v>153</v>
      </c>
    </row>
    <row r="271" spans="1:19" s="5" customFormat="1" x14ac:dyDescent="0.25">
      <c r="A271" s="115"/>
      <c r="B271" s="116">
        <v>15</v>
      </c>
      <c r="C271" s="18" t="s">
        <v>60</v>
      </c>
      <c r="D271" s="19">
        <v>77.59</v>
      </c>
      <c r="E271" s="21">
        <v>2</v>
      </c>
      <c r="F271" s="117">
        <f t="shared" si="182"/>
        <v>23742.54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f t="shared" si="201"/>
        <v>4810.58</v>
      </c>
      <c r="O271" s="35">
        <f t="shared" si="197"/>
        <v>4655.4000000000005</v>
      </c>
      <c r="P271" s="35">
        <f t="shared" si="198"/>
        <v>4810.58</v>
      </c>
      <c r="Q271" s="35">
        <f t="shared" si="199"/>
        <v>4655.4000000000005</v>
      </c>
      <c r="R271" s="119">
        <f t="shared" si="200"/>
        <v>4810.58</v>
      </c>
      <c r="S271" s="120">
        <f t="shared" si="202"/>
        <v>153</v>
      </c>
    </row>
    <row r="272" spans="1:19" s="5" customFormat="1" x14ac:dyDescent="0.25">
      <c r="A272" s="115"/>
      <c r="B272" s="116">
        <v>16</v>
      </c>
      <c r="C272" s="18" t="s">
        <v>37</v>
      </c>
      <c r="D272" s="19">
        <v>71.400000000000006</v>
      </c>
      <c r="E272" s="21">
        <v>15</v>
      </c>
      <c r="F272" s="117">
        <f t="shared" si="182"/>
        <v>163863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0</v>
      </c>
      <c r="M272" s="35">
        <v>0</v>
      </c>
      <c r="N272" s="35">
        <f t="shared" si="201"/>
        <v>33201</v>
      </c>
      <c r="O272" s="35">
        <f t="shared" si="197"/>
        <v>32130</v>
      </c>
      <c r="P272" s="35">
        <f t="shared" si="198"/>
        <v>33201</v>
      </c>
      <c r="Q272" s="35">
        <f t="shared" si="199"/>
        <v>32130</v>
      </c>
      <c r="R272" s="119">
        <f t="shared" si="200"/>
        <v>33201</v>
      </c>
      <c r="S272" s="120">
        <f t="shared" si="202"/>
        <v>153</v>
      </c>
    </row>
    <row r="273" spans="1:19" s="5" customFormat="1" x14ac:dyDescent="0.25">
      <c r="A273" s="115"/>
      <c r="B273" s="116">
        <v>16</v>
      </c>
      <c r="C273" s="18" t="s">
        <v>37</v>
      </c>
      <c r="D273" s="19">
        <v>71.400000000000006</v>
      </c>
      <c r="E273" s="21">
        <v>1</v>
      </c>
      <c r="F273" s="117">
        <f t="shared" si="182"/>
        <v>12066.6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0</v>
      </c>
      <c r="M273" s="35">
        <v>0</v>
      </c>
      <c r="N273" s="35">
        <f>+D273*E273*47</f>
        <v>3355.8</v>
      </c>
      <c r="O273" s="35">
        <f t="shared" si="197"/>
        <v>2142</v>
      </c>
      <c r="P273" s="35">
        <f t="shared" si="198"/>
        <v>2213.4</v>
      </c>
      <c r="Q273" s="35">
        <f t="shared" si="199"/>
        <v>2142</v>
      </c>
      <c r="R273" s="119">
        <f t="shared" si="200"/>
        <v>2213.4</v>
      </c>
      <c r="S273" s="120">
        <f>47+30+31+30+31</f>
        <v>169</v>
      </c>
    </row>
    <row r="274" spans="1:19" s="5" customFormat="1" x14ac:dyDescent="0.25">
      <c r="A274" s="115"/>
      <c r="B274" s="116">
        <v>17</v>
      </c>
      <c r="C274" s="18" t="s">
        <v>61</v>
      </c>
      <c r="D274" s="19">
        <v>75.64</v>
      </c>
      <c r="E274" s="21">
        <v>3</v>
      </c>
      <c r="F274" s="117">
        <f t="shared" si="182"/>
        <v>34718.76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0</v>
      </c>
      <c r="M274" s="35">
        <v>0</v>
      </c>
      <c r="N274" s="35">
        <f t="shared" si="201"/>
        <v>7034.52</v>
      </c>
      <c r="O274" s="35">
        <f t="shared" si="197"/>
        <v>6807.6</v>
      </c>
      <c r="P274" s="35">
        <f t="shared" si="198"/>
        <v>7034.52</v>
      </c>
      <c r="Q274" s="35">
        <f t="shared" si="199"/>
        <v>6807.6</v>
      </c>
      <c r="R274" s="119">
        <f t="shared" si="200"/>
        <v>7034.52</v>
      </c>
      <c r="S274" s="120">
        <f t="shared" si="202"/>
        <v>153</v>
      </c>
    </row>
    <row r="275" spans="1:19" s="5" customFormat="1" x14ac:dyDescent="0.25">
      <c r="A275" s="115"/>
      <c r="B275" s="116"/>
      <c r="C275" s="18" t="s">
        <v>61</v>
      </c>
      <c r="D275" s="19">
        <v>75.64</v>
      </c>
      <c r="E275" s="21">
        <v>1</v>
      </c>
      <c r="F275" s="117">
        <f>+E275*S275*D275</f>
        <v>0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119">
        <v>0</v>
      </c>
      <c r="S275" s="120">
        <v>0</v>
      </c>
    </row>
    <row r="276" spans="1:19" s="5" customFormat="1" x14ac:dyDescent="0.25">
      <c r="A276" s="115"/>
      <c r="B276" s="116">
        <v>18</v>
      </c>
      <c r="C276" s="18" t="s">
        <v>63</v>
      </c>
      <c r="D276" s="19">
        <v>71.400000000000006</v>
      </c>
      <c r="E276" s="21">
        <v>2</v>
      </c>
      <c r="F276" s="117">
        <f t="shared" si="182"/>
        <v>21848.400000000001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f t="shared" si="201"/>
        <v>4426.8</v>
      </c>
      <c r="O276" s="35">
        <f t="shared" si="197"/>
        <v>4284</v>
      </c>
      <c r="P276" s="35">
        <f t="shared" si="198"/>
        <v>4426.8</v>
      </c>
      <c r="Q276" s="35">
        <f t="shared" si="199"/>
        <v>4284</v>
      </c>
      <c r="R276" s="119">
        <f t="shared" si="200"/>
        <v>4426.8</v>
      </c>
      <c r="S276" s="120">
        <f t="shared" si="202"/>
        <v>153</v>
      </c>
    </row>
    <row r="277" spans="1:19" s="5" customFormat="1" x14ac:dyDescent="0.25">
      <c r="A277" s="115"/>
      <c r="B277" s="116">
        <v>19</v>
      </c>
      <c r="C277" s="18" t="s">
        <v>38</v>
      </c>
      <c r="D277" s="19">
        <v>78.25</v>
      </c>
      <c r="E277" s="21">
        <v>2</v>
      </c>
      <c r="F277" s="117">
        <f t="shared" si="182"/>
        <v>23944.5</v>
      </c>
      <c r="G277" s="35">
        <v>0</v>
      </c>
      <c r="H277" s="35">
        <v>0</v>
      </c>
      <c r="I277" s="35">
        <v>0</v>
      </c>
      <c r="J277" s="35">
        <v>0</v>
      </c>
      <c r="K277" s="35">
        <v>0</v>
      </c>
      <c r="L277" s="35">
        <v>0</v>
      </c>
      <c r="M277" s="35">
        <v>0</v>
      </c>
      <c r="N277" s="35">
        <f t="shared" si="201"/>
        <v>4851.5</v>
      </c>
      <c r="O277" s="35">
        <f t="shared" si="197"/>
        <v>4695</v>
      </c>
      <c r="P277" s="35">
        <f t="shared" si="198"/>
        <v>4851.5</v>
      </c>
      <c r="Q277" s="35">
        <f t="shared" si="199"/>
        <v>4695</v>
      </c>
      <c r="R277" s="119">
        <f t="shared" si="200"/>
        <v>4851.5</v>
      </c>
      <c r="S277" s="120">
        <f t="shared" si="202"/>
        <v>153</v>
      </c>
    </row>
    <row r="278" spans="1:19" s="5" customFormat="1" x14ac:dyDescent="0.25">
      <c r="A278" s="115"/>
      <c r="B278" s="116">
        <v>20</v>
      </c>
      <c r="C278" s="18" t="s">
        <v>53</v>
      </c>
      <c r="D278" s="19">
        <v>71.400000000000006</v>
      </c>
      <c r="E278" s="21">
        <v>7</v>
      </c>
      <c r="F278" s="117">
        <f t="shared" si="182"/>
        <v>76469.400000000009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f t="shared" si="201"/>
        <v>15493.800000000003</v>
      </c>
      <c r="O278" s="35">
        <f t="shared" si="197"/>
        <v>14994.000000000002</v>
      </c>
      <c r="P278" s="35">
        <f t="shared" si="198"/>
        <v>15493.800000000003</v>
      </c>
      <c r="Q278" s="35">
        <f t="shared" si="199"/>
        <v>14994.000000000002</v>
      </c>
      <c r="R278" s="119">
        <f t="shared" si="200"/>
        <v>15493.800000000003</v>
      </c>
      <c r="S278" s="120">
        <f t="shared" si="202"/>
        <v>153</v>
      </c>
    </row>
    <row r="279" spans="1:19" s="5" customFormat="1" x14ac:dyDescent="0.25">
      <c r="A279" s="115"/>
      <c r="B279" s="116"/>
      <c r="C279" s="18" t="s">
        <v>53</v>
      </c>
      <c r="D279" s="19">
        <v>71.400000000000006</v>
      </c>
      <c r="E279" s="21">
        <v>1</v>
      </c>
      <c r="F279" s="117">
        <f t="shared" si="182"/>
        <v>0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119">
        <v>0</v>
      </c>
      <c r="S279" s="120">
        <v>0</v>
      </c>
    </row>
    <row r="280" spans="1:19" s="5" customFormat="1" x14ac:dyDescent="0.25">
      <c r="A280" s="115"/>
      <c r="B280" s="116">
        <v>21</v>
      </c>
      <c r="C280" s="18" t="s">
        <v>54</v>
      </c>
      <c r="D280" s="19">
        <v>72.540000000000006</v>
      </c>
      <c r="E280" s="21">
        <v>3</v>
      </c>
      <c r="F280" s="117">
        <f t="shared" si="182"/>
        <v>33295.86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0</v>
      </c>
      <c r="M280" s="35">
        <v>0</v>
      </c>
      <c r="N280" s="35">
        <f t="shared" si="201"/>
        <v>6746.22</v>
      </c>
      <c r="O280" s="35">
        <f t="shared" si="197"/>
        <v>6528.6</v>
      </c>
      <c r="P280" s="35">
        <f t="shared" si="198"/>
        <v>6746.22</v>
      </c>
      <c r="Q280" s="35">
        <f t="shared" si="199"/>
        <v>6528.6</v>
      </c>
      <c r="R280" s="119">
        <f t="shared" si="200"/>
        <v>6746.22</v>
      </c>
      <c r="S280" s="120">
        <f t="shared" si="202"/>
        <v>153</v>
      </c>
    </row>
    <row r="281" spans="1:19" s="5" customFormat="1" x14ac:dyDescent="0.25">
      <c r="A281" s="115"/>
      <c r="B281" s="116">
        <v>22</v>
      </c>
      <c r="C281" s="18" t="s">
        <v>36</v>
      </c>
      <c r="D281" s="19">
        <v>80.86</v>
      </c>
      <c r="E281" s="21">
        <v>2</v>
      </c>
      <c r="F281" s="117">
        <f t="shared" si="182"/>
        <v>24743.16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5">
        <v>0</v>
      </c>
      <c r="M281" s="35">
        <v>0</v>
      </c>
      <c r="N281" s="35">
        <f t="shared" si="201"/>
        <v>5013.32</v>
      </c>
      <c r="O281" s="35">
        <f t="shared" si="197"/>
        <v>4851.6000000000004</v>
      </c>
      <c r="P281" s="35">
        <f t="shared" si="198"/>
        <v>5013.32</v>
      </c>
      <c r="Q281" s="35">
        <f t="shared" si="199"/>
        <v>4851.6000000000004</v>
      </c>
      <c r="R281" s="119">
        <f t="shared" si="200"/>
        <v>5013.32</v>
      </c>
      <c r="S281" s="120">
        <f t="shared" si="202"/>
        <v>153</v>
      </c>
    </row>
    <row r="282" spans="1:19" s="5" customFormat="1" x14ac:dyDescent="0.25">
      <c r="A282" s="115"/>
      <c r="B282" s="116">
        <v>23</v>
      </c>
      <c r="C282" s="288" t="s">
        <v>41</v>
      </c>
      <c r="D282" s="19">
        <v>75.64</v>
      </c>
      <c r="E282" s="21">
        <v>1</v>
      </c>
      <c r="F282" s="117">
        <f t="shared" si="182"/>
        <v>11572.92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35">
        <v>0</v>
      </c>
      <c r="N282" s="35">
        <f t="shared" si="201"/>
        <v>2344.84</v>
      </c>
      <c r="O282" s="35">
        <f t="shared" si="197"/>
        <v>2269.1999999999998</v>
      </c>
      <c r="P282" s="35">
        <f t="shared" si="198"/>
        <v>2344.84</v>
      </c>
      <c r="Q282" s="35">
        <f t="shared" si="199"/>
        <v>2269.1999999999998</v>
      </c>
      <c r="R282" s="119">
        <f t="shared" si="200"/>
        <v>2344.84</v>
      </c>
      <c r="S282" s="120">
        <f t="shared" si="202"/>
        <v>153</v>
      </c>
    </row>
    <row r="283" spans="1:19" s="290" customFormat="1" x14ac:dyDescent="0.25">
      <c r="A283" s="289"/>
      <c r="B283" s="116">
        <v>1</v>
      </c>
      <c r="C283" s="18" t="s">
        <v>58</v>
      </c>
      <c r="D283" s="19">
        <v>77.59</v>
      </c>
      <c r="E283" s="21">
        <v>1</v>
      </c>
      <c r="F283" s="117">
        <f t="shared" si="182"/>
        <v>9465.98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f>+D283*E283*61</f>
        <v>4732.99</v>
      </c>
      <c r="Q283" s="35">
        <f t="shared" si="199"/>
        <v>2327.7000000000003</v>
      </c>
      <c r="R283" s="119">
        <f t="shared" si="200"/>
        <v>2405.29</v>
      </c>
      <c r="S283" s="120">
        <f>30+31+30+31</f>
        <v>122</v>
      </c>
    </row>
    <row r="284" spans="1:19" s="5" customFormat="1" x14ac:dyDescent="0.25">
      <c r="A284" s="115"/>
      <c r="B284" s="116">
        <v>4</v>
      </c>
      <c r="C284" s="18" t="s">
        <v>37</v>
      </c>
      <c r="D284" s="19">
        <v>71.400000000000006</v>
      </c>
      <c r="E284" s="21">
        <v>1</v>
      </c>
      <c r="F284" s="117">
        <f t="shared" si="182"/>
        <v>8710.8000000000011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f t="shared" ref="P284:P285" si="203">+D284*E284*61</f>
        <v>4355.4000000000005</v>
      </c>
      <c r="Q284" s="35">
        <f t="shared" si="199"/>
        <v>2142</v>
      </c>
      <c r="R284" s="119">
        <f t="shared" si="200"/>
        <v>2213.4</v>
      </c>
      <c r="S284" s="120">
        <f>30+31+30+31</f>
        <v>122</v>
      </c>
    </row>
    <row r="285" spans="1:19" s="5" customFormat="1" x14ac:dyDescent="0.25">
      <c r="A285" s="115"/>
      <c r="B285" s="116">
        <v>4</v>
      </c>
      <c r="C285" s="18" t="s">
        <v>39</v>
      </c>
      <c r="D285" s="19">
        <v>73.59</v>
      </c>
      <c r="E285" s="21">
        <v>1</v>
      </c>
      <c r="F285" s="117">
        <f t="shared" si="182"/>
        <v>8977.98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f t="shared" si="203"/>
        <v>4488.99</v>
      </c>
      <c r="Q285" s="35">
        <f t="shared" si="199"/>
        <v>2207.7000000000003</v>
      </c>
      <c r="R285" s="119">
        <f t="shared" si="200"/>
        <v>2281.29</v>
      </c>
      <c r="S285" s="120">
        <f>30+31+30+31</f>
        <v>122</v>
      </c>
    </row>
    <row r="286" spans="1:19" s="5" customFormat="1" x14ac:dyDescent="0.25">
      <c r="A286" s="115"/>
      <c r="B286" s="116">
        <v>1</v>
      </c>
      <c r="C286" s="18" t="s">
        <v>43</v>
      </c>
      <c r="D286" s="19">
        <v>72.540000000000006</v>
      </c>
      <c r="E286" s="21">
        <v>2</v>
      </c>
      <c r="F286" s="117">
        <f t="shared" ref="F286:F295" si="204">+E286*S286*D286</f>
        <v>13057.2</v>
      </c>
      <c r="G286" s="35">
        <f t="shared" ref="G286:G295" si="205">E286*D286*31</f>
        <v>4497.4800000000005</v>
      </c>
      <c r="H286" s="118">
        <f t="shared" ref="H286:H295" si="206">E286*D286*28</f>
        <v>4062.2400000000002</v>
      </c>
      <c r="I286" s="35">
        <f t="shared" ref="I286:I295" si="207">E286*D286*31</f>
        <v>4497.4800000000005</v>
      </c>
      <c r="J286" s="35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119">
        <v>0</v>
      </c>
      <c r="S286" s="120">
        <f t="shared" ref="S286:S296" si="208">31+28+31</f>
        <v>90</v>
      </c>
    </row>
    <row r="287" spans="1:19" s="5" customFormat="1" x14ac:dyDescent="0.25">
      <c r="A287" s="115"/>
      <c r="B287" s="116">
        <v>2</v>
      </c>
      <c r="C287" s="18" t="s">
        <v>34</v>
      </c>
      <c r="D287" s="19">
        <v>71.400000000000006</v>
      </c>
      <c r="E287" s="21">
        <v>13</v>
      </c>
      <c r="F287" s="117">
        <f t="shared" si="204"/>
        <v>83538</v>
      </c>
      <c r="G287" s="35">
        <f t="shared" si="205"/>
        <v>28774.2</v>
      </c>
      <c r="H287" s="118">
        <f t="shared" si="206"/>
        <v>25989.600000000002</v>
      </c>
      <c r="I287" s="35">
        <f t="shared" si="207"/>
        <v>28774.2</v>
      </c>
      <c r="J287" s="35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119">
        <v>0</v>
      </c>
      <c r="S287" s="120">
        <f t="shared" si="208"/>
        <v>90</v>
      </c>
    </row>
    <row r="288" spans="1:19" s="5" customFormat="1" x14ac:dyDescent="0.25">
      <c r="A288" s="115"/>
      <c r="B288" s="116">
        <v>2</v>
      </c>
      <c r="C288" s="18" t="s">
        <v>34</v>
      </c>
      <c r="D288" s="19">
        <v>71.400000000000006</v>
      </c>
      <c r="E288" s="21">
        <v>2</v>
      </c>
      <c r="F288" s="117">
        <f t="shared" si="204"/>
        <v>12994.800000000001</v>
      </c>
      <c r="G288" s="35">
        <v>0</v>
      </c>
      <c r="H288" s="118">
        <v>0</v>
      </c>
      <c r="I288" s="35">
        <v>0</v>
      </c>
      <c r="J288" s="35">
        <f>E288*D288*30</f>
        <v>4284</v>
      </c>
      <c r="K288" s="35">
        <f t="shared" ref="K288" si="209">E288*D288*31</f>
        <v>4426.8</v>
      </c>
      <c r="L288" s="35">
        <f t="shared" ref="L288" si="210">E288*D288*30</f>
        <v>4284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119">
        <v>0</v>
      </c>
      <c r="S288" s="120">
        <f>30+31+30</f>
        <v>91</v>
      </c>
    </row>
    <row r="289" spans="1:19" s="5" customFormat="1" x14ac:dyDescent="0.25">
      <c r="A289" s="115"/>
      <c r="B289" s="116">
        <v>2</v>
      </c>
      <c r="C289" s="18" t="s">
        <v>34</v>
      </c>
      <c r="D289" s="19">
        <v>71.400000000000006</v>
      </c>
      <c r="E289" s="21">
        <v>1</v>
      </c>
      <c r="F289" s="117">
        <f t="shared" si="204"/>
        <v>4212.6000000000004</v>
      </c>
      <c r="G289" s="35">
        <f t="shared" ref="G289" si="211">E289*D289*31</f>
        <v>2213.4</v>
      </c>
      <c r="H289" s="118">
        <f t="shared" ref="H289" si="212">E289*D289*28</f>
        <v>1999.2000000000003</v>
      </c>
      <c r="I289" s="35">
        <v>0</v>
      </c>
      <c r="J289" s="35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119">
        <v>0</v>
      </c>
      <c r="S289" s="120">
        <f>31+28</f>
        <v>59</v>
      </c>
    </row>
    <row r="290" spans="1:19" s="5" customFormat="1" x14ac:dyDescent="0.25">
      <c r="A290" s="115"/>
      <c r="B290" s="116">
        <v>3</v>
      </c>
      <c r="C290" s="18" t="s">
        <v>37</v>
      </c>
      <c r="D290" s="19">
        <v>71.400000000000006</v>
      </c>
      <c r="E290" s="21">
        <v>2</v>
      </c>
      <c r="F290" s="117">
        <f t="shared" si="204"/>
        <v>12852.000000000002</v>
      </c>
      <c r="G290" s="35">
        <f t="shared" si="205"/>
        <v>4426.8</v>
      </c>
      <c r="H290" s="118">
        <f t="shared" si="206"/>
        <v>3998.4000000000005</v>
      </c>
      <c r="I290" s="35">
        <f t="shared" si="207"/>
        <v>4426.8</v>
      </c>
      <c r="J290" s="35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119">
        <v>0</v>
      </c>
      <c r="S290" s="120">
        <f t="shared" si="208"/>
        <v>90</v>
      </c>
    </row>
    <row r="291" spans="1:19" s="5" customFormat="1" x14ac:dyDescent="0.25">
      <c r="A291" s="115"/>
      <c r="B291" s="116">
        <v>4</v>
      </c>
      <c r="C291" s="18" t="s">
        <v>62</v>
      </c>
      <c r="D291" s="19">
        <v>80.86</v>
      </c>
      <c r="E291" s="21">
        <v>1</v>
      </c>
      <c r="F291" s="117">
        <f t="shared" si="204"/>
        <v>7277.4</v>
      </c>
      <c r="G291" s="35">
        <f t="shared" si="205"/>
        <v>2506.66</v>
      </c>
      <c r="H291" s="118">
        <f t="shared" si="206"/>
        <v>2264.08</v>
      </c>
      <c r="I291" s="35">
        <f t="shared" si="207"/>
        <v>2506.66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119">
        <v>0</v>
      </c>
      <c r="S291" s="120">
        <f t="shared" si="208"/>
        <v>90</v>
      </c>
    </row>
    <row r="292" spans="1:19" s="5" customFormat="1" x14ac:dyDescent="0.25">
      <c r="A292" s="115"/>
      <c r="B292" s="116">
        <v>3</v>
      </c>
      <c r="C292" s="18" t="s">
        <v>62</v>
      </c>
      <c r="D292" s="19">
        <v>80.86</v>
      </c>
      <c r="E292" s="21">
        <v>1</v>
      </c>
      <c r="F292" s="117">
        <f t="shared" si="204"/>
        <v>7358.26</v>
      </c>
      <c r="G292" s="35">
        <v>0</v>
      </c>
      <c r="H292" s="118">
        <v>0</v>
      </c>
      <c r="I292" s="35">
        <v>0</v>
      </c>
      <c r="J292" s="35">
        <f>E292*D292*30</f>
        <v>2425.8000000000002</v>
      </c>
      <c r="K292" s="35">
        <f t="shared" ref="K292" si="213">E292*D292*31</f>
        <v>2506.66</v>
      </c>
      <c r="L292" s="35">
        <f t="shared" ref="L292" si="214">E292*D292*30</f>
        <v>2425.8000000000002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119">
        <v>0</v>
      </c>
      <c r="S292" s="120">
        <f>30+31+30</f>
        <v>91</v>
      </c>
    </row>
    <row r="293" spans="1:19" x14ac:dyDescent="0.25">
      <c r="A293" s="46"/>
      <c r="B293" s="121">
        <v>7</v>
      </c>
      <c r="C293" s="122" t="s">
        <v>53</v>
      </c>
      <c r="D293" s="123">
        <v>71.400000000000006</v>
      </c>
      <c r="E293" s="20">
        <v>1</v>
      </c>
      <c r="F293" s="124">
        <f t="shared" si="204"/>
        <v>5283.6</v>
      </c>
      <c r="G293" s="125">
        <v>0</v>
      </c>
      <c r="H293" s="126">
        <f>E293*D293*28+D293*E293*15</f>
        <v>3070.2000000000003</v>
      </c>
      <c r="I293" s="125">
        <f t="shared" si="207"/>
        <v>2213.4</v>
      </c>
      <c r="J293" s="125">
        <v>0</v>
      </c>
      <c r="K293" s="125">
        <v>0</v>
      </c>
      <c r="L293" s="125">
        <v>0</v>
      </c>
      <c r="M293" s="125">
        <v>0</v>
      </c>
      <c r="N293" s="125">
        <v>0</v>
      </c>
      <c r="O293" s="125">
        <v>0</v>
      </c>
      <c r="P293" s="125">
        <v>0</v>
      </c>
      <c r="Q293" s="125">
        <v>0</v>
      </c>
      <c r="R293" s="127">
        <v>0</v>
      </c>
      <c r="S293" s="128">
        <f>15+28+31</f>
        <v>74</v>
      </c>
    </row>
    <row r="294" spans="1:19" x14ac:dyDescent="0.25">
      <c r="A294" s="46"/>
      <c r="B294" s="121">
        <v>8</v>
      </c>
      <c r="C294" s="122" t="s">
        <v>34</v>
      </c>
      <c r="D294" s="123">
        <v>71.400000000000006</v>
      </c>
      <c r="E294" s="20">
        <v>4</v>
      </c>
      <c r="F294" s="124">
        <f t="shared" si="204"/>
        <v>21134.400000000001</v>
      </c>
      <c r="G294" s="125">
        <v>0</v>
      </c>
      <c r="H294" s="126">
        <f>E294*D294*28+D294*E294*15</f>
        <v>12280.800000000001</v>
      </c>
      <c r="I294" s="125">
        <f t="shared" si="207"/>
        <v>8853.6</v>
      </c>
      <c r="J294" s="125">
        <v>0</v>
      </c>
      <c r="K294" s="125">
        <v>0</v>
      </c>
      <c r="L294" s="125">
        <v>0</v>
      </c>
      <c r="M294" s="125">
        <v>0</v>
      </c>
      <c r="N294" s="125">
        <v>0</v>
      </c>
      <c r="O294" s="125">
        <v>0</v>
      </c>
      <c r="P294" s="125">
        <v>0</v>
      </c>
      <c r="Q294" s="125">
        <v>0</v>
      </c>
      <c r="R294" s="127">
        <v>0</v>
      </c>
      <c r="S294" s="128">
        <f>15+28+31</f>
        <v>74</v>
      </c>
    </row>
    <row r="295" spans="1:19" x14ac:dyDescent="0.25">
      <c r="A295" s="46"/>
      <c r="B295" s="121">
        <v>5</v>
      </c>
      <c r="C295" s="122" t="s">
        <v>35</v>
      </c>
      <c r="D295" s="123">
        <v>72.540000000000006</v>
      </c>
      <c r="E295" s="20">
        <v>1</v>
      </c>
      <c r="F295" s="124">
        <f t="shared" si="204"/>
        <v>6528.6</v>
      </c>
      <c r="G295" s="125">
        <f t="shared" si="205"/>
        <v>2248.7400000000002</v>
      </c>
      <c r="H295" s="126">
        <f t="shared" si="206"/>
        <v>2031.1200000000001</v>
      </c>
      <c r="I295" s="125">
        <f t="shared" si="207"/>
        <v>2248.7400000000002</v>
      </c>
      <c r="J295" s="125">
        <v>0</v>
      </c>
      <c r="K295" s="125">
        <v>0</v>
      </c>
      <c r="L295" s="125">
        <v>0</v>
      </c>
      <c r="M295" s="125">
        <v>0</v>
      </c>
      <c r="N295" s="125">
        <v>0</v>
      </c>
      <c r="O295" s="125">
        <v>0</v>
      </c>
      <c r="P295" s="125">
        <v>0</v>
      </c>
      <c r="Q295" s="125">
        <v>0</v>
      </c>
      <c r="R295" s="127">
        <v>0</v>
      </c>
      <c r="S295" s="128">
        <f t="shared" si="208"/>
        <v>90</v>
      </c>
    </row>
    <row r="296" spans="1:19" x14ac:dyDescent="0.25">
      <c r="A296" s="46"/>
      <c r="B296" s="121">
        <v>6</v>
      </c>
      <c r="C296" s="122" t="s">
        <v>53</v>
      </c>
      <c r="D296" s="123">
        <v>71.400000000000006</v>
      </c>
      <c r="E296" s="20">
        <v>3</v>
      </c>
      <c r="F296" s="124">
        <f>+E296*S296*D296</f>
        <v>19278</v>
      </c>
      <c r="G296" s="125">
        <f>E296*D296*31</f>
        <v>6640.2000000000007</v>
      </c>
      <c r="H296" s="126">
        <f>E296*D296*28</f>
        <v>5997.6</v>
      </c>
      <c r="I296" s="125">
        <f>E296*D296*31</f>
        <v>6640.2000000000007</v>
      </c>
      <c r="J296" s="125">
        <v>0</v>
      </c>
      <c r="K296" s="125">
        <v>0</v>
      </c>
      <c r="L296" s="125">
        <v>0</v>
      </c>
      <c r="M296" s="125">
        <v>0</v>
      </c>
      <c r="N296" s="125">
        <v>0</v>
      </c>
      <c r="O296" s="125">
        <v>0</v>
      </c>
      <c r="P296" s="125">
        <v>0</v>
      </c>
      <c r="Q296" s="125">
        <v>0</v>
      </c>
      <c r="R296" s="127">
        <v>0</v>
      </c>
      <c r="S296" s="128">
        <f t="shared" si="208"/>
        <v>90</v>
      </c>
    </row>
    <row r="297" spans="1:19" s="5" customFormat="1" x14ac:dyDescent="0.25">
      <c r="A297" s="115"/>
      <c r="B297" s="116">
        <v>3</v>
      </c>
      <c r="C297" s="18" t="s">
        <v>62</v>
      </c>
      <c r="D297" s="19">
        <v>80.86</v>
      </c>
      <c r="E297" s="21">
        <v>1</v>
      </c>
      <c r="F297" s="117">
        <f>+E297*S297*D297</f>
        <v>7439.12</v>
      </c>
      <c r="G297" s="35">
        <v>0</v>
      </c>
      <c r="H297" s="118">
        <v>0</v>
      </c>
      <c r="I297" s="35">
        <v>0</v>
      </c>
      <c r="J297" s="35">
        <v>0</v>
      </c>
      <c r="K297" s="35">
        <v>0</v>
      </c>
      <c r="L297" s="35">
        <v>0</v>
      </c>
      <c r="M297" s="35">
        <f t="shared" ref="M297:M298" si="215">E297*D297*31</f>
        <v>2506.66</v>
      </c>
      <c r="N297" s="35">
        <f>E297*D297*31</f>
        <v>2506.66</v>
      </c>
      <c r="O297" s="35">
        <f>E297*D297*30</f>
        <v>2425.8000000000002</v>
      </c>
      <c r="P297" s="35">
        <v>0</v>
      </c>
      <c r="Q297" s="35">
        <v>0</v>
      </c>
      <c r="R297" s="119">
        <v>0</v>
      </c>
      <c r="S297" s="120">
        <f>31+31+30</f>
        <v>92</v>
      </c>
    </row>
    <row r="298" spans="1:19" s="5" customFormat="1" x14ac:dyDescent="0.25">
      <c r="A298" s="115"/>
      <c r="B298" s="116">
        <v>9</v>
      </c>
      <c r="C298" s="18" t="s">
        <v>34</v>
      </c>
      <c r="D298" s="19">
        <v>71.400000000000006</v>
      </c>
      <c r="E298" s="21">
        <v>2</v>
      </c>
      <c r="F298" s="117">
        <f>+E298*S298*D298</f>
        <v>13137.6</v>
      </c>
      <c r="G298" s="35">
        <v>0</v>
      </c>
      <c r="H298" s="118">
        <v>0</v>
      </c>
      <c r="I298" s="35">
        <v>0</v>
      </c>
      <c r="J298" s="35">
        <v>0</v>
      </c>
      <c r="K298" s="35">
        <v>0</v>
      </c>
      <c r="L298" s="35">
        <v>0</v>
      </c>
      <c r="M298" s="35">
        <f t="shared" si="215"/>
        <v>4426.8</v>
      </c>
      <c r="N298" s="35">
        <f>E298*D298*31</f>
        <v>4426.8</v>
      </c>
      <c r="O298" s="35">
        <f>E298*D298*30</f>
        <v>4284</v>
      </c>
      <c r="P298" s="35">
        <v>0</v>
      </c>
      <c r="Q298" s="35">
        <v>0</v>
      </c>
      <c r="R298" s="119">
        <v>0</v>
      </c>
      <c r="S298" s="120">
        <f>31+31+30</f>
        <v>92</v>
      </c>
    </row>
    <row r="299" spans="1:19" x14ac:dyDescent="0.25">
      <c r="A299" s="46"/>
      <c r="B299" s="121">
        <v>1</v>
      </c>
      <c r="C299" s="122" t="s">
        <v>34</v>
      </c>
      <c r="D299" s="123">
        <v>71.400000000000006</v>
      </c>
      <c r="E299" s="20">
        <v>1</v>
      </c>
      <c r="F299" s="124">
        <f>+E299*S299*D299</f>
        <v>15136.800000000001</v>
      </c>
      <c r="G299" s="125">
        <f>E299*D299*31</f>
        <v>2213.4</v>
      </c>
      <c r="H299" s="126">
        <f>E299*D299*28</f>
        <v>1999.2000000000003</v>
      </c>
      <c r="I299" s="125">
        <f>E299*D299*31</f>
        <v>2213.4</v>
      </c>
      <c r="J299" s="125">
        <f>E299*D299*30</f>
        <v>2142</v>
      </c>
      <c r="K299" s="125">
        <f>E299*D299*31</f>
        <v>2213.4</v>
      </c>
      <c r="L299" s="125">
        <f>E299*D299*30</f>
        <v>2142</v>
      </c>
      <c r="M299" s="125">
        <f>E299*D299*31</f>
        <v>2213.4</v>
      </c>
      <c r="N299" s="125">
        <v>0</v>
      </c>
      <c r="O299" s="125">
        <v>0</v>
      </c>
      <c r="P299" s="125">
        <v>0</v>
      </c>
      <c r="Q299" s="125">
        <v>0</v>
      </c>
      <c r="R299" s="127">
        <v>0</v>
      </c>
      <c r="S299" s="128">
        <v>212</v>
      </c>
    </row>
    <row r="300" spans="1:19" s="5" customFormat="1" x14ac:dyDescent="0.25">
      <c r="A300" s="115"/>
      <c r="B300" s="116"/>
      <c r="C300" s="288" t="s">
        <v>34</v>
      </c>
      <c r="D300" s="19">
        <v>71.400000000000006</v>
      </c>
      <c r="E300" s="21">
        <v>1</v>
      </c>
      <c r="F300" s="117">
        <f t="shared" ref="F300" si="216">+E300*S300*D300</f>
        <v>10924.2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5">
        <v>0</v>
      </c>
      <c r="N300" s="35">
        <f t="shared" ref="N300" si="217">+D300*E300*31</f>
        <v>2213.4</v>
      </c>
      <c r="O300" s="35">
        <f t="shared" ref="O300" si="218">+D300*E300*30</f>
        <v>2142</v>
      </c>
      <c r="P300" s="35">
        <f t="shared" ref="P300" si="219">+D300*E300*31</f>
        <v>2213.4</v>
      </c>
      <c r="Q300" s="35">
        <f t="shared" ref="Q300" si="220">+D300*E300*30</f>
        <v>2142</v>
      </c>
      <c r="R300" s="119">
        <f t="shared" ref="R300" si="221">+D300*E300*31</f>
        <v>2213.4</v>
      </c>
      <c r="S300" s="120">
        <f t="shared" ref="S300" si="222">31+30+31+30+31</f>
        <v>153</v>
      </c>
    </row>
    <row r="301" spans="1:19" x14ac:dyDescent="0.25">
      <c r="A301" s="46"/>
      <c r="B301" s="121">
        <v>1</v>
      </c>
      <c r="C301" s="122" t="s">
        <v>31</v>
      </c>
      <c r="D301" s="123">
        <v>71.400000000000006</v>
      </c>
      <c r="E301" s="20">
        <v>1</v>
      </c>
      <c r="F301" s="124">
        <f>+E301*S301*D301</f>
        <v>15136.800000000001</v>
      </c>
      <c r="G301" s="125">
        <f>E301*D301*31</f>
        <v>2213.4</v>
      </c>
      <c r="H301" s="126">
        <f>E301*D301*28</f>
        <v>1999.2000000000003</v>
      </c>
      <c r="I301" s="125">
        <f>E301*D301*31</f>
        <v>2213.4</v>
      </c>
      <c r="J301" s="125">
        <f>E301*D301*30</f>
        <v>2142</v>
      </c>
      <c r="K301" s="125">
        <f>E301*D301*31</f>
        <v>2213.4</v>
      </c>
      <c r="L301" s="125">
        <f>E301*D301*30</f>
        <v>2142</v>
      </c>
      <c r="M301" s="125">
        <f>E301*D301*31</f>
        <v>2213.4</v>
      </c>
      <c r="N301" s="125">
        <v>0</v>
      </c>
      <c r="O301" s="125">
        <v>0</v>
      </c>
      <c r="P301" s="125">
        <v>0</v>
      </c>
      <c r="Q301" s="125">
        <v>0</v>
      </c>
      <c r="R301" s="127">
        <v>0</v>
      </c>
      <c r="S301" s="128">
        <v>212</v>
      </c>
    </row>
    <row r="302" spans="1:19" s="5" customFormat="1" x14ac:dyDescent="0.25">
      <c r="A302" s="115"/>
      <c r="B302" s="116">
        <v>1</v>
      </c>
      <c r="C302" s="18" t="s">
        <v>31</v>
      </c>
      <c r="D302" s="19">
        <v>71.400000000000006</v>
      </c>
      <c r="E302" s="21">
        <v>1</v>
      </c>
      <c r="F302" s="117">
        <f>+E302*S302*D302</f>
        <v>10924.2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  <c r="M302" s="35">
        <v>0</v>
      </c>
      <c r="N302" s="35">
        <f t="shared" ref="N302" si="223">+D302*E302*31</f>
        <v>2213.4</v>
      </c>
      <c r="O302" s="35">
        <f t="shared" ref="O302" si="224">+D302*E302*30</f>
        <v>2142</v>
      </c>
      <c r="P302" s="35">
        <f t="shared" ref="P302" si="225">+D302*E302*31</f>
        <v>2213.4</v>
      </c>
      <c r="Q302" s="35">
        <f t="shared" ref="Q302" si="226">+D302*E302*30</f>
        <v>2142</v>
      </c>
      <c r="R302" s="119">
        <f t="shared" ref="R302" si="227">+D302*E302*31</f>
        <v>2213.4</v>
      </c>
      <c r="S302" s="120">
        <f t="shared" ref="S302" si="228">31+30+31+30+31</f>
        <v>153</v>
      </c>
    </row>
    <row r="303" spans="1:19" x14ac:dyDescent="0.25">
      <c r="A303" s="46"/>
      <c r="B303" s="121">
        <v>1</v>
      </c>
      <c r="C303" s="122" t="s">
        <v>34</v>
      </c>
      <c r="D303" s="123">
        <v>71.400000000000006</v>
      </c>
      <c r="E303" s="20">
        <v>1</v>
      </c>
      <c r="F303" s="124">
        <f>+E303*S303*D303</f>
        <v>15136.800000000001</v>
      </c>
      <c r="G303" s="125">
        <f>E303*D303*31</f>
        <v>2213.4</v>
      </c>
      <c r="H303" s="126">
        <f>E303*D303*28</f>
        <v>1999.2000000000003</v>
      </c>
      <c r="I303" s="125">
        <f>E303*D303*31</f>
        <v>2213.4</v>
      </c>
      <c r="J303" s="125">
        <f>E303*D303*30</f>
        <v>2142</v>
      </c>
      <c r="K303" s="125">
        <f>E303*D303*31</f>
        <v>2213.4</v>
      </c>
      <c r="L303" s="125">
        <f>E303*D303*30</f>
        <v>2142</v>
      </c>
      <c r="M303" s="125">
        <f>E303*D303*31</f>
        <v>2213.4</v>
      </c>
      <c r="N303" s="125">
        <v>0</v>
      </c>
      <c r="O303" s="125">
        <v>0</v>
      </c>
      <c r="P303" s="125">
        <v>0</v>
      </c>
      <c r="Q303" s="125">
        <v>0</v>
      </c>
      <c r="R303" s="127">
        <v>0</v>
      </c>
      <c r="S303" s="128">
        <v>212</v>
      </c>
    </row>
    <row r="304" spans="1:19" s="5" customFormat="1" x14ac:dyDescent="0.25">
      <c r="A304" s="115"/>
      <c r="B304" s="116">
        <v>1</v>
      </c>
      <c r="C304" s="18" t="s">
        <v>34</v>
      </c>
      <c r="D304" s="19">
        <v>71.400000000000006</v>
      </c>
      <c r="E304" s="21">
        <v>1</v>
      </c>
      <c r="F304" s="117">
        <f>+E304*S304*D304</f>
        <v>10924.2</v>
      </c>
      <c r="G304" s="35">
        <v>0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5">
        <f t="shared" ref="N304" si="229">+D304*E304*31</f>
        <v>2213.4</v>
      </c>
      <c r="O304" s="35">
        <f t="shared" ref="O304" si="230">+D304*E304*30</f>
        <v>2142</v>
      </c>
      <c r="P304" s="35">
        <f t="shared" ref="P304" si="231">+D304*E304*31</f>
        <v>2213.4</v>
      </c>
      <c r="Q304" s="35">
        <f t="shared" ref="Q304" si="232">+D304*E304*30</f>
        <v>2142</v>
      </c>
      <c r="R304" s="119">
        <f t="shared" ref="R304" si="233">+D304*E304*31</f>
        <v>2213.4</v>
      </c>
      <c r="S304" s="120">
        <f t="shared" ref="S304" si="234">31+30+31+30+31</f>
        <v>153</v>
      </c>
    </row>
    <row r="305" spans="1:19" ht="18.75" customHeight="1" x14ac:dyDescent="0.25">
      <c r="A305" s="46"/>
      <c r="B305" s="121">
        <v>1</v>
      </c>
      <c r="C305" s="122" t="s">
        <v>34</v>
      </c>
      <c r="D305" s="123">
        <v>71.400000000000006</v>
      </c>
      <c r="E305" s="20">
        <v>1</v>
      </c>
      <c r="F305" s="124">
        <f t="shared" ref="F305:F310" si="235">+E305*S305*D305</f>
        <v>15136.800000000001</v>
      </c>
      <c r="G305" s="125">
        <f>E305*D305*31</f>
        <v>2213.4</v>
      </c>
      <c r="H305" s="126">
        <f>E305*D305*28</f>
        <v>1999.2000000000003</v>
      </c>
      <c r="I305" s="125">
        <f>E305*D305*31</f>
        <v>2213.4</v>
      </c>
      <c r="J305" s="125">
        <f>E305*D305*30</f>
        <v>2142</v>
      </c>
      <c r="K305" s="125">
        <f>E305*D305*31</f>
        <v>2213.4</v>
      </c>
      <c r="L305" s="125">
        <f>E305*D305*30</f>
        <v>2142</v>
      </c>
      <c r="M305" s="125">
        <f>E305*D305*31</f>
        <v>2213.4</v>
      </c>
      <c r="N305" s="125">
        <v>0</v>
      </c>
      <c r="O305" s="125">
        <v>0</v>
      </c>
      <c r="P305" s="125">
        <v>0</v>
      </c>
      <c r="Q305" s="125">
        <v>0</v>
      </c>
      <c r="R305" s="127">
        <v>0</v>
      </c>
      <c r="S305" s="128">
        <v>212</v>
      </c>
    </row>
    <row r="306" spans="1:19" x14ac:dyDescent="0.25">
      <c r="A306" s="46"/>
      <c r="B306" s="121">
        <v>2</v>
      </c>
      <c r="C306" s="122" t="s">
        <v>37</v>
      </c>
      <c r="D306" s="123">
        <v>71.400000000000006</v>
      </c>
      <c r="E306" s="20">
        <v>1</v>
      </c>
      <c r="F306" s="124">
        <f t="shared" si="235"/>
        <v>15136.800000000001</v>
      </c>
      <c r="G306" s="125">
        <f>E306*D306*31</f>
        <v>2213.4</v>
      </c>
      <c r="H306" s="126">
        <f>E306*D306*28</f>
        <v>1999.2000000000003</v>
      </c>
      <c r="I306" s="125">
        <f>E306*D306*31</f>
        <v>2213.4</v>
      </c>
      <c r="J306" s="125">
        <f>E306*D306*30</f>
        <v>2142</v>
      </c>
      <c r="K306" s="125">
        <f>E306*D306*31</f>
        <v>2213.4</v>
      </c>
      <c r="L306" s="125">
        <f>E306*D306*30</f>
        <v>2142</v>
      </c>
      <c r="M306" s="125">
        <f>E306*D306*31</f>
        <v>2213.4</v>
      </c>
      <c r="N306" s="125">
        <v>0</v>
      </c>
      <c r="O306" s="125">
        <v>0</v>
      </c>
      <c r="P306" s="125">
        <v>0</v>
      </c>
      <c r="Q306" s="125">
        <v>0</v>
      </c>
      <c r="R306" s="127">
        <v>0</v>
      </c>
      <c r="S306" s="128">
        <v>212</v>
      </c>
    </row>
    <row r="307" spans="1:19" x14ac:dyDescent="0.25">
      <c r="A307" s="46"/>
      <c r="B307" s="121">
        <v>3</v>
      </c>
      <c r="C307" s="122" t="s">
        <v>63</v>
      </c>
      <c r="D307" s="123">
        <v>71.400000000000006</v>
      </c>
      <c r="E307" s="20">
        <v>1</v>
      </c>
      <c r="F307" s="124">
        <f t="shared" si="235"/>
        <v>15136.800000000001</v>
      </c>
      <c r="G307" s="125">
        <f>E307*D307*31</f>
        <v>2213.4</v>
      </c>
      <c r="H307" s="126">
        <f>E307*D307*28</f>
        <v>1999.2000000000003</v>
      </c>
      <c r="I307" s="125">
        <f>E307*D307*31</f>
        <v>2213.4</v>
      </c>
      <c r="J307" s="125">
        <f>E307*D307*30</f>
        <v>2142</v>
      </c>
      <c r="K307" s="125">
        <f>E307*D307*31</f>
        <v>2213.4</v>
      </c>
      <c r="L307" s="125">
        <f>E307*D307*30</f>
        <v>2142</v>
      </c>
      <c r="M307" s="125">
        <f>E307*D307*31</f>
        <v>2213.4</v>
      </c>
      <c r="N307" s="125">
        <v>0</v>
      </c>
      <c r="O307" s="125">
        <v>0</v>
      </c>
      <c r="P307" s="125">
        <v>0</v>
      </c>
      <c r="Q307" s="125">
        <v>0</v>
      </c>
      <c r="R307" s="127">
        <v>0</v>
      </c>
      <c r="S307" s="128">
        <v>212</v>
      </c>
    </row>
    <row r="308" spans="1:19" x14ac:dyDescent="0.25">
      <c r="A308" s="46"/>
      <c r="B308" s="121">
        <v>5</v>
      </c>
      <c r="C308" s="122" t="s">
        <v>37</v>
      </c>
      <c r="D308" s="123">
        <v>71.400000000000006</v>
      </c>
      <c r="E308" s="20">
        <v>1</v>
      </c>
      <c r="F308" s="124">
        <f t="shared" si="235"/>
        <v>5283.6</v>
      </c>
      <c r="G308" s="125">
        <v>0</v>
      </c>
      <c r="H308" s="126">
        <f>E308*D308*28+D308*E308*15</f>
        <v>3070.2000000000003</v>
      </c>
      <c r="I308" s="125">
        <f>E308*D308*31</f>
        <v>2213.4</v>
      </c>
      <c r="J308" s="125">
        <v>0</v>
      </c>
      <c r="K308" s="125">
        <v>0</v>
      </c>
      <c r="L308" s="125">
        <v>0</v>
      </c>
      <c r="M308" s="125">
        <v>0</v>
      </c>
      <c r="N308" s="125">
        <v>0</v>
      </c>
      <c r="O308" s="125">
        <v>0</v>
      </c>
      <c r="P308" s="125">
        <v>0</v>
      </c>
      <c r="Q308" s="125">
        <v>0</v>
      </c>
      <c r="R308" s="127">
        <v>0</v>
      </c>
      <c r="S308" s="128">
        <f>15+28+31</f>
        <v>74</v>
      </c>
    </row>
    <row r="309" spans="1:19" x14ac:dyDescent="0.25">
      <c r="A309" s="46"/>
      <c r="B309" s="121">
        <v>6</v>
      </c>
      <c r="C309" s="122" t="s">
        <v>37</v>
      </c>
      <c r="D309" s="123">
        <v>71.400000000000006</v>
      </c>
      <c r="E309" s="20">
        <v>1</v>
      </c>
      <c r="F309" s="124">
        <f t="shared" si="235"/>
        <v>6497.4000000000005</v>
      </c>
      <c r="G309" s="125">
        <v>0</v>
      </c>
      <c r="H309" s="126">
        <v>0</v>
      </c>
      <c r="I309" s="125">
        <v>0</v>
      </c>
      <c r="J309" s="125">
        <f>E309*D309*30</f>
        <v>2142</v>
      </c>
      <c r="K309" s="125">
        <f t="shared" ref="K309" si="236">E309*D309*31</f>
        <v>2213.4</v>
      </c>
      <c r="L309" s="125">
        <f t="shared" ref="L309" si="237">E309*D309*30</f>
        <v>2142</v>
      </c>
      <c r="M309" s="125">
        <v>0</v>
      </c>
      <c r="N309" s="125">
        <v>0</v>
      </c>
      <c r="O309" s="125">
        <v>0</v>
      </c>
      <c r="P309" s="125">
        <v>0</v>
      </c>
      <c r="Q309" s="125">
        <v>0</v>
      </c>
      <c r="R309" s="127">
        <v>0</v>
      </c>
      <c r="S309" s="128">
        <f>30+31+30</f>
        <v>91</v>
      </c>
    </row>
    <row r="310" spans="1:19" s="5" customFormat="1" x14ac:dyDescent="0.25">
      <c r="A310" s="115"/>
      <c r="B310" s="116">
        <v>4</v>
      </c>
      <c r="C310" s="18" t="s">
        <v>53</v>
      </c>
      <c r="D310" s="19">
        <v>71.400000000000006</v>
      </c>
      <c r="E310" s="21">
        <v>1</v>
      </c>
      <c r="F310" s="117">
        <f t="shared" si="235"/>
        <v>15136.800000000001</v>
      </c>
      <c r="G310" s="35">
        <f>E310*D310*31</f>
        <v>2213.4</v>
      </c>
      <c r="H310" s="118">
        <f>E310*D310*28</f>
        <v>1999.2000000000003</v>
      </c>
      <c r="I310" s="35">
        <f>E310*D310*31</f>
        <v>2213.4</v>
      </c>
      <c r="J310" s="35">
        <f>E310*D310*30</f>
        <v>2142</v>
      </c>
      <c r="K310" s="35">
        <f>E310*D310*31</f>
        <v>2213.4</v>
      </c>
      <c r="L310" s="35">
        <f>E310*D310*30</f>
        <v>2142</v>
      </c>
      <c r="M310" s="35">
        <f>E310*D310*31</f>
        <v>2213.4</v>
      </c>
      <c r="N310" s="35">
        <v>0</v>
      </c>
      <c r="O310" s="35">
        <v>0</v>
      </c>
      <c r="P310" s="35">
        <v>0</v>
      </c>
      <c r="Q310" s="35">
        <v>0</v>
      </c>
      <c r="R310" s="119">
        <v>0</v>
      </c>
      <c r="S310" s="120">
        <v>212</v>
      </c>
    </row>
    <row r="311" spans="1:19" s="5" customFormat="1" x14ac:dyDescent="0.25">
      <c r="A311" s="115"/>
      <c r="B311" s="116">
        <v>8</v>
      </c>
      <c r="C311" s="18" t="s">
        <v>37</v>
      </c>
      <c r="D311" s="19">
        <v>71.400000000000006</v>
      </c>
      <c r="E311" s="21">
        <v>1</v>
      </c>
      <c r="F311" s="117">
        <f>+E311*S311*D311</f>
        <v>6568.8</v>
      </c>
      <c r="G311" s="35">
        <v>0</v>
      </c>
      <c r="H311" s="118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f>+D311*E311*31</f>
        <v>2213.4</v>
      </c>
      <c r="N311" s="35">
        <f>+D311*E311*31</f>
        <v>2213.4</v>
      </c>
      <c r="O311" s="35">
        <f>+D311*E311*30</f>
        <v>2142</v>
      </c>
      <c r="P311" s="35">
        <v>0</v>
      </c>
      <c r="Q311" s="35">
        <v>0</v>
      </c>
      <c r="R311" s="119">
        <v>0</v>
      </c>
      <c r="S311" s="120">
        <f>31+31+30</f>
        <v>92</v>
      </c>
    </row>
    <row r="312" spans="1:19" s="5" customFormat="1" ht="18.75" customHeight="1" x14ac:dyDescent="0.25">
      <c r="A312" s="115"/>
      <c r="B312" s="116">
        <v>1</v>
      </c>
      <c r="C312" s="18" t="s">
        <v>34</v>
      </c>
      <c r="D312" s="19">
        <v>71.400000000000006</v>
      </c>
      <c r="E312" s="21">
        <v>1</v>
      </c>
      <c r="F312" s="117">
        <f t="shared" ref="F312:F316" si="238">+E312*S312*D312</f>
        <v>10924.2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f t="shared" ref="N312:N315" si="239">+D312*E312*31</f>
        <v>2213.4</v>
      </c>
      <c r="O312" s="35">
        <f t="shared" ref="O312:O315" si="240">+D312*E312*30</f>
        <v>2142</v>
      </c>
      <c r="P312" s="35">
        <f t="shared" ref="P312:P315" si="241">+D312*E312*31</f>
        <v>2213.4</v>
      </c>
      <c r="Q312" s="35">
        <f t="shared" ref="Q312:Q315" si="242">+D312*E312*30</f>
        <v>2142</v>
      </c>
      <c r="R312" s="119">
        <f t="shared" ref="R312:R315" si="243">+D312*E312*31</f>
        <v>2213.4</v>
      </c>
      <c r="S312" s="120">
        <f t="shared" ref="S312:S315" si="244">31+30+31+30+31</f>
        <v>153</v>
      </c>
    </row>
    <row r="313" spans="1:19" s="5" customFormat="1" x14ac:dyDescent="0.25">
      <c r="A313" s="115"/>
      <c r="B313" s="116">
        <v>2</v>
      </c>
      <c r="C313" s="18" t="s">
        <v>37</v>
      </c>
      <c r="D313" s="19">
        <v>71.400000000000006</v>
      </c>
      <c r="E313" s="21">
        <v>1</v>
      </c>
      <c r="F313" s="117">
        <f t="shared" si="238"/>
        <v>10924.2</v>
      </c>
      <c r="G313" s="35">
        <v>0</v>
      </c>
      <c r="H313" s="35">
        <v>0</v>
      </c>
      <c r="I313" s="35">
        <v>0</v>
      </c>
      <c r="J313" s="35">
        <v>0</v>
      </c>
      <c r="K313" s="35">
        <v>0</v>
      </c>
      <c r="L313" s="35">
        <v>0</v>
      </c>
      <c r="M313" s="35">
        <v>0</v>
      </c>
      <c r="N313" s="35">
        <f t="shared" si="239"/>
        <v>2213.4</v>
      </c>
      <c r="O313" s="35">
        <f t="shared" si="240"/>
        <v>2142</v>
      </c>
      <c r="P313" s="35">
        <f t="shared" si="241"/>
        <v>2213.4</v>
      </c>
      <c r="Q313" s="35">
        <f t="shared" si="242"/>
        <v>2142</v>
      </c>
      <c r="R313" s="119">
        <f t="shared" si="243"/>
        <v>2213.4</v>
      </c>
      <c r="S313" s="120">
        <f t="shared" si="244"/>
        <v>153</v>
      </c>
    </row>
    <row r="314" spans="1:19" s="5" customFormat="1" x14ac:dyDescent="0.25">
      <c r="A314" s="115"/>
      <c r="B314" s="116">
        <v>3</v>
      </c>
      <c r="C314" s="18" t="s">
        <v>63</v>
      </c>
      <c r="D314" s="19">
        <v>71.400000000000006</v>
      </c>
      <c r="E314" s="21">
        <v>1</v>
      </c>
      <c r="F314" s="117">
        <f t="shared" si="238"/>
        <v>10924.2</v>
      </c>
      <c r="G314" s="35">
        <v>0</v>
      </c>
      <c r="H314" s="35">
        <v>0</v>
      </c>
      <c r="I314" s="35">
        <v>0</v>
      </c>
      <c r="J314" s="35">
        <v>0</v>
      </c>
      <c r="K314" s="35">
        <v>0</v>
      </c>
      <c r="L314" s="35">
        <v>0</v>
      </c>
      <c r="M314" s="35">
        <v>0</v>
      </c>
      <c r="N314" s="35">
        <f t="shared" si="239"/>
        <v>2213.4</v>
      </c>
      <c r="O314" s="35">
        <f t="shared" si="240"/>
        <v>2142</v>
      </c>
      <c r="P314" s="35">
        <f t="shared" si="241"/>
        <v>2213.4</v>
      </c>
      <c r="Q314" s="35">
        <f t="shared" si="242"/>
        <v>2142</v>
      </c>
      <c r="R314" s="119">
        <f t="shared" si="243"/>
        <v>2213.4</v>
      </c>
      <c r="S314" s="120">
        <f t="shared" si="244"/>
        <v>153</v>
      </c>
    </row>
    <row r="315" spans="1:19" s="5" customFormat="1" x14ac:dyDescent="0.25">
      <c r="A315" s="115"/>
      <c r="B315" s="116">
        <v>4</v>
      </c>
      <c r="C315" s="18" t="s">
        <v>53</v>
      </c>
      <c r="D315" s="19">
        <v>71.400000000000006</v>
      </c>
      <c r="E315" s="21">
        <v>1</v>
      </c>
      <c r="F315" s="117">
        <f t="shared" si="238"/>
        <v>10924.2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  <c r="M315" s="35">
        <v>0</v>
      </c>
      <c r="N315" s="35">
        <f t="shared" si="239"/>
        <v>2213.4</v>
      </c>
      <c r="O315" s="35">
        <f t="shared" si="240"/>
        <v>2142</v>
      </c>
      <c r="P315" s="35">
        <f t="shared" si="241"/>
        <v>2213.4</v>
      </c>
      <c r="Q315" s="35">
        <f t="shared" si="242"/>
        <v>2142</v>
      </c>
      <c r="R315" s="119">
        <f t="shared" si="243"/>
        <v>2213.4</v>
      </c>
      <c r="S315" s="120">
        <f t="shared" si="244"/>
        <v>153</v>
      </c>
    </row>
    <row r="316" spans="1:19" s="5" customFormat="1" x14ac:dyDescent="0.25">
      <c r="A316" s="115"/>
      <c r="B316" s="116">
        <v>7</v>
      </c>
      <c r="C316" s="18" t="s">
        <v>34</v>
      </c>
      <c r="D316" s="19">
        <v>71.400000000000006</v>
      </c>
      <c r="E316" s="21">
        <v>2</v>
      </c>
      <c r="F316" s="117">
        <f t="shared" si="238"/>
        <v>13137.6</v>
      </c>
      <c r="G316" s="35">
        <v>0</v>
      </c>
      <c r="H316" s="118">
        <v>0</v>
      </c>
      <c r="I316" s="35">
        <v>0</v>
      </c>
      <c r="J316" s="35">
        <v>0</v>
      </c>
      <c r="K316" s="35">
        <v>0</v>
      </c>
      <c r="L316" s="35">
        <v>0</v>
      </c>
      <c r="M316" s="35">
        <f>+D316*E316*61</f>
        <v>8710.8000000000011</v>
      </c>
      <c r="N316" s="35">
        <f>+D316*E316*31</f>
        <v>4426.8</v>
      </c>
      <c r="O316" s="35">
        <v>0</v>
      </c>
      <c r="P316" s="35">
        <v>0</v>
      </c>
      <c r="Q316" s="35">
        <v>0</v>
      </c>
      <c r="R316" s="119">
        <v>0</v>
      </c>
      <c r="S316" s="120">
        <f>30+31+31</f>
        <v>92</v>
      </c>
    </row>
    <row r="317" spans="1:19" x14ac:dyDescent="0.25">
      <c r="A317" s="46"/>
      <c r="B317" s="121">
        <v>1</v>
      </c>
      <c r="C317" s="122" t="s">
        <v>136</v>
      </c>
      <c r="D317" s="123">
        <v>72.540000000000006</v>
      </c>
      <c r="E317" s="20">
        <v>1</v>
      </c>
      <c r="F317" s="124">
        <f>+E317*S317*D317</f>
        <v>15378.480000000001</v>
      </c>
      <c r="G317" s="125">
        <f>E317*D317*31</f>
        <v>2248.7400000000002</v>
      </c>
      <c r="H317" s="126">
        <f>E317*D317*28</f>
        <v>2031.1200000000001</v>
      </c>
      <c r="I317" s="125">
        <f>E317*D317*31</f>
        <v>2248.7400000000002</v>
      </c>
      <c r="J317" s="125">
        <f>E317*D317*30</f>
        <v>2176.2000000000003</v>
      </c>
      <c r="K317" s="125">
        <f>E317*D317*31</f>
        <v>2248.7400000000002</v>
      </c>
      <c r="L317" s="125">
        <f>E317*D317*30</f>
        <v>2176.2000000000003</v>
      </c>
      <c r="M317" s="125">
        <f>E317*D317*31</f>
        <v>2248.7400000000002</v>
      </c>
      <c r="N317" s="125">
        <v>0</v>
      </c>
      <c r="O317" s="125">
        <v>0</v>
      </c>
      <c r="P317" s="125">
        <v>0</v>
      </c>
      <c r="Q317" s="125">
        <v>0</v>
      </c>
      <c r="R317" s="127">
        <v>0</v>
      </c>
      <c r="S317" s="128">
        <v>212</v>
      </c>
    </row>
    <row r="318" spans="1:19" x14ac:dyDescent="0.25">
      <c r="A318" s="46"/>
      <c r="B318" s="121">
        <v>2</v>
      </c>
      <c r="C318" s="122" t="s">
        <v>34</v>
      </c>
      <c r="D318" s="123">
        <v>71.400000000000006</v>
      </c>
      <c r="E318" s="20">
        <v>3</v>
      </c>
      <c r="F318" s="124">
        <f>+E318*S318*D318</f>
        <v>45410.400000000001</v>
      </c>
      <c r="G318" s="125">
        <f>E318*D318*31</f>
        <v>6640.2000000000007</v>
      </c>
      <c r="H318" s="126">
        <f>E318*D318*28</f>
        <v>5997.6</v>
      </c>
      <c r="I318" s="125">
        <f>E318*D318*31</f>
        <v>6640.2000000000007</v>
      </c>
      <c r="J318" s="125">
        <f>E318*D318*30</f>
        <v>6426.0000000000009</v>
      </c>
      <c r="K318" s="125">
        <f>E318*D318*31</f>
        <v>6640.2000000000007</v>
      </c>
      <c r="L318" s="125">
        <f>E318*D318*30</f>
        <v>6426.0000000000009</v>
      </c>
      <c r="M318" s="125">
        <f>E318*D318*31</f>
        <v>6640.2000000000007</v>
      </c>
      <c r="N318" s="125">
        <v>0</v>
      </c>
      <c r="O318" s="125">
        <v>0</v>
      </c>
      <c r="P318" s="125">
        <v>0</v>
      </c>
      <c r="Q318" s="125">
        <v>0</v>
      </c>
      <c r="R318" s="127">
        <v>0</v>
      </c>
      <c r="S318" s="128">
        <v>212</v>
      </c>
    </row>
    <row r="319" spans="1:19" s="5" customFormat="1" x14ac:dyDescent="0.25">
      <c r="A319" s="115"/>
      <c r="B319" s="116">
        <v>1</v>
      </c>
      <c r="C319" s="18" t="s">
        <v>136</v>
      </c>
      <c r="D319" s="19">
        <v>72.540000000000006</v>
      </c>
      <c r="E319" s="21">
        <v>1</v>
      </c>
      <c r="F319" s="117">
        <f>+E319*S319*D319</f>
        <v>11098.62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f t="shared" ref="N319:N320" si="245">+D319*E319*31</f>
        <v>2248.7400000000002</v>
      </c>
      <c r="O319" s="35">
        <f t="shared" ref="O319:O320" si="246">+D319*E319*30</f>
        <v>2176.2000000000003</v>
      </c>
      <c r="P319" s="35">
        <f t="shared" ref="P319:P320" si="247">+D319*E319*31</f>
        <v>2248.7400000000002</v>
      </c>
      <c r="Q319" s="35">
        <f t="shared" ref="Q319:Q320" si="248">+D319*E319*30</f>
        <v>2176.2000000000003</v>
      </c>
      <c r="R319" s="119">
        <f t="shared" ref="R319:R320" si="249">+D319*E319*31</f>
        <v>2248.7400000000002</v>
      </c>
      <c r="S319" s="120">
        <f t="shared" ref="S319:S320" si="250">31+30+31+30+31</f>
        <v>153</v>
      </c>
    </row>
    <row r="320" spans="1:19" s="5" customFormat="1" x14ac:dyDescent="0.25">
      <c r="A320" s="115"/>
      <c r="B320" s="116">
        <v>2</v>
      </c>
      <c r="C320" s="18" t="s">
        <v>34</v>
      </c>
      <c r="D320" s="19">
        <v>71.400000000000006</v>
      </c>
      <c r="E320" s="21">
        <v>3</v>
      </c>
      <c r="F320" s="117">
        <f>+E320*S320*D320</f>
        <v>32772.600000000006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  <c r="M320" s="35">
        <v>0</v>
      </c>
      <c r="N320" s="35">
        <f t="shared" si="245"/>
        <v>6640.2000000000007</v>
      </c>
      <c r="O320" s="35">
        <f t="shared" si="246"/>
        <v>6426.0000000000009</v>
      </c>
      <c r="P320" s="35">
        <f t="shared" si="247"/>
        <v>6640.2000000000007</v>
      </c>
      <c r="Q320" s="35">
        <f t="shared" si="248"/>
        <v>6426.0000000000009</v>
      </c>
      <c r="R320" s="119">
        <f t="shared" si="249"/>
        <v>6640.2000000000007</v>
      </c>
      <c r="S320" s="120">
        <f t="shared" si="250"/>
        <v>153</v>
      </c>
    </row>
    <row r="321" spans="1:19" ht="15.75" thickBot="1" x14ac:dyDescent="0.3">
      <c r="A321" s="46"/>
      <c r="B321" s="176"/>
      <c r="C321" s="291" t="s">
        <v>123</v>
      </c>
      <c r="D321" s="177"/>
      <c r="E321" s="178"/>
      <c r="F321" s="179">
        <f>104661-SUM(F317:F320)</f>
        <v>0.89999999999417923</v>
      </c>
      <c r="G321" s="180"/>
      <c r="H321" s="181"/>
      <c r="I321" s="182"/>
      <c r="J321" s="182"/>
      <c r="K321" s="182"/>
      <c r="L321" s="182"/>
      <c r="M321" s="182"/>
      <c r="N321" s="182"/>
      <c r="O321" s="182"/>
      <c r="P321" s="182"/>
      <c r="Q321" s="182"/>
      <c r="R321" s="186">
        <f>F321</f>
        <v>0.89999999999417923</v>
      </c>
    </row>
    <row r="322" spans="1:19" ht="30.75" customHeight="1" x14ac:dyDescent="0.25">
      <c r="A322" s="46"/>
      <c r="B322" s="260"/>
      <c r="C322" s="598" t="s">
        <v>65</v>
      </c>
      <c r="D322" s="599"/>
      <c r="E322" s="292"/>
      <c r="F322" s="293"/>
      <c r="G322" s="294"/>
      <c r="H322" s="295"/>
      <c r="I322" s="294"/>
      <c r="J322" s="294"/>
      <c r="K322" s="294"/>
      <c r="L322" s="294"/>
      <c r="M322" s="294"/>
      <c r="N322" s="294"/>
      <c r="O322" s="294"/>
      <c r="P322" s="294"/>
      <c r="Q322" s="294"/>
      <c r="R322" s="296"/>
    </row>
    <row r="323" spans="1:19" ht="29.25" customHeight="1" x14ac:dyDescent="0.25">
      <c r="A323" s="46"/>
      <c r="B323" s="150"/>
      <c r="C323" s="592" t="s">
        <v>137</v>
      </c>
      <c r="D323" s="592"/>
      <c r="E323" s="297">
        <f>SUM(E326:E349)</f>
        <v>71</v>
      </c>
      <c r="F323" s="152">
        <f>SUM(F326:F350)</f>
        <v>888962</v>
      </c>
      <c r="G323" s="153">
        <f t="shared" ref="G323:Q323" si="251">SUM(G326:G349)</f>
        <v>60753.8</v>
      </c>
      <c r="H323" s="153">
        <f t="shared" si="251"/>
        <v>72259.3</v>
      </c>
      <c r="I323" s="153">
        <f t="shared" si="251"/>
        <v>73287.100000000006</v>
      </c>
      <c r="J323" s="153">
        <f t="shared" si="251"/>
        <v>70923</v>
      </c>
      <c r="K323" s="153">
        <f t="shared" si="251"/>
        <v>73287.100000000006</v>
      </c>
      <c r="L323" s="153">
        <f t="shared" si="251"/>
        <v>70923</v>
      </c>
      <c r="M323" s="153">
        <f t="shared" si="251"/>
        <v>73287.100000000006</v>
      </c>
      <c r="N323" s="298">
        <f t="shared" si="251"/>
        <v>71346.460000000006</v>
      </c>
      <c r="O323" s="298">
        <f t="shared" si="251"/>
        <v>76278</v>
      </c>
      <c r="P323" s="298">
        <f t="shared" si="251"/>
        <v>60753.8</v>
      </c>
      <c r="Q323" s="298">
        <f t="shared" si="251"/>
        <v>58794</v>
      </c>
      <c r="R323" s="154">
        <f>SUM(R326:R350)</f>
        <v>127069.33999999992</v>
      </c>
      <c r="S323" s="16">
        <f>F323-SUM(G323:R323)</f>
        <v>0</v>
      </c>
    </row>
    <row r="324" spans="1:19" x14ac:dyDescent="0.25">
      <c r="A324" s="46"/>
      <c r="B324" s="299"/>
      <c r="C324" s="155"/>
      <c r="D324" s="155"/>
      <c r="E324" s="300"/>
      <c r="F324" s="157">
        <f>SUM(F326:F349)</f>
        <v>822646.46000000008</v>
      </c>
      <c r="G324" s="153"/>
      <c r="H324" s="158"/>
      <c r="I324" s="158"/>
      <c r="J324" s="158"/>
      <c r="K324" s="158"/>
      <c r="L324" s="158"/>
      <c r="M324" s="158"/>
      <c r="N324" s="301"/>
      <c r="O324" s="302"/>
      <c r="P324" s="301"/>
      <c r="Q324" s="301"/>
      <c r="R324" s="159"/>
    </row>
    <row r="325" spans="1:19" x14ac:dyDescent="0.25">
      <c r="A325" s="46"/>
      <c r="B325" s="184"/>
      <c r="C325" s="303"/>
      <c r="D325" s="303"/>
      <c r="E325" s="303" t="s">
        <v>122</v>
      </c>
      <c r="F325" s="304">
        <v>0</v>
      </c>
      <c r="G325" s="265"/>
      <c r="H325" s="265"/>
      <c r="I325" s="265"/>
      <c r="J325" s="265"/>
      <c r="K325" s="265"/>
      <c r="L325" s="265"/>
      <c r="M325" s="265"/>
      <c r="N325" s="305"/>
      <c r="O325" s="306"/>
      <c r="P325" s="265"/>
      <c r="Q325" s="265"/>
      <c r="R325" s="307"/>
    </row>
    <row r="326" spans="1:19" x14ac:dyDescent="0.25">
      <c r="A326" s="46"/>
      <c r="B326" s="184">
        <v>1</v>
      </c>
      <c r="C326" s="216" t="s">
        <v>34</v>
      </c>
      <c r="D326" s="217">
        <v>71.400000000000006</v>
      </c>
      <c r="E326" s="218">
        <v>8</v>
      </c>
      <c r="F326" s="219">
        <f t="shared" ref="F326:F338" si="252">+E326*S326*D326</f>
        <v>121094.40000000001</v>
      </c>
      <c r="G326" s="125">
        <f t="shared" ref="G326:G334" si="253">E326*D326*31</f>
        <v>17707.2</v>
      </c>
      <c r="H326" s="126">
        <f>E326*D326*28</f>
        <v>15993.600000000002</v>
      </c>
      <c r="I326" s="125">
        <f>E326*D326*31</f>
        <v>17707.2</v>
      </c>
      <c r="J326" s="125">
        <f>E326*D326*30</f>
        <v>17136</v>
      </c>
      <c r="K326" s="125">
        <f>E326*D326*31</f>
        <v>17707.2</v>
      </c>
      <c r="L326" s="125">
        <f>E326*D326*30</f>
        <v>17136</v>
      </c>
      <c r="M326" s="125">
        <f>E326*D326*31</f>
        <v>17707.2</v>
      </c>
      <c r="N326" s="125">
        <v>0</v>
      </c>
      <c r="O326" s="125">
        <v>0</v>
      </c>
      <c r="P326" s="125">
        <v>0</v>
      </c>
      <c r="Q326" s="125">
        <v>0</v>
      </c>
      <c r="R326" s="127">
        <v>0</v>
      </c>
      <c r="S326" s="128">
        <v>212</v>
      </c>
    </row>
    <row r="327" spans="1:19" x14ac:dyDescent="0.25">
      <c r="A327" s="46"/>
      <c r="B327" s="184">
        <v>1</v>
      </c>
      <c r="C327" s="216" t="s">
        <v>34</v>
      </c>
      <c r="D327" s="217">
        <v>71.400000000000006</v>
      </c>
      <c r="E327" s="218">
        <v>1</v>
      </c>
      <c r="F327" s="219">
        <f t="shared" si="252"/>
        <v>0</v>
      </c>
      <c r="G327" s="125">
        <v>0</v>
      </c>
      <c r="H327" s="126">
        <v>0</v>
      </c>
      <c r="I327" s="125">
        <v>0</v>
      </c>
      <c r="J327" s="125">
        <v>0</v>
      </c>
      <c r="K327" s="125">
        <v>0</v>
      </c>
      <c r="L327" s="125">
        <v>0</v>
      </c>
      <c r="M327" s="125">
        <v>0</v>
      </c>
      <c r="N327" s="125">
        <v>0</v>
      </c>
      <c r="O327" s="125">
        <v>0</v>
      </c>
      <c r="P327" s="125">
        <v>0</v>
      </c>
      <c r="Q327" s="125">
        <v>0</v>
      </c>
      <c r="R327" s="127">
        <v>0</v>
      </c>
      <c r="S327" s="128">
        <v>0</v>
      </c>
    </row>
    <row r="328" spans="1:19" x14ac:dyDescent="0.25">
      <c r="A328" s="46"/>
      <c r="B328" s="121">
        <v>2</v>
      </c>
      <c r="C328" s="122" t="s">
        <v>66</v>
      </c>
      <c r="D328" s="123">
        <v>73.59</v>
      </c>
      <c r="E328" s="20">
        <v>1</v>
      </c>
      <c r="F328" s="124">
        <f t="shared" si="252"/>
        <v>15601.08</v>
      </c>
      <c r="G328" s="125">
        <f t="shared" si="253"/>
        <v>2281.29</v>
      </c>
      <c r="H328" s="126">
        <f t="shared" ref="H328:H334" si="254">E328*D328*28</f>
        <v>2060.52</v>
      </c>
      <c r="I328" s="125">
        <f t="shared" ref="I328:I334" si="255">E328*D328*31</f>
        <v>2281.29</v>
      </c>
      <c r="J328" s="125">
        <f t="shared" ref="J328:J334" si="256">E328*D328*30</f>
        <v>2207.7000000000003</v>
      </c>
      <c r="K328" s="125">
        <f t="shared" ref="K328:K334" si="257">E328*D328*31</f>
        <v>2281.29</v>
      </c>
      <c r="L328" s="125">
        <f t="shared" ref="L328:L334" si="258">E328*D328*30</f>
        <v>2207.7000000000003</v>
      </c>
      <c r="M328" s="125">
        <f t="shared" ref="M328:M334" si="259">E328*D328*31</f>
        <v>2281.29</v>
      </c>
      <c r="N328" s="125">
        <v>0</v>
      </c>
      <c r="O328" s="125">
        <v>0</v>
      </c>
      <c r="P328" s="125">
        <v>0</v>
      </c>
      <c r="Q328" s="125">
        <v>0</v>
      </c>
      <c r="R328" s="127">
        <v>0</v>
      </c>
      <c r="S328" s="128">
        <v>212</v>
      </c>
    </row>
    <row r="329" spans="1:19" x14ac:dyDescent="0.25">
      <c r="A329" s="46"/>
      <c r="B329" s="121">
        <v>3</v>
      </c>
      <c r="C329" s="122" t="s">
        <v>49</v>
      </c>
      <c r="D329" s="123">
        <v>74.63</v>
      </c>
      <c r="E329" s="20">
        <v>1</v>
      </c>
      <c r="F329" s="124">
        <f t="shared" si="252"/>
        <v>15821.56</v>
      </c>
      <c r="G329" s="125">
        <f t="shared" si="253"/>
        <v>2313.5299999999997</v>
      </c>
      <c r="H329" s="126">
        <f t="shared" si="254"/>
        <v>2089.64</v>
      </c>
      <c r="I329" s="125">
        <f t="shared" si="255"/>
        <v>2313.5299999999997</v>
      </c>
      <c r="J329" s="125">
        <f t="shared" si="256"/>
        <v>2238.8999999999996</v>
      </c>
      <c r="K329" s="125">
        <f t="shared" si="257"/>
        <v>2313.5299999999997</v>
      </c>
      <c r="L329" s="125">
        <f t="shared" si="258"/>
        <v>2238.8999999999996</v>
      </c>
      <c r="M329" s="125">
        <f t="shared" si="259"/>
        <v>2313.5299999999997</v>
      </c>
      <c r="N329" s="125">
        <v>0</v>
      </c>
      <c r="O329" s="125">
        <v>0</v>
      </c>
      <c r="P329" s="125">
        <v>0</v>
      </c>
      <c r="Q329" s="125">
        <v>0</v>
      </c>
      <c r="R329" s="127">
        <v>0</v>
      </c>
      <c r="S329" s="128">
        <v>212</v>
      </c>
    </row>
    <row r="330" spans="1:19" x14ac:dyDescent="0.25">
      <c r="A330" s="46"/>
      <c r="B330" s="184">
        <v>4</v>
      </c>
      <c r="C330" s="122" t="s">
        <v>37</v>
      </c>
      <c r="D330" s="123">
        <v>71.400000000000006</v>
      </c>
      <c r="E330" s="20">
        <v>7</v>
      </c>
      <c r="F330" s="124">
        <f t="shared" si="252"/>
        <v>105957.6</v>
      </c>
      <c r="G330" s="125">
        <f t="shared" si="253"/>
        <v>15493.800000000003</v>
      </c>
      <c r="H330" s="126">
        <f t="shared" si="254"/>
        <v>13994.400000000001</v>
      </c>
      <c r="I330" s="125">
        <f t="shared" si="255"/>
        <v>15493.800000000003</v>
      </c>
      <c r="J330" s="125">
        <f t="shared" si="256"/>
        <v>14994.000000000002</v>
      </c>
      <c r="K330" s="125">
        <f t="shared" si="257"/>
        <v>15493.800000000003</v>
      </c>
      <c r="L330" s="125">
        <f t="shared" si="258"/>
        <v>14994.000000000002</v>
      </c>
      <c r="M330" s="125">
        <f t="shared" si="259"/>
        <v>15493.800000000003</v>
      </c>
      <c r="N330" s="125">
        <v>0</v>
      </c>
      <c r="O330" s="125">
        <v>0</v>
      </c>
      <c r="P330" s="125">
        <v>0</v>
      </c>
      <c r="Q330" s="125">
        <v>0</v>
      </c>
      <c r="R330" s="127">
        <v>0</v>
      </c>
      <c r="S330" s="128">
        <v>212</v>
      </c>
    </row>
    <row r="331" spans="1:19" ht="15.75" customHeight="1" x14ac:dyDescent="0.25">
      <c r="A331" s="46"/>
      <c r="B331" s="121">
        <v>5</v>
      </c>
      <c r="C331" s="122" t="s">
        <v>67</v>
      </c>
      <c r="D331" s="123">
        <v>72.540000000000006</v>
      </c>
      <c r="E331" s="20">
        <v>2</v>
      </c>
      <c r="F331" s="124">
        <f t="shared" si="252"/>
        <v>30756.960000000003</v>
      </c>
      <c r="G331" s="125">
        <f t="shared" si="253"/>
        <v>4497.4800000000005</v>
      </c>
      <c r="H331" s="126">
        <f t="shared" si="254"/>
        <v>4062.2400000000002</v>
      </c>
      <c r="I331" s="125">
        <f t="shared" si="255"/>
        <v>4497.4800000000005</v>
      </c>
      <c r="J331" s="125">
        <f t="shared" si="256"/>
        <v>4352.4000000000005</v>
      </c>
      <c r="K331" s="125">
        <f t="shared" si="257"/>
        <v>4497.4800000000005</v>
      </c>
      <c r="L331" s="125">
        <f t="shared" si="258"/>
        <v>4352.4000000000005</v>
      </c>
      <c r="M331" s="125">
        <f t="shared" si="259"/>
        <v>4497.4800000000005</v>
      </c>
      <c r="N331" s="125">
        <v>0</v>
      </c>
      <c r="O331" s="125">
        <v>0</v>
      </c>
      <c r="P331" s="125">
        <v>0</v>
      </c>
      <c r="Q331" s="125">
        <v>0</v>
      </c>
      <c r="R331" s="127">
        <v>0</v>
      </c>
      <c r="S331" s="128">
        <v>212</v>
      </c>
    </row>
    <row r="332" spans="1:19" x14ac:dyDescent="0.25">
      <c r="A332" s="46"/>
      <c r="B332" s="121">
        <v>6</v>
      </c>
      <c r="C332" s="122" t="s">
        <v>38</v>
      </c>
      <c r="D332" s="123">
        <v>78.25</v>
      </c>
      <c r="E332" s="20">
        <v>2</v>
      </c>
      <c r="F332" s="124">
        <f t="shared" si="252"/>
        <v>33178</v>
      </c>
      <c r="G332" s="125">
        <f t="shared" si="253"/>
        <v>4851.5</v>
      </c>
      <c r="H332" s="126">
        <f t="shared" si="254"/>
        <v>4382</v>
      </c>
      <c r="I332" s="125">
        <f t="shared" si="255"/>
        <v>4851.5</v>
      </c>
      <c r="J332" s="125">
        <f t="shared" si="256"/>
        <v>4695</v>
      </c>
      <c r="K332" s="125">
        <f t="shared" si="257"/>
        <v>4851.5</v>
      </c>
      <c r="L332" s="125">
        <f t="shared" si="258"/>
        <v>4695</v>
      </c>
      <c r="M332" s="125">
        <f t="shared" si="259"/>
        <v>4851.5</v>
      </c>
      <c r="N332" s="125">
        <v>0</v>
      </c>
      <c r="O332" s="125">
        <v>0</v>
      </c>
      <c r="P332" s="125">
        <v>0</v>
      </c>
      <c r="Q332" s="125">
        <v>0</v>
      </c>
      <c r="R332" s="127">
        <v>0</v>
      </c>
      <c r="S332" s="128">
        <v>212</v>
      </c>
    </row>
    <row r="333" spans="1:19" x14ac:dyDescent="0.25">
      <c r="A333" s="46"/>
      <c r="B333" s="184">
        <v>7</v>
      </c>
      <c r="C333" s="122" t="s">
        <v>30</v>
      </c>
      <c r="D333" s="123">
        <v>72.540000000000006</v>
      </c>
      <c r="E333" s="20">
        <v>1</v>
      </c>
      <c r="F333" s="124">
        <f t="shared" si="252"/>
        <v>15378.480000000001</v>
      </c>
      <c r="G333" s="125">
        <f t="shared" si="253"/>
        <v>2248.7400000000002</v>
      </c>
      <c r="H333" s="126">
        <f t="shared" si="254"/>
        <v>2031.1200000000001</v>
      </c>
      <c r="I333" s="125">
        <f t="shared" si="255"/>
        <v>2248.7400000000002</v>
      </c>
      <c r="J333" s="125">
        <f t="shared" si="256"/>
        <v>2176.2000000000003</v>
      </c>
      <c r="K333" s="125">
        <f t="shared" si="257"/>
        <v>2248.7400000000002</v>
      </c>
      <c r="L333" s="125">
        <f t="shared" si="258"/>
        <v>2176.2000000000003</v>
      </c>
      <c r="M333" s="125">
        <f t="shared" si="259"/>
        <v>2248.7400000000002</v>
      </c>
      <c r="N333" s="125">
        <v>0</v>
      </c>
      <c r="O333" s="125">
        <v>0</v>
      </c>
      <c r="P333" s="125">
        <v>0</v>
      </c>
      <c r="Q333" s="125">
        <v>0</v>
      </c>
      <c r="R333" s="127">
        <v>0</v>
      </c>
      <c r="S333" s="128">
        <v>212</v>
      </c>
    </row>
    <row r="334" spans="1:19" x14ac:dyDescent="0.25">
      <c r="A334" s="46"/>
      <c r="B334" s="121">
        <v>8</v>
      </c>
      <c r="C334" s="122" t="s">
        <v>68</v>
      </c>
      <c r="D334" s="123">
        <v>71.400000000000006</v>
      </c>
      <c r="E334" s="20">
        <v>4</v>
      </c>
      <c r="F334" s="124">
        <f t="shared" si="252"/>
        <v>60547.200000000004</v>
      </c>
      <c r="G334" s="125">
        <f t="shared" si="253"/>
        <v>8853.6</v>
      </c>
      <c r="H334" s="126">
        <f t="shared" si="254"/>
        <v>7996.8000000000011</v>
      </c>
      <c r="I334" s="125">
        <f t="shared" si="255"/>
        <v>8853.6</v>
      </c>
      <c r="J334" s="125">
        <f t="shared" si="256"/>
        <v>8568</v>
      </c>
      <c r="K334" s="125">
        <f t="shared" si="257"/>
        <v>8853.6</v>
      </c>
      <c r="L334" s="125">
        <f t="shared" si="258"/>
        <v>8568</v>
      </c>
      <c r="M334" s="125">
        <f t="shared" si="259"/>
        <v>8853.6</v>
      </c>
      <c r="N334" s="125">
        <v>0</v>
      </c>
      <c r="O334" s="125">
        <v>0</v>
      </c>
      <c r="P334" s="125">
        <v>0</v>
      </c>
      <c r="Q334" s="125">
        <v>0</v>
      </c>
      <c r="R334" s="127">
        <v>0</v>
      </c>
      <c r="S334" s="128">
        <v>212</v>
      </c>
    </row>
    <row r="335" spans="1:19" x14ac:dyDescent="0.25">
      <c r="A335" s="46"/>
      <c r="B335" s="121">
        <v>5</v>
      </c>
      <c r="C335" s="122" t="s">
        <v>36</v>
      </c>
      <c r="D335" s="123">
        <v>80.86</v>
      </c>
      <c r="E335" s="20">
        <v>5</v>
      </c>
      <c r="F335" s="124">
        <f t="shared" si="252"/>
        <v>29918.2</v>
      </c>
      <c r="G335" s="125">
        <v>0</v>
      </c>
      <c r="H335" s="126">
        <f>E335*D335*28+D335*E335*15</f>
        <v>17384.900000000001</v>
      </c>
      <c r="I335" s="125">
        <f>E335*D335*31</f>
        <v>12533.300000000001</v>
      </c>
      <c r="J335" s="125">
        <v>0</v>
      </c>
      <c r="K335" s="125">
        <v>0</v>
      </c>
      <c r="L335" s="125">
        <v>0</v>
      </c>
      <c r="M335" s="125">
        <v>0</v>
      </c>
      <c r="N335" s="125">
        <v>0</v>
      </c>
      <c r="O335" s="125"/>
      <c r="P335" s="125">
        <v>0</v>
      </c>
      <c r="Q335" s="125">
        <v>0</v>
      </c>
      <c r="R335" s="127">
        <v>0</v>
      </c>
      <c r="S335" s="128">
        <f>15+28+31</f>
        <v>74</v>
      </c>
    </row>
    <row r="336" spans="1:19" x14ac:dyDescent="0.25">
      <c r="A336" s="46"/>
      <c r="B336" s="121">
        <v>10</v>
      </c>
      <c r="C336" s="122" t="s">
        <v>36</v>
      </c>
      <c r="D336" s="123">
        <v>80.86</v>
      </c>
      <c r="E336" s="20">
        <v>5</v>
      </c>
      <c r="F336" s="124">
        <f t="shared" si="252"/>
        <v>36791.300000000003</v>
      </c>
      <c r="G336" s="125">
        <v>0</v>
      </c>
      <c r="H336" s="126">
        <v>0</v>
      </c>
      <c r="I336" s="125">
        <v>0</v>
      </c>
      <c r="J336" s="125">
        <f>E336*D336*30</f>
        <v>12129</v>
      </c>
      <c r="K336" s="125">
        <f t="shared" ref="K336" si="260">E336*D336*31</f>
        <v>12533.300000000001</v>
      </c>
      <c r="L336" s="125">
        <f t="shared" ref="L336" si="261">E336*D336*30</f>
        <v>12129</v>
      </c>
      <c r="M336" s="125">
        <v>0</v>
      </c>
      <c r="N336" s="125">
        <v>0</v>
      </c>
      <c r="O336" s="125">
        <v>0</v>
      </c>
      <c r="P336" s="125">
        <v>0</v>
      </c>
      <c r="Q336" s="125">
        <v>0</v>
      </c>
      <c r="R336" s="127">
        <v>0</v>
      </c>
      <c r="S336" s="128">
        <f>30+31+30</f>
        <v>91</v>
      </c>
    </row>
    <row r="337" spans="1:20" s="5" customFormat="1" x14ac:dyDescent="0.25">
      <c r="A337" s="115"/>
      <c r="B337" s="116">
        <v>11</v>
      </c>
      <c r="C337" s="18" t="s">
        <v>36</v>
      </c>
      <c r="D337" s="19">
        <v>80.86</v>
      </c>
      <c r="E337" s="21">
        <v>4</v>
      </c>
      <c r="F337" s="117">
        <f t="shared" si="252"/>
        <v>29756.48</v>
      </c>
      <c r="G337" s="35">
        <v>0</v>
      </c>
      <c r="H337" s="118">
        <v>0</v>
      </c>
      <c r="I337" s="35">
        <v>0</v>
      </c>
      <c r="J337" s="35">
        <v>0</v>
      </c>
      <c r="K337" s="35">
        <v>0</v>
      </c>
      <c r="L337" s="35">
        <v>0</v>
      </c>
      <c r="M337" s="35">
        <f>+D337*E337*31</f>
        <v>10026.64</v>
      </c>
      <c r="N337" s="35">
        <f>+D337*E337*31</f>
        <v>10026.64</v>
      </c>
      <c r="O337" s="35">
        <f>+D337*E337*30</f>
        <v>9703.2000000000007</v>
      </c>
      <c r="P337" s="35">
        <v>0</v>
      </c>
      <c r="Q337" s="35">
        <v>0</v>
      </c>
      <c r="R337" s="119">
        <v>0</v>
      </c>
      <c r="S337" s="120">
        <f>31+31+30</f>
        <v>92</v>
      </c>
    </row>
    <row r="338" spans="1:20" s="5" customFormat="1" x14ac:dyDescent="0.25">
      <c r="A338" s="115"/>
      <c r="B338" s="116">
        <v>11</v>
      </c>
      <c r="C338" s="18" t="s">
        <v>36</v>
      </c>
      <c r="D338" s="19">
        <v>80.86</v>
      </c>
      <c r="E338" s="21">
        <v>1</v>
      </c>
      <c r="F338" s="117">
        <f t="shared" si="252"/>
        <v>5498.48</v>
      </c>
      <c r="G338" s="35">
        <v>0</v>
      </c>
      <c r="H338" s="118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f>+D338*E338*31</f>
        <v>2506.66</v>
      </c>
      <c r="N338" s="35">
        <f>+D338*E338*7</f>
        <v>566.02</v>
      </c>
      <c r="O338" s="35">
        <f>+D338*E338*30</f>
        <v>2425.8000000000002</v>
      </c>
      <c r="P338" s="35">
        <v>0</v>
      </c>
      <c r="Q338" s="35">
        <v>0</v>
      </c>
      <c r="R338" s="119">
        <v>0</v>
      </c>
      <c r="S338" s="120">
        <f>7+31+30</f>
        <v>68</v>
      </c>
    </row>
    <row r="339" spans="1:20" s="5" customFormat="1" ht="14.25" customHeight="1" x14ac:dyDescent="0.25">
      <c r="A339" s="115"/>
      <c r="B339" s="116">
        <v>9</v>
      </c>
      <c r="C339" s="18" t="s">
        <v>36</v>
      </c>
      <c r="D339" s="19">
        <v>80.86</v>
      </c>
      <c r="E339" s="21">
        <v>1</v>
      </c>
      <c r="F339" s="117">
        <f>+E339*S339*D339</f>
        <v>17142.32</v>
      </c>
      <c r="G339" s="35">
        <f>E339*D339*31</f>
        <v>2506.66</v>
      </c>
      <c r="H339" s="118">
        <f>E339*D339*28</f>
        <v>2264.08</v>
      </c>
      <c r="I339" s="35">
        <f>E339*D339*31</f>
        <v>2506.66</v>
      </c>
      <c r="J339" s="35">
        <f>E339*D339*30</f>
        <v>2425.8000000000002</v>
      </c>
      <c r="K339" s="35">
        <f>E339*D339*31</f>
        <v>2506.66</v>
      </c>
      <c r="L339" s="35">
        <f>E339*D339*30</f>
        <v>2425.8000000000002</v>
      </c>
      <c r="M339" s="35">
        <f>E339*D339*31</f>
        <v>2506.66</v>
      </c>
      <c r="N339" s="35">
        <v>0</v>
      </c>
      <c r="O339" s="35">
        <v>0</v>
      </c>
      <c r="P339" s="35">
        <v>0</v>
      </c>
      <c r="Q339" s="35">
        <v>0</v>
      </c>
      <c r="R339" s="119">
        <v>0</v>
      </c>
      <c r="S339" s="120">
        <v>212</v>
      </c>
    </row>
    <row r="340" spans="1:20" s="5" customFormat="1" x14ac:dyDescent="0.25">
      <c r="A340" s="115"/>
      <c r="B340" s="207">
        <v>1</v>
      </c>
      <c r="C340" s="244" t="s">
        <v>34</v>
      </c>
      <c r="D340" s="245">
        <v>71.400000000000006</v>
      </c>
      <c r="E340" s="246">
        <v>1</v>
      </c>
      <c r="F340" s="247">
        <f t="shared" ref="F340:F348" si="262">+E340*S340*D340</f>
        <v>5355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f>+D340*E340*75</f>
        <v>5355</v>
      </c>
      <c r="P340" s="35">
        <v>0</v>
      </c>
      <c r="Q340" s="35">
        <v>0</v>
      </c>
      <c r="R340" s="119">
        <v>0</v>
      </c>
      <c r="S340" s="120">
        <f>14+31+30</f>
        <v>75</v>
      </c>
    </row>
    <row r="341" spans="1:20" s="5" customFormat="1" x14ac:dyDescent="0.25">
      <c r="A341" s="115"/>
      <c r="B341" s="207">
        <v>1</v>
      </c>
      <c r="C341" s="244" t="s">
        <v>34</v>
      </c>
      <c r="D341" s="245">
        <v>71.400000000000006</v>
      </c>
      <c r="E341" s="246">
        <v>8</v>
      </c>
      <c r="F341" s="247">
        <f t="shared" si="262"/>
        <v>87393.600000000006</v>
      </c>
      <c r="G341" s="35">
        <v>0</v>
      </c>
      <c r="H341" s="35">
        <v>0</v>
      </c>
      <c r="I341" s="35">
        <v>0</v>
      </c>
      <c r="J341" s="35">
        <v>0</v>
      </c>
      <c r="K341" s="35">
        <v>0</v>
      </c>
      <c r="L341" s="35">
        <v>0</v>
      </c>
      <c r="M341" s="35">
        <v>0</v>
      </c>
      <c r="N341" s="35">
        <f t="shared" ref="N341:N349" si="263">+D341*E341*31</f>
        <v>17707.2</v>
      </c>
      <c r="O341" s="35">
        <f t="shared" ref="O341:O349" si="264">+D341*E341*30</f>
        <v>17136</v>
      </c>
      <c r="P341" s="35">
        <f t="shared" ref="P341:P349" si="265">+D341*E341*31</f>
        <v>17707.2</v>
      </c>
      <c r="Q341" s="35">
        <f t="shared" ref="Q341:Q349" si="266">+D341*E341*30</f>
        <v>17136</v>
      </c>
      <c r="R341" s="119">
        <f t="shared" ref="R341:R349" si="267">+D341*E341*31</f>
        <v>17707.2</v>
      </c>
      <c r="S341" s="120">
        <f t="shared" ref="S341:S349" si="268">31+30+31+30+31</f>
        <v>153</v>
      </c>
    </row>
    <row r="342" spans="1:20" s="5" customFormat="1" x14ac:dyDescent="0.25">
      <c r="A342" s="115"/>
      <c r="B342" s="116">
        <v>2</v>
      </c>
      <c r="C342" s="18" t="s">
        <v>66</v>
      </c>
      <c r="D342" s="19">
        <v>73.59</v>
      </c>
      <c r="E342" s="21">
        <v>1</v>
      </c>
      <c r="F342" s="117">
        <f t="shared" si="262"/>
        <v>11259.27</v>
      </c>
      <c r="G342" s="35">
        <v>0</v>
      </c>
      <c r="H342" s="35">
        <v>0</v>
      </c>
      <c r="I342" s="35">
        <v>0</v>
      </c>
      <c r="J342" s="35">
        <v>0</v>
      </c>
      <c r="K342" s="35">
        <v>0</v>
      </c>
      <c r="L342" s="35">
        <v>0</v>
      </c>
      <c r="M342" s="35">
        <v>0</v>
      </c>
      <c r="N342" s="35">
        <f t="shared" si="263"/>
        <v>2281.29</v>
      </c>
      <c r="O342" s="35">
        <f t="shared" si="264"/>
        <v>2207.7000000000003</v>
      </c>
      <c r="P342" s="35">
        <f t="shared" si="265"/>
        <v>2281.29</v>
      </c>
      <c r="Q342" s="35">
        <f t="shared" si="266"/>
        <v>2207.7000000000003</v>
      </c>
      <c r="R342" s="119">
        <f t="shared" si="267"/>
        <v>2281.29</v>
      </c>
      <c r="S342" s="120">
        <f t="shared" si="268"/>
        <v>153</v>
      </c>
    </row>
    <row r="343" spans="1:20" s="5" customFormat="1" x14ac:dyDescent="0.25">
      <c r="A343" s="115"/>
      <c r="B343" s="116">
        <v>3</v>
      </c>
      <c r="C343" s="18" t="s">
        <v>49</v>
      </c>
      <c r="D343" s="19">
        <v>74.63</v>
      </c>
      <c r="E343" s="21">
        <v>1</v>
      </c>
      <c r="F343" s="117">
        <f t="shared" si="262"/>
        <v>11418.39</v>
      </c>
      <c r="G343" s="35">
        <v>0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f t="shared" si="263"/>
        <v>2313.5299999999997</v>
      </c>
      <c r="O343" s="35">
        <f t="shared" si="264"/>
        <v>2238.8999999999996</v>
      </c>
      <c r="P343" s="35">
        <f t="shared" si="265"/>
        <v>2313.5299999999997</v>
      </c>
      <c r="Q343" s="35">
        <f t="shared" si="266"/>
        <v>2238.8999999999996</v>
      </c>
      <c r="R343" s="119">
        <f t="shared" si="267"/>
        <v>2313.5299999999997</v>
      </c>
      <c r="S343" s="120">
        <f t="shared" si="268"/>
        <v>153</v>
      </c>
    </row>
    <row r="344" spans="1:20" s="5" customFormat="1" x14ac:dyDescent="0.25">
      <c r="A344" s="115"/>
      <c r="B344" s="207">
        <v>4</v>
      </c>
      <c r="C344" s="18" t="s">
        <v>37</v>
      </c>
      <c r="D344" s="19">
        <v>71.400000000000006</v>
      </c>
      <c r="E344" s="21">
        <v>7</v>
      </c>
      <c r="F344" s="117">
        <f t="shared" si="262"/>
        <v>76469.400000000009</v>
      </c>
      <c r="G344" s="35">
        <v>0</v>
      </c>
      <c r="H344" s="35">
        <v>0</v>
      </c>
      <c r="I344" s="35">
        <v>0</v>
      </c>
      <c r="J344" s="35">
        <v>0</v>
      </c>
      <c r="K344" s="35">
        <v>0</v>
      </c>
      <c r="L344" s="35">
        <v>0</v>
      </c>
      <c r="M344" s="35">
        <v>0</v>
      </c>
      <c r="N344" s="35">
        <f t="shared" si="263"/>
        <v>15493.800000000003</v>
      </c>
      <c r="O344" s="35">
        <f t="shared" si="264"/>
        <v>14994.000000000002</v>
      </c>
      <c r="P344" s="35">
        <f t="shared" si="265"/>
        <v>15493.800000000003</v>
      </c>
      <c r="Q344" s="35">
        <f t="shared" si="266"/>
        <v>14994.000000000002</v>
      </c>
      <c r="R344" s="119">
        <f t="shared" si="267"/>
        <v>15493.800000000003</v>
      </c>
      <c r="S344" s="120">
        <f t="shared" si="268"/>
        <v>153</v>
      </c>
    </row>
    <row r="345" spans="1:20" s="5" customFormat="1" ht="15.75" customHeight="1" x14ac:dyDescent="0.25">
      <c r="A345" s="115"/>
      <c r="B345" s="116">
        <v>5</v>
      </c>
      <c r="C345" s="18" t="s">
        <v>67</v>
      </c>
      <c r="D345" s="19">
        <v>72.540000000000006</v>
      </c>
      <c r="E345" s="21">
        <v>2</v>
      </c>
      <c r="F345" s="117">
        <f t="shared" si="262"/>
        <v>22197.24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  <c r="M345" s="35">
        <v>0</v>
      </c>
      <c r="N345" s="35">
        <f t="shared" si="263"/>
        <v>4497.4800000000005</v>
      </c>
      <c r="O345" s="35">
        <f t="shared" si="264"/>
        <v>4352.4000000000005</v>
      </c>
      <c r="P345" s="35">
        <f t="shared" si="265"/>
        <v>4497.4800000000005</v>
      </c>
      <c r="Q345" s="35">
        <f t="shared" si="266"/>
        <v>4352.4000000000005</v>
      </c>
      <c r="R345" s="119">
        <f t="shared" si="267"/>
        <v>4497.4800000000005</v>
      </c>
      <c r="S345" s="120">
        <f t="shared" si="268"/>
        <v>153</v>
      </c>
    </row>
    <row r="346" spans="1:20" s="5" customFormat="1" x14ac:dyDescent="0.25">
      <c r="A346" s="115"/>
      <c r="B346" s="116">
        <v>6</v>
      </c>
      <c r="C346" s="18" t="s">
        <v>38</v>
      </c>
      <c r="D346" s="19">
        <v>78.25</v>
      </c>
      <c r="E346" s="21">
        <v>2</v>
      </c>
      <c r="F346" s="117">
        <f t="shared" si="262"/>
        <v>23944.5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  <c r="M346" s="35">
        <v>0</v>
      </c>
      <c r="N346" s="35">
        <f t="shared" si="263"/>
        <v>4851.5</v>
      </c>
      <c r="O346" s="35">
        <f t="shared" si="264"/>
        <v>4695</v>
      </c>
      <c r="P346" s="35">
        <f t="shared" si="265"/>
        <v>4851.5</v>
      </c>
      <c r="Q346" s="35">
        <f t="shared" si="266"/>
        <v>4695</v>
      </c>
      <c r="R346" s="119">
        <f t="shared" si="267"/>
        <v>4851.5</v>
      </c>
      <c r="S346" s="120">
        <f t="shared" si="268"/>
        <v>153</v>
      </c>
    </row>
    <row r="347" spans="1:20" s="5" customFormat="1" x14ac:dyDescent="0.25">
      <c r="A347" s="115"/>
      <c r="B347" s="207">
        <v>7</v>
      </c>
      <c r="C347" s="18" t="s">
        <v>30</v>
      </c>
      <c r="D347" s="19">
        <v>72.540000000000006</v>
      </c>
      <c r="E347" s="21">
        <v>1</v>
      </c>
      <c r="F347" s="117">
        <f t="shared" si="262"/>
        <v>11098.62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v>0</v>
      </c>
      <c r="M347" s="35">
        <v>0</v>
      </c>
      <c r="N347" s="35">
        <f t="shared" si="263"/>
        <v>2248.7400000000002</v>
      </c>
      <c r="O347" s="35">
        <f t="shared" si="264"/>
        <v>2176.2000000000003</v>
      </c>
      <c r="P347" s="35">
        <f t="shared" si="265"/>
        <v>2248.7400000000002</v>
      </c>
      <c r="Q347" s="35">
        <f t="shared" si="266"/>
        <v>2176.2000000000003</v>
      </c>
      <c r="R347" s="119">
        <f t="shared" si="267"/>
        <v>2248.7400000000002</v>
      </c>
      <c r="S347" s="120">
        <f t="shared" si="268"/>
        <v>153</v>
      </c>
    </row>
    <row r="348" spans="1:20" s="5" customFormat="1" x14ac:dyDescent="0.25">
      <c r="A348" s="115"/>
      <c r="B348" s="116">
        <v>8</v>
      </c>
      <c r="C348" s="18" t="s">
        <v>68</v>
      </c>
      <c r="D348" s="19">
        <v>71.400000000000006</v>
      </c>
      <c r="E348" s="21">
        <v>4</v>
      </c>
      <c r="F348" s="117">
        <f t="shared" si="262"/>
        <v>43696.800000000003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  <c r="M348" s="35">
        <v>0</v>
      </c>
      <c r="N348" s="35">
        <f t="shared" si="263"/>
        <v>8853.6</v>
      </c>
      <c r="O348" s="35">
        <f t="shared" si="264"/>
        <v>8568</v>
      </c>
      <c r="P348" s="35">
        <f t="shared" si="265"/>
        <v>8853.6</v>
      </c>
      <c r="Q348" s="35">
        <f t="shared" si="266"/>
        <v>8568</v>
      </c>
      <c r="R348" s="119">
        <f t="shared" si="267"/>
        <v>8853.6</v>
      </c>
      <c r="S348" s="120">
        <f t="shared" si="268"/>
        <v>153</v>
      </c>
    </row>
    <row r="349" spans="1:20" s="5" customFormat="1" ht="14.25" customHeight="1" x14ac:dyDescent="0.25">
      <c r="A349" s="115"/>
      <c r="B349" s="116">
        <v>9</v>
      </c>
      <c r="C349" s="18" t="s">
        <v>36</v>
      </c>
      <c r="D349" s="19">
        <v>80.86</v>
      </c>
      <c r="E349" s="21">
        <v>1</v>
      </c>
      <c r="F349" s="117">
        <f>+E349*S349*D349</f>
        <v>12371.58</v>
      </c>
      <c r="G349" s="35">
        <v>0</v>
      </c>
      <c r="H349" s="35">
        <v>0</v>
      </c>
      <c r="I349" s="35">
        <v>0</v>
      </c>
      <c r="J349" s="35">
        <v>0</v>
      </c>
      <c r="K349" s="35">
        <v>0</v>
      </c>
      <c r="L349" s="35">
        <v>0</v>
      </c>
      <c r="M349" s="35">
        <v>0</v>
      </c>
      <c r="N349" s="35">
        <f t="shared" si="263"/>
        <v>2506.66</v>
      </c>
      <c r="O349" s="35">
        <f t="shared" si="264"/>
        <v>2425.8000000000002</v>
      </c>
      <c r="P349" s="35">
        <f t="shared" si="265"/>
        <v>2506.66</v>
      </c>
      <c r="Q349" s="35">
        <f t="shared" si="266"/>
        <v>2425.8000000000002</v>
      </c>
      <c r="R349" s="119">
        <f t="shared" si="267"/>
        <v>2506.66</v>
      </c>
      <c r="S349" s="120">
        <f t="shared" si="268"/>
        <v>153</v>
      </c>
    </row>
    <row r="350" spans="1:20" ht="15" customHeight="1" thickBot="1" x14ac:dyDescent="0.3">
      <c r="A350" s="46"/>
      <c r="B350" s="176"/>
      <c r="C350" s="291" t="s">
        <v>123</v>
      </c>
      <c r="D350" s="177"/>
      <c r="E350" s="178"/>
      <c r="F350" s="179">
        <f>741393-SUM(F326:F349)+147569</f>
        <v>66315.539999999921</v>
      </c>
      <c r="G350" s="308"/>
      <c r="H350" s="181"/>
      <c r="I350" s="308"/>
      <c r="J350" s="180"/>
      <c r="K350" s="182"/>
      <c r="L350" s="182"/>
      <c r="M350" s="182"/>
      <c r="N350" s="182"/>
      <c r="O350" s="182"/>
      <c r="P350" s="182"/>
      <c r="Q350" s="182"/>
      <c r="R350" s="186">
        <f>F350</f>
        <v>66315.539999999921</v>
      </c>
      <c r="T350" s="16"/>
    </row>
    <row r="351" spans="1:20" ht="26.25" customHeight="1" x14ac:dyDescent="0.25">
      <c r="A351" s="46"/>
      <c r="B351" s="309"/>
      <c r="C351" s="598" t="s">
        <v>80</v>
      </c>
      <c r="D351" s="599"/>
      <c r="E351" s="292"/>
      <c r="F351" s="293"/>
      <c r="G351" s="295"/>
      <c r="H351" s="295"/>
      <c r="I351" s="294"/>
      <c r="J351" s="294"/>
      <c r="K351" s="294"/>
      <c r="L351" s="294"/>
      <c r="M351" s="294"/>
      <c r="N351" s="294"/>
      <c r="O351" s="294"/>
      <c r="P351" s="294"/>
      <c r="Q351" s="294"/>
      <c r="R351" s="296"/>
      <c r="T351" s="16"/>
    </row>
    <row r="352" spans="1:20" ht="26.25" customHeight="1" x14ac:dyDescent="0.25">
      <c r="A352" s="46"/>
      <c r="B352" s="48"/>
      <c r="C352" s="600" t="s">
        <v>138</v>
      </c>
      <c r="D352" s="601"/>
      <c r="E352" s="310">
        <f>SUM(E354:E354)</f>
        <v>0</v>
      </c>
      <c r="F352" s="311">
        <f>SUM(F354:F355)</f>
        <v>0</v>
      </c>
      <c r="G352" s="312">
        <f t="shared" ref="G352:Q352" si="269">SUM(G354:G354)</f>
        <v>0</v>
      </c>
      <c r="H352" s="312">
        <f t="shared" si="269"/>
        <v>0</v>
      </c>
      <c r="I352" s="312">
        <f t="shared" si="269"/>
        <v>0</v>
      </c>
      <c r="J352" s="312">
        <f t="shared" si="269"/>
        <v>0</v>
      </c>
      <c r="K352" s="312">
        <f t="shared" si="269"/>
        <v>0</v>
      </c>
      <c r="L352" s="312">
        <f t="shared" si="269"/>
        <v>0</v>
      </c>
      <c r="M352" s="312">
        <f t="shared" si="269"/>
        <v>0</v>
      </c>
      <c r="N352" s="312">
        <f t="shared" si="269"/>
        <v>0</v>
      </c>
      <c r="O352" s="312">
        <f t="shared" si="269"/>
        <v>0</v>
      </c>
      <c r="P352" s="312">
        <f t="shared" si="269"/>
        <v>0</v>
      </c>
      <c r="Q352" s="312">
        <f t="shared" si="269"/>
        <v>0</v>
      </c>
      <c r="R352" s="313">
        <f>SUM(R354:R355)</f>
        <v>0</v>
      </c>
      <c r="S352" s="16">
        <f>F352-SUM(G352:R352)</f>
        <v>0</v>
      </c>
      <c r="T352" s="16"/>
    </row>
    <row r="353" spans="1:20" ht="15" customHeight="1" x14ac:dyDescent="0.25">
      <c r="A353" s="46"/>
      <c r="B353" s="192"/>
      <c r="C353" s="314"/>
      <c r="D353" s="314"/>
      <c r="E353" s="315"/>
      <c r="F353" s="311">
        <f>SUM(F354:F354)</f>
        <v>0</v>
      </c>
      <c r="G353" s="316"/>
      <c r="H353" s="316"/>
      <c r="I353" s="316"/>
      <c r="J353" s="316"/>
      <c r="K353" s="316"/>
      <c r="L353" s="316"/>
      <c r="M353" s="316"/>
      <c r="N353" s="316"/>
      <c r="O353" s="316"/>
      <c r="P353" s="316"/>
      <c r="Q353" s="316"/>
      <c r="R353" s="317"/>
      <c r="T353" s="16"/>
    </row>
    <row r="354" spans="1:20" ht="15" customHeight="1" x14ac:dyDescent="0.25">
      <c r="A354" s="46"/>
      <c r="B354" s="116"/>
      <c r="C354" s="18"/>
      <c r="D354" s="19"/>
      <c r="E354" s="21">
        <v>0</v>
      </c>
      <c r="F354" s="117">
        <f>+E354*S354*D354</f>
        <v>0</v>
      </c>
      <c r="G354" s="35">
        <f t="shared" ref="G354" si="270">E354*D354*31</f>
        <v>0</v>
      </c>
      <c r="H354" s="118">
        <f t="shared" ref="H354" si="271">E354*D354*28</f>
        <v>0</v>
      </c>
      <c r="I354" s="35">
        <f t="shared" ref="I354" si="272">E354*D354*31</f>
        <v>0</v>
      </c>
      <c r="J354" s="35">
        <f t="shared" ref="J354" si="273">E354*D354*30</f>
        <v>0</v>
      </c>
      <c r="K354" s="35">
        <f t="shared" ref="K354" si="274">E354*D354*31</f>
        <v>0</v>
      </c>
      <c r="L354" s="35">
        <f t="shared" ref="L354" si="275">E354*D354*30</f>
        <v>0</v>
      </c>
      <c r="M354" s="35">
        <f t="shared" ref="M354" si="276">E354*D354*31</f>
        <v>0</v>
      </c>
      <c r="N354" s="35">
        <v>0</v>
      </c>
      <c r="O354" s="35">
        <v>0</v>
      </c>
      <c r="P354" s="35">
        <v>0</v>
      </c>
      <c r="Q354" s="35">
        <v>0</v>
      </c>
      <c r="R354" s="119">
        <v>0</v>
      </c>
      <c r="T354" s="16"/>
    </row>
    <row r="355" spans="1:20" ht="15" customHeight="1" thickBot="1" x14ac:dyDescent="0.3">
      <c r="A355" s="46"/>
      <c r="B355" s="176"/>
      <c r="C355" s="291" t="s">
        <v>123</v>
      </c>
      <c r="D355" s="177"/>
      <c r="E355" s="178"/>
      <c r="F355" s="179">
        <f>SUM(F354:F354)</f>
        <v>0</v>
      </c>
      <c r="G355" s="180"/>
      <c r="H355" s="181"/>
      <c r="I355" s="182"/>
      <c r="J355" s="182"/>
      <c r="K355" s="182"/>
      <c r="L355" s="182"/>
      <c r="M355" s="182"/>
      <c r="N355" s="182"/>
      <c r="O355" s="182"/>
      <c r="P355" s="182"/>
      <c r="Q355" s="182"/>
      <c r="R355" s="186">
        <f>F355</f>
        <v>0</v>
      </c>
      <c r="T355" s="16"/>
    </row>
    <row r="356" spans="1:20" ht="30.75" customHeight="1" x14ac:dyDescent="0.25">
      <c r="A356" s="46"/>
      <c r="B356" s="260"/>
      <c r="C356" s="598" t="s">
        <v>69</v>
      </c>
      <c r="D356" s="599"/>
      <c r="E356" s="292"/>
      <c r="F356" s="293"/>
      <c r="G356" s="294"/>
      <c r="H356" s="295"/>
      <c r="I356" s="294"/>
      <c r="J356" s="294"/>
      <c r="K356" s="294"/>
      <c r="L356" s="294"/>
      <c r="M356" s="294"/>
      <c r="N356" s="294"/>
      <c r="O356" s="294"/>
      <c r="P356" s="294"/>
      <c r="Q356" s="294"/>
      <c r="R356" s="296"/>
    </row>
    <row r="357" spans="1:20" ht="29.25" customHeight="1" x14ac:dyDescent="0.25">
      <c r="A357" s="46"/>
      <c r="B357" s="150"/>
      <c r="C357" s="592" t="s">
        <v>139</v>
      </c>
      <c r="D357" s="592"/>
      <c r="E357" s="297">
        <f>SUM(E360:E425)</f>
        <v>247</v>
      </c>
      <c r="F357" s="152">
        <f>SUM(F360:F426)</f>
        <v>3142404</v>
      </c>
      <c r="G357" s="153">
        <f t="shared" ref="G357:Q357" si="277">SUM(G360:G425)</f>
        <v>246897.32999999993</v>
      </c>
      <c r="H357" s="153">
        <f t="shared" si="277"/>
        <v>233364.60000000003</v>
      </c>
      <c r="I357" s="153">
        <f t="shared" si="277"/>
        <v>254252.24999999991</v>
      </c>
      <c r="J357" s="153">
        <f t="shared" si="277"/>
        <v>246147.30000000008</v>
      </c>
      <c r="K357" s="153">
        <f t="shared" si="277"/>
        <v>279877.40999999992</v>
      </c>
      <c r="L357" s="153">
        <f t="shared" si="277"/>
        <v>257989.14000000007</v>
      </c>
      <c r="M357" s="153">
        <f t="shared" si="277"/>
        <v>262426.46999999997</v>
      </c>
      <c r="N357" s="153">
        <f t="shared" si="277"/>
        <v>244985.48999999993</v>
      </c>
      <c r="O357" s="153">
        <f t="shared" si="277"/>
        <v>238867.20000000004</v>
      </c>
      <c r="P357" s="153">
        <f t="shared" si="277"/>
        <v>217913.87999999995</v>
      </c>
      <c r="Q357" s="153">
        <f t="shared" si="277"/>
        <v>210884.40000000005</v>
      </c>
      <c r="R357" s="154">
        <f>SUM(R360:R426)</f>
        <v>448798.52999999939</v>
      </c>
      <c r="S357" s="16">
        <f>F357-SUM(G357:R357)</f>
        <v>0</v>
      </c>
    </row>
    <row r="358" spans="1:20" x14ac:dyDescent="0.25">
      <c r="A358" s="46"/>
      <c r="B358" s="318"/>
      <c r="C358" s="319"/>
      <c r="D358" s="320"/>
      <c r="E358" s="297"/>
      <c r="F358" s="152">
        <f>SUM(F360:F425)</f>
        <v>2911519.3500000006</v>
      </c>
      <c r="G358" s="153"/>
      <c r="H358" s="153"/>
      <c r="I358" s="153"/>
      <c r="J358" s="153"/>
      <c r="K358" s="153"/>
      <c r="L358" s="153"/>
      <c r="M358" s="153"/>
      <c r="N358" s="312"/>
      <c r="O358" s="321"/>
      <c r="P358" s="312"/>
      <c r="Q358" s="312"/>
      <c r="R358" s="154"/>
    </row>
    <row r="359" spans="1:20" x14ac:dyDescent="0.25">
      <c r="A359" s="46"/>
      <c r="B359" s="121"/>
      <c r="C359" s="110"/>
      <c r="D359" s="303"/>
      <c r="E359" s="303" t="s">
        <v>122</v>
      </c>
      <c r="F359" s="304">
        <v>0</v>
      </c>
      <c r="G359" s="265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307"/>
    </row>
    <row r="360" spans="1:20" s="5" customFormat="1" x14ac:dyDescent="0.25">
      <c r="A360" s="115"/>
      <c r="B360" s="207">
        <v>1</v>
      </c>
      <c r="C360" s="322" t="s">
        <v>43</v>
      </c>
      <c r="D360" s="245">
        <v>72.540000000000006</v>
      </c>
      <c r="E360" s="22">
        <v>30</v>
      </c>
      <c r="F360" s="247">
        <f t="shared" ref="F360:F424" si="278">+E360*S360*D360</f>
        <v>461354.4</v>
      </c>
      <c r="G360" s="35">
        <f>E360*D360*31</f>
        <v>67462.200000000012</v>
      </c>
      <c r="H360" s="118">
        <f>E360*D360*28</f>
        <v>60933.600000000006</v>
      </c>
      <c r="I360" s="35">
        <f t="shared" ref="I360:I389" si="279">E360*D360*31</f>
        <v>67462.200000000012</v>
      </c>
      <c r="J360" s="35">
        <f t="shared" ref="J360:J383" si="280">E360*D360*30</f>
        <v>65286.000000000007</v>
      </c>
      <c r="K360" s="35">
        <f t="shared" ref="K360:K383" si="281">E360*D360*31</f>
        <v>67462.200000000012</v>
      </c>
      <c r="L360" s="35">
        <f t="shared" ref="L360:L383" si="282">E360*D360*30</f>
        <v>65286.000000000007</v>
      </c>
      <c r="M360" s="35">
        <f t="shared" ref="M360:M383" si="283">E360*D360*31</f>
        <v>67462.200000000012</v>
      </c>
      <c r="N360" s="35">
        <v>0</v>
      </c>
      <c r="O360" s="35">
        <v>0</v>
      </c>
      <c r="P360" s="35">
        <v>0</v>
      </c>
      <c r="Q360" s="35">
        <v>0</v>
      </c>
      <c r="R360" s="119">
        <v>0</v>
      </c>
      <c r="S360" s="120">
        <v>212</v>
      </c>
    </row>
    <row r="361" spans="1:20" s="5" customFormat="1" x14ac:dyDescent="0.25">
      <c r="A361" s="115"/>
      <c r="B361" s="207">
        <v>1</v>
      </c>
      <c r="C361" s="322" t="s">
        <v>43</v>
      </c>
      <c r="D361" s="245">
        <v>72.540000000000006</v>
      </c>
      <c r="E361" s="22">
        <v>1</v>
      </c>
      <c r="F361" s="247">
        <f t="shared" si="278"/>
        <v>2248.7400000000002</v>
      </c>
      <c r="G361" s="35">
        <f>E361*D361*31</f>
        <v>2248.7400000000002</v>
      </c>
      <c r="H361" s="118">
        <v>0</v>
      </c>
      <c r="I361" s="35">
        <v>0</v>
      </c>
      <c r="J361" s="35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119">
        <v>0</v>
      </c>
      <c r="S361" s="120">
        <f>31</f>
        <v>31</v>
      </c>
    </row>
    <row r="362" spans="1:20" s="5" customFormat="1" x14ac:dyDescent="0.25">
      <c r="A362" s="115"/>
      <c r="B362" s="207">
        <v>1</v>
      </c>
      <c r="C362" s="322" t="s">
        <v>43</v>
      </c>
      <c r="D362" s="245">
        <v>72.540000000000006</v>
      </c>
      <c r="E362" s="22">
        <v>1</v>
      </c>
      <c r="F362" s="247">
        <f t="shared" si="278"/>
        <v>2248.7400000000002</v>
      </c>
      <c r="G362" s="35">
        <f>E362*D362*31</f>
        <v>2248.7400000000002</v>
      </c>
      <c r="H362" s="118">
        <v>0</v>
      </c>
      <c r="I362" s="35">
        <v>0</v>
      </c>
      <c r="J362" s="35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119">
        <v>0</v>
      </c>
      <c r="S362" s="120">
        <v>31</v>
      </c>
    </row>
    <row r="363" spans="1:20" s="5" customFormat="1" x14ac:dyDescent="0.25">
      <c r="A363" s="115"/>
      <c r="B363" s="207">
        <v>1</v>
      </c>
      <c r="C363" s="322" t="s">
        <v>43</v>
      </c>
      <c r="D363" s="245">
        <v>72.540000000000006</v>
      </c>
      <c r="E363" s="22">
        <v>2</v>
      </c>
      <c r="F363" s="247">
        <f t="shared" si="278"/>
        <v>0</v>
      </c>
      <c r="G363" s="35">
        <v>0</v>
      </c>
      <c r="H363" s="118">
        <v>0</v>
      </c>
      <c r="I363" s="35">
        <v>0</v>
      </c>
      <c r="J363" s="35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119">
        <v>0</v>
      </c>
      <c r="S363" s="120">
        <v>0</v>
      </c>
    </row>
    <row r="364" spans="1:20" s="5" customFormat="1" x14ac:dyDescent="0.25">
      <c r="A364" s="115"/>
      <c r="B364" s="116">
        <v>2</v>
      </c>
      <c r="C364" s="323" t="s">
        <v>70</v>
      </c>
      <c r="D364" s="19">
        <v>73.59</v>
      </c>
      <c r="E364" s="21">
        <v>2</v>
      </c>
      <c r="F364" s="117">
        <f t="shared" si="278"/>
        <v>31202.16</v>
      </c>
      <c r="G364" s="35">
        <f t="shared" ref="G364:G383" si="284">E364*D364*31</f>
        <v>4562.58</v>
      </c>
      <c r="H364" s="118">
        <f t="shared" ref="H364:H383" si="285">E364*D364*28</f>
        <v>4121.04</v>
      </c>
      <c r="I364" s="35">
        <f t="shared" si="279"/>
        <v>4562.58</v>
      </c>
      <c r="J364" s="35">
        <f t="shared" si="280"/>
        <v>4415.4000000000005</v>
      </c>
      <c r="K364" s="35">
        <f t="shared" si="281"/>
        <v>4562.58</v>
      </c>
      <c r="L364" s="35">
        <f t="shared" si="282"/>
        <v>4415.4000000000005</v>
      </c>
      <c r="M364" s="35">
        <f t="shared" si="283"/>
        <v>4562.58</v>
      </c>
      <c r="N364" s="35">
        <v>0</v>
      </c>
      <c r="O364" s="35">
        <v>0</v>
      </c>
      <c r="P364" s="35">
        <v>0</v>
      </c>
      <c r="Q364" s="35">
        <v>0</v>
      </c>
      <c r="R364" s="119">
        <v>0</v>
      </c>
      <c r="S364" s="120">
        <v>212</v>
      </c>
    </row>
    <row r="365" spans="1:20" s="5" customFormat="1" x14ac:dyDescent="0.25">
      <c r="A365" s="115"/>
      <c r="B365" s="116">
        <v>3</v>
      </c>
      <c r="C365" s="323" t="s">
        <v>71</v>
      </c>
      <c r="D365" s="19">
        <v>71.400000000000006</v>
      </c>
      <c r="E365" s="21">
        <v>28</v>
      </c>
      <c r="F365" s="117">
        <f t="shared" si="278"/>
        <v>423830.4</v>
      </c>
      <c r="G365" s="35">
        <f t="shared" si="284"/>
        <v>61975.200000000012</v>
      </c>
      <c r="H365" s="118">
        <f t="shared" si="285"/>
        <v>55977.600000000006</v>
      </c>
      <c r="I365" s="35">
        <f t="shared" si="279"/>
        <v>61975.200000000012</v>
      </c>
      <c r="J365" s="35">
        <f t="shared" si="280"/>
        <v>59976.000000000007</v>
      </c>
      <c r="K365" s="35">
        <f t="shared" si="281"/>
        <v>61975.200000000012</v>
      </c>
      <c r="L365" s="35">
        <f t="shared" si="282"/>
        <v>59976.000000000007</v>
      </c>
      <c r="M365" s="35">
        <f t="shared" si="283"/>
        <v>61975.200000000012</v>
      </c>
      <c r="N365" s="35">
        <v>0</v>
      </c>
      <c r="O365" s="35">
        <v>0</v>
      </c>
      <c r="P365" s="35">
        <v>0</v>
      </c>
      <c r="Q365" s="35">
        <v>0</v>
      </c>
      <c r="R365" s="119">
        <v>0</v>
      </c>
      <c r="S365" s="120">
        <v>212</v>
      </c>
    </row>
    <row r="366" spans="1:20" s="5" customFormat="1" x14ac:dyDescent="0.25">
      <c r="A366" s="115"/>
      <c r="B366" s="116">
        <v>3</v>
      </c>
      <c r="C366" s="323" t="s">
        <v>71</v>
      </c>
      <c r="D366" s="19">
        <v>71.400000000000006</v>
      </c>
      <c r="E366" s="21">
        <v>1</v>
      </c>
      <c r="F366" s="117">
        <f t="shared" si="278"/>
        <v>0</v>
      </c>
      <c r="G366" s="35">
        <v>0</v>
      </c>
      <c r="H366" s="118">
        <v>0</v>
      </c>
      <c r="I366" s="35">
        <v>0</v>
      </c>
      <c r="J366" s="35">
        <v>0</v>
      </c>
      <c r="K366" s="35">
        <v>0</v>
      </c>
      <c r="L366" s="35">
        <v>0</v>
      </c>
      <c r="M366" s="35">
        <v>0</v>
      </c>
      <c r="N366" s="35">
        <v>0</v>
      </c>
      <c r="O366" s="35">
        <v>0</v>
      </c>
      <c r="P366" s="35">
        <v>0</v>
      </c>
      <c r="Q366" s="35">
        <v>0</v>
      </c>
      <c r="R366" s="119">
        <v>0</v>
      </c>
      <c r="S366" s="120">
        <v>0</v>
      </c>
    </row>
    <row r="367" spans="1:20" s="5" customFormat="1" x14ac:dyDescent="0.25">
      <c r="A367" s="115"/>
      <c r="B367" s="207">
        <v>4</v>
      </c>
      <c r="C367" s="324" t="s">
        <v>47</v>
      </c>
      <c r="D367" s="19">
        <v>71.400000000000006</v>
      </c>
      <c r="E367" s="21">
        <v>2</v>
      </c>
      <c r="F367" s="117">
        <f t="shared" si="278"/>
        <v>30273.600000000002</v>
      </c>
      <c r="G367" s="35">
        <f>E367*D367*31</f>
        <v>4426.8</v>
      </c>
      <c r="H367" s="118">
        <f>E367*D367*28</f>
        <v>3998.4000000000005</v>
      </c>
      <c r="I367" s="35">
        <f>E367*D367*31</f>
        <v>4426.8</v>
      </c>
      <c r="J367" s="35">
        <f>E367*D367*30</f>
        <v>4284</v>
      </c>
      <c r="K367" s="35">
        <f>E367*D367*31</f>
        <v>4426.8</v>
      </c>
      <c r="L367" s="35">
        <f>E367*D367*30</f>
        <v>4284</v>
      </c>
      <c r="M367" s="35">
        <f>E367*D367*31</f>
        <v>4426.8</v>
      </c>
      <c r="N367" s="35">
        <v>0</v>
      </c>
      <c r="O367" s="35">
        <v>0</v>
      </c>
      <c r="P367" s="35">
        <v>0</v>
      </c>
      <c r="Q367" s="35">
        <v>0</v>
      </c>
      <c r="R367" s="119">
        <v>0</v>
      </c>
      <c r="S367" s="120">
        <v>212</v>
      </c>
    </row>
    <row r="368" spans="1:20" s="5" customFormat="1" x14ac:dyDescent="0.25">
      <c r="A368" s="115"/>
      <c r="B368" s="116">
        <v>5</v>
      </c>
      <c r="C368" s="323" t="s">
        <v>72</v>
      </c>
      <c r="D368" s="19">
        <v>71.400000000000006</v>
      </c>
      <c r="E368" s="21">
        <v>1</v>
      </c>
      <c r="F368" s="117">
        <f t="shared" si="278"/>
        <v>15136.800000000001</v>
      </c>
      <c r="G368" s="35">
        <f t="shared" si="284"/>
        <v>2213.4</v>
      </c>
      <c r="H368" s="118">
        <f t="shared" si="285"/>
        <v>1999.2000000000003</v>
      </c>
      <c r="I368" s="35">
        <f t="shared" si="279"/>
        <v>2213.4</v>
      </c>
      <c r="J368" s="35">
        <f t="shared" si="280"/>
        <v>2142</v>
      </c>
      <c r="K368" s="35">
        <f t="shared" si="281"/>
        <v>2213.4</v>
      </c>
      <c r="L368" s="35">
        <f t="shared" si="282"/>
        <v>2142</v>
      </c>
      <c r="M368" s="35">
        <f t="shared" si="283"/>
        <v>2213.4</v>
      </c>
      <c r="N368" s="35">
        <v>0</v>
      </c>
      <c r="O368" s="35">
        <v>0</v>
      </c>
      <c r="P368" s="35">
        <v>0</v>
      </c>
      <c r="Q368" s="35">
        <v>0</v>
      </c>
      <c r="R368" s="119">
        <v>0</v>
      </c>
      <c r="S368" s="120">
        <v>212</v>
      </c>
    </row>
    <row r="369" spans="1:19" s="5" customFormat="1" x14ac:dyDescent="0.25">
      <c r="A369" s="115"/>
      <c r="B369" s="116">
        <v>6</v>
      </c>
      <c r="C369" s="323" t="s">
        <v>73</v>
      </c>
      <c r="D369" s="19">
        <v>71.400000000000006</v>
      </c>
      <c r="E369" s="21">
        <v>1</v>
      </c>
      <c r="F369" s="117">
        <f t="shared" si="278"/>
        <v>15136.800000000001</v>
      </c>
      <c r="G369" s="35">
        <f t="shared" si="284"/>
        <v>2213.4</v>
      </c>
      <c r="H369" s="118">
        <f t="shared" si="285"/>
        <v>1999.2000000000003</v>
      </c>
      <c r="I369" s="35">
        <f t="shared" si="279"/>
        <v>2213.4</v>
      </c>
      <c r="J369" s="35">
        <f t="shared" si="280"/>
        <v>2142</v>
      </c>
      <c r="K369" s="35">
        <f t="shared" si="281"/>
        <v>2213.4</v>
      </c>
      <c r="L369" s="35">
        <f t="shared" si="282"/>
        <v>2142</v>
      </c>
      <c r="M369" s="35">
        <f t="shared" si="283"/>
        <v>2213.4</v>
      </c>
      <c r="N369" s="35">
        <v>0</v>
      </c>
      <c r="O369" s="35">
        <v>0</v>
      </c>
      <c r="P369" s="35">
        <v>0</v>
      </c>
      <c r="Q369" s="35">
        <v>0</v>
      </c>
      <c r="R369" s="119">
        <v>0</v>
      </c>
      <c r="S369" s="120">
        <v>212</v>
      </c>
    </row>
    <row r="370" spans="1:19" s="5" customFormat="1" x14ac:dyDescent="0.25">
      <c r="A370" s="115"/>
      <c r="B370" s="207">
        <v>7</v>
      </c>
      <c r="C370" s="323" t="s">
        <v>34</v>
      </c>
      <c r="D370" s="19">
        <v>71.400000000000006</v>
      </c>
      <c r="E370" s="21">
        <v>7</v>
      </c>
      <c r="F370" s="117">
        <f t="shared" si="278"/>
        <v>105957.6</v>
      </c>
      <c r="G370" s="35">
        <f t="shared" si="284"/>
        <v>15493.800000000003</v>
      </c>
      <c r="H370" s="118">
        <f t="shared" si="285"/>
        <v>13994.400000000001</v>
      </c>
      <c r="I370" s="35">
        <f t="shared" si="279"/>
        <v>15493.800000000003</v>
      </c>
      <c r="J370" s="35">
        <f t="shared" si="280"/>
        <v>14994.000000000002</v>
      </c>
      <c r="K370" s="35">
        <f t="shared" si="281"/>
        <v>15493.800000000003</v>
      </c>
      <c r="L370" s="35">
        <f t="shared" si="282"/>
        <v>14994.000000000002</v>
      </c>
      <c r="M370" s="35">
        <f t="shared" si="283"/>
        <v>15493.800000000003</v>
      </c>
      <c r="N370" s="35">
        <v>0</v>
      </c>
      <c r="O370" s="35">
        <v>0</v>
      </c>
      <c r="P370" s="35">
        <v>0</v>
      </c>
      <c r="Q370" s="35">
        <v>0</v>
      </c>
      <c r="R370" s="119">
        <v>0</v>
      </c>
      <c r="S370" s="120">
        <v>212</v>
      </c>
    </row>
    <row r="371" spans="1:19" s="5" customFormat="1" x14ac:dyDescent="0.25">
      <c r="A371" s="115"/>
      <c r="B371" s="207">
        <v>19</v>
      </c>
      <c r="C371" s="323" t="s">
        <v>34</v>
      </c>
      <c r="D371" s="19">
        <v>71.400000000000006</v>
      </c>
      <c r="E371" s="21">
        <v>1</v>
      </c>
      <c r="F371" s="117">
        <f t="shared" si="278"/>
        <v>12923.400000000001</v>
      </c>
      <c r="G371" s="35">
        <f t="shared" si="284"/>
        <v>2213.4</v>
      </c>
      <c r="H371" s="118">
        <f t="shared" si="285"/>
        <v>1999.2000000000003</v>
      </c>
      <c r="I371" s="35">
        <f t="shared" si="279"/>
        <v>2213.4</v>
      </c>
      <c r="J371" s="35">
        <f t="shared" si="280"/>
        <v>2142</v>
      </c>
      <c r="K371" s="35">
        <f t="shared" si="281"/>
        <v>2213.4</v>
      </c>
      <c r="L371" s="35">
        <f t="shared" si="282"/>
        <v>2142</v>
      </c>
      <c r="M371" s="35">
        <v>0</v>
      </c>
      <c r="N371" s="35">
        <v>0</v>
      </c>
      <c r="O371" s="35">
        <v>0</v>
      </c>
      <c r="P371" s="35">
        <v>0</v>
      </c>
      <c r="Q371" s="35">
        <v>0</v>
      </c>
      <c r="R371" s="119">
        <v>0</v>
      </c>
      <c r="S371" s="120">
        <f>212-31</f>
        <v>181</v>
      </c>
    </row>
    <row r="372" spans="1:19" s="5" customFormat="1" x14ac:dyDescent="0.25">
      <c r="A372" s="115"/>
      <c r="B372" s="207">
        <v>7</v>
      </c>
      <c r="C372" s="323" t="s">
        <v>34</v>
      </c>
      <c r="D372" s="19">
        <v>71.400000000000006</v>
      </c>
      <c r="E372" s="21">
        <v>1</v>
      </c>
      <c r="F372" s="117">
        <f t="shared" si="278"/>
        <v>3284.4</v>
      </c>
      <c r="G372" s="35">
        <f t="shared" si="284"/>
        <v>2213.4</v>
      </c>
      <c r="H372" s="118">
        <v>0</v>
      </c>
      <c r="I372" s="35">
        <f>E372*D372*15</f>
        <v>1071</v>
      </c>
      <c r="J372" s="35">
        <v>0</v>
      </c>
      <c r="K372" s="35">
        <v>0</v>
      </c>
      <c r="L372" s="35">
        <v>0</v>
      </c>
      <c r="M372" s="35">
        <v>0</v>
      </c>
      <c r="N372" s="35">
        <v>0</v>
      </c>
      <c r="O372" s="35">
        <v>0</v>
      </c>
      <c r="P372" s="35">
        <v>0</v>
      </c>
      <c r="Q372" s="35">
        <v>0</v>
      </c>
      <c r="R372" s="119">
        <v>0</v>
      </c>
      <c r="S372" s="120">
        <f>31+15</f>
        <v>46</v>
      </c>
    </row>
    <row r="373" spans="1:19" s="5" customFormat="1" x14ac:dyDescent="0.25">
      <c r="A373" s="115"/>
      <c r="B373" s="116">
        <v>8</v>
      </c>
      <c r="C373" s="323" t="s">
        <v>51</v>
      </c>
      <c r="D373" s="19">
        <v>72.540000000000006</v>
      </c>
      <c r="E373" s="21">
        <v>3</v>
      </c>
      <c r="F373" s="117">
        <f t="shared" si="278"/>
        <v>46135.44</v>
      </c>
      <c r="G373" s="35">
        <f t="shared" si="284"/>
        <v>6746.22</v>
      </c>
      <c r="H373" s="118">
        <f t="shared" si="285"/>
        <v>6093.3600000000006</v>
      </c>
      <c r="I373" s="35">
        <f t="shared" si="279"/>
        <v>6746.22</v>
      </c>
      <c r="J373" s="35">
        <f t="shared" si="280"/>
        <v>6528.6</v>
      </c>
      <c r="K373" s="35">
        <f t="shared" si="281"/>
        <v>6746.22</v>
      </c>
      <c r="L373" s="35">
        <f t="shared" si="282"/>
        <v>6528.6</v>
      </c>
      <c r="M373" s="35">
        <f t="shared" si="283"/>
        <v>6746.22</v>
      </c>
      <c r="N373" s="35">
        <v>0</v>
      </c>
      <c r="O373" s="35">
        <v>0</v>
      </c>
      <c r="P373" s="35">
        <v>0</v>
      </c>
      <c r="Q373" s="35">
        <v>0</v>
      </c>
      <c r="R373" s="119">
        <v>0</v>
      </c>
      <c r="S373" s="120">
        <v>212</v>
      </c>
    </row>
    <row r="374" spans="1:19" s="5" customFormat="1" x14ac:dyDescent="0.25">
      <c r="A374" s="115"/>
      <c r="B374" s="116">
        <v>8</v>
      </c>
      <c r="C374" s="323" t="s">
        <v>51</v>
      </c>
      <c r="D374" s="19">
        <v>72.540000000000006</v>
      </c>
      <c r="E374" s="21">
        <v>1</v>
      </c>
      <c r="F374" s="117">
        <f t="shared" si="278"/>
        <v>12839.580000000002</v>
      </c>
      <c r="G374" s="35">
        <f t="shared" si="284"/>
        <v>2248.7400000000002</v>
      </c>
      <c r="H374" s="118">
        <f t="shared" si="285"/>
        <v>2031.1200000000001</v>
      </c>
      <c r="I374" s="35">
        <f t="shared" si="279"/>
        <v>2248.7400000000002</v>
      </c>
      <c r="J374" s="35">
        <f t="shared" si="280"/>
        <v>2176.2000000000003</v>
      </c>
      <c r="K374" s="35">
        <f t="shared" si="281"/>
        <v>2248.7400000000002</v>
      </c>
      <c r="L374" s="35">
        <f>E374*D374*26</f>
        <v>1886.0400000000002</v>
      </c>
      <c r="M374" s="35">
        <v>0</v>
      </c>
      <c r="N374" s="35">
        <v>0</v>
      </c>
      <c r="O374" s="35">
        <v>0</v>
      </c>
      <c r="P374" s="35">
        <v>0</v>
      </c>
      <c r="Q374" s="35">
        <v>0</v>
      </c>
      <c r="R374" s="119">
        <v>0</v>
      </c>
      <c r="S374" s="120">
        <f>31+28+31+30+31+26+31-31</f>
        <v>177</v>
      </c>
    </row>
    <row r="375" spans="1:19" s="5" customFormat="1" x14ac:dyDescent="0.25">
      <c r="A375" s="115"/>
      <c r="B375" s="116">
        <v>9</v>
      </c>
      <c r="C375" s="323" t="s">
        <v>60</v>
      </c>
      <c r="D375" s="19">
        <v>77.59</v>
      </c>
      <c r="E375" s="21">
        <v>1</v>
      </c>
      <c r="F375" s="117">
        <f t="shared" si="278"/>
        <v>16449.080000000002</v>
      </c>
      <c r="G375" s="35">
        <f t="shared" si="284"/>
        <v>2405.29</v>
      </c>
      <c r="H375" s="118">
        <f t="shared" si="285"/>
        <v>2172.52</v>
      </c>
      <c r="I375" s="35">
        <f t="shared" si="279"/>
        <v>2405.29</v>
      </c>
      <c r="J375" s="35">
        <f t="shared" si="280"/>
        <v>2327.7000000000003</v>
      </c>
      <c r="K375" s="35">
        <f t="shared" si="281"/>
        <v>2405.29</v>
      </c>
      <c r="L375" s="35">
        <f t="shared" si="282"/>
        <v>2327.7000000000003</v>
      </c>
      <c r="M375" s="35">
        <f t="shared" si="283"/>
        <v>2405.29</v>
      </c>
      <c r="N375" s="35">
        <v>0</v>
      </c>
      <c r="O375" s="35">
        <v>0</v>
      </c>
      <c r="P375" s="35">
        <v>0</v>
      </c>
      <c r="Q375" s="35">
        <v>0</v>
      </c>
      <c r="R375" s="119">
        <v>0</v>
      </c>
      <c r="S375" s="120">
        <v>212</v>
      </c>
    </row>
    <row r="376" spans="1:19" s="5" customFormat="1" x14ac:dyDescent="0.25">
      <c r="A376" s="115"/>
      <c r="B376" s="207">
        <v>10</v>
      </c>
      <c r="C376" s="323" t="s">
        <v>37</v>
      </c>
      <c r="D376" s="19">
        <v>71.400000000000006</v>
      </c>
      <c r="E376" s="21">
        <v>6</v>
      </c>
      <c r="F376" s="117">
        <f t="shared" si="278"/>
        <v>90820.800000000003</v>
      </c>
      <c r="G376" s="35">
        <f t="shared" si="284"/>
        <v>13280.400000000001</v>
      </c>
      <c r="H376" s="118">
        <f t="shared" si="285"/>
        <v>11995.2</v>
      </c>
      <c r="I376" s="35">
        <f t="shared" si="279"/>
        <v>13280.400000000001</v>
      </c>
      <c r="J376" s="35">
        <f t="shared" si="280"/>
        <v>12852.000000000002</v>
      </c>
      <c r="K376" s="35">
        <f t="shared" si="281"/>
        <v>13280.400000000001</v>
      </c>
      <c r="L376" s="35">
        <f t="shared" si="282"/>
        <v>12852.000000000002</v>
      </c>
      <c r="M376" s="35">
        <f t="shared" si="283"/>
        <v>13280.400000000001</v>
      </c>
      <c r="N376" s="35">
        <v>0</v>
      </c>
      <c r="O376" s="35">
        <v>0</v>
      </c>
      <c r="P376" s="35">
        <v>0</v>
      </c>
      <c r="Q376" s="35">
        <v>0</v>
      </c>
      <c r="R376" s="119">
        <v>0</v>
      </c>
      <c r="S376" s="120">
        <v>212</v>
      </c>
    </row>
    <row r="377" spans="1:19" s="5" customFormat="1" x14ac:dyDescent="0.25">
      <c r="A377" s="115"/>
      <c r="B377" s="207">
        <v>10</v>
      </c>
      <c r="C377" s="323" t="s">
        <v>37</v>
      </c>
      <c r="D377" s="19">
        <v>71.400000000000006</v>
      </c>
      <c r="E377" s="21">
        <v>1</v>
      </c>
      <c r="F377" s="117">
        <f t="shared" si="278"/>
        <v>13708.800000000001</v>
      </c>
      <c r="G377" s="35">
        <f t="shared" si="284"/>
        <v>2213.4</v>
      </c>
      <c r="H377" s="118">
        <v>0</v>
      </c>
      <c r="I377" s="35">
        <f>E377*D377*31-D377*4</f>
        <v>1927.8000000000002</v>
      </c>
      <c r="J377" s="35">
        <f>E377*D377*30+D377*E377*12</f>
        <v>2998.8</v>
      </c>
      <c r="K377" s="35">
        <f t="shared" si="281"/>
        <v>2213.4</v>
      </c>
      <c r="L377" s="35">
        <f t="shared" si="282"/>
        <v>2142</v>
      </c>
      <c r="M377" s="35">
        <f t="shared" si="283"/>
        <v>2213.4</v>
      </c>
      <c r="N377" s="35">
        <v>0</v>
      </c>
      <c r="O377" s="35">
        <v>0</v>
      </c>
      <c r="P377" s="35">
        <v>0</v>
      </c>
      <c r="Q377" s="35">
        <v>0</v>
      </c>
      <c r="R377" s="119">
        <v>0</v>
      </c>
      <c r="S377" s="120">
        <f>212-28-4+12</f>
        <v>192</v>
      </c>
    </row>
    <row r="378" spans="1:19" s="5" customFormat="1" x14ac:dyDescent="0.25">
      <c r="A378" s="115"/>
      <c r="B378" s="116">
        <v>11</v>
      </c>
      <c r="C378" s="323" t="s">
        <v>74</v>
      </c>
      <c r="D378" s="19">
        <v>73.59</v>
      </c>
      <c r="E378" s="21">
        <v>1</v>
      </c>
      <c r="F378" s="117">
        <f t="shared" si="278"/>
        <v>15601.08</v>
      </c>
      <c r="G378" s="35">
        <f>E378*D378*31</f>
        <v>2281.29</v>
      </c>
      <c r="H378" s="118">
        <f>E378*D378*28</f>
        <v>2060.52</v>
      </c>
      <c r="I378" s="35">
        <f>E378*D378*31</f>
        <v>2281.29</v>
      </c>
      <c r="J378" s="35">
        <f>E378*D378*30</f>
        <v>2207.7000000000003</v>
      </c>
      <c r="K378" s="35">
        <f>E378*D378*31</f>
        <v>2281.29</v>
      </c>
      <c r="L378" s="35">
        <f>E378*D378*30</f>
        <v>2207.7000000000003</v>
      </c>
      <c r="M378" s="35">
        <f>E378*D378*31</f>
        <v>2281.29</v>
      </c>
      <c r="N378" s="35">
        <v>0</v>
      </c>
      <c r="O378" s="35">
        <v>0</v>
      </c>
      <c r="P378" s="35">
        <v>0</v>
      </c>
      <c r="Q378" s="35">
        <v>0</v>
      </c>
      <c r="R378" s="119">
        <v>0</v>
      </c>
      <c r="S378" s="120">
        <v>212</v>
      </c>
    </row>
    <row r="379" spans="1:19" s="5" customFormat="1" ht="15.75" customHeight="1" x14ac:dyDescent="0.25">
      <c r="A379" s="115"/>
      <c r="B379" s="116">
        <v>12</v>
      </c>
      <c r="C379" s="323" t="s">
        <v>61</v>
      </c>
      <c r="D379" s="19">
        <v>75.64</v>
      </c>
      <c r="E379" s="23">
        <v>1</v>
      </c>
      <c r="F379" s="117">
        <f t="shared" si="278"/>
        <v>16035.68</v>
      </c>
      <c r="G379" s="35">
        <f>E379*D379*31</f>
        <v>2344.84</v>
      </c>
      <c r="H379" s="118">
        <f>E379*D379*28</f>
        <v>2117.92</v>
      </c>
      <c r="I379" s="35">
        <f>E379*D379*31</f>
        <v>2344.84</v>
      </c>
      <c r="J379" s="35">
        <f>E379*D379*30</f>
        <v>2269.1999999999998</v>
      </c>
      <c r="K379" s="35">
        <f>E379*D379*31</f>
        <v>2344.84</v>
      </c>
      <c r="L379" s="35">
        <f>E379*D379*30</f>
        <v>2269.1999999999998</v>
      </c>
      <c r="M379" s="35">
        <f>E379*D379*31</f>
        <v>2344.84</v>
      </c>
      <c r="N379" s="35">
        <v>0</v>
      </c>
      <c r="O379" s="35">
        <v>0</v>
      </c>
      <c r="P379" s="35">
        <v>0</v>
      </c>
      <c r="Q379" s="35">
        <v>0</v>
      </c>
      <c r="R379" s="119">
        <v>0</v>
      </c>
      <c r="S379" s="120">
        <v>212</v>
      </c>
    </row>
    <row r="380" spans="1:19" s="5" customFormat="1" x14ac:dyDescent="0.25">
      <c r="A380" s="115"/>
      <c r="B380" s="207">
        <v>13</v>
      </c>
      <c r="C380" s="323" t="s">
        <v>63</v>
      </c>
      <c r="D380" s="19">
        <v>71.400000000000006</v>
      </c>
      <c r="E380" s="21">
        <v>1</v>
      </c>
      <c r="F380" s="117">
        <f t="shared" si="278"/>
        <v>15136.800000000001</v>
      </c>
      <c r="G380" s="35">
        <f>E380*D380*31</f>
        <v>2213.4</v>
      </c>
      <c r="H380" s="118">
        <f>E380*D380*28</f>
        <v>1999.2000000000003</v>
      </c>
      <c r="I380" s="35">
        <f>E380*D380*31</f>
        <v>2213.4</v>
      </c>
      <c r="J380" s="35">
        <f>E380*D380*30</f>
        <v>2142</v>
      </c>
      <c r="K380" s="35">
        <f>E380*D380*31</f>
        <v>2213.4</v>
      </c>
      <c r="L380" s="35">
        <f>E380*D380*30</f>
        <v>2142</v>
      </c>
      <c r="M380" s="35">
        <f>E380*D380*31</f>
        <v>2213.4</v>
      </c>
      <c r="N380" s="35">
        <v>0</v>
      </c>
      <c r="O380" s="35">
        <v>0</v>
      </c>
      <c r="P380" s="35">
        <v>0</v>
      </c>
      <c r="Q380" s="35">
        <v>0</v>
      </c>
      <c r="R380" s="119">
        <v>0</v>
      </c>
      <c r="S380" s="120">
        <v>212</v>
      </c>
    </row>
    <row r="381" spans="1:19" s="5" customFormat="1" x14ac:dyDescent="0.25">
      <c r="A381" s="115"/>
      <c r="B381" s="116">
        <v>14</v>
      </c>
      <c r="C381" s="323" t="s">
        <v>38</v>
      </c>
      <c r="D381" s="19">
        <v>78.25</v>
      </c>
      <c r="E381" s="21">
        <v>9</v>
      </c>
      <c r="F381" s="117">
        <f t="shared" si="278"/>
        <v>149301</v>
      </c>
      <c r="G381" s="35">
        <f>E381*D381*31</f>
        <v>21831.75</v>
      </c>
      <c r="H381" s="118">
        <f>E381*D381*28</f>
        <v>19719</v>
      </c>
      <c r="I381" s="35">
        <f>E381*D381*31</f>
        <v>21831.75</v>
      </c>
      <c r="J381" s="35">
        <f>E381*D381*30</f>
        <v>21127.5</v>
      </c>
      <c r="K381" s="35">
        <f>E381*D381*31</f>
        <v>21831.75</v>
      </c>
      <c r="L381" s="35">
        <f>E381*D381*30</f>
        <v>21127.5</v>
      </c>
      <c r="M381" s="35">
        <f>E381*D381*31</f>
        <v>21831.75</v>
      </c>
      <c r="N381" s="35">
        <v>0</v>
      </c>
      <c r="O381" s="35">
        <v>0</v>
      </c>
      <c r="P381" s="35">
        <v>0</v>
      </c>
      <c r="Q381" s="35">
        <v>0</v>
      </c>
      <c r="R381" s="119">
        <v>0</v>
      </c>
      <c r="S381" s="120">
        <v>212</v>
      </c>
    </row>
    <row r="382" spans="1:19" s="5" customFormat="1" x14ac:dyDescent="0.25">
      <c r="A382" s="115"/>
      <c r="B382" s="116">
        <v>15</v>
      </c>
      <c r="C382" s="323" t="s">
        <v>30</v>
      </c>
      <c r="D382" s="19">
        <v>72.540000000000006</v>
      </c>
      <c r="E382" s="21">
        <v>1</v>
      </c>
      <c r="F382" s="117">
        <f t="shared" si="278"/>
        <v>15378.480000000001</v>
      </c>
      <c r="G382" s="35">
        <f t="shared" si="284"/>
        <v>2248.7400000000002</v>
      </c>
      <c r="H382" s="118">
        <f t="shared" si="285"/>
        <v>2031.1200000000001</v>
      </c>
      <c r="I382" s="35">
        <f t="shared" si="279"/>
        <v>2248.7400000000002</v>
      </c>
      <c r="J382" s="35">
        <f t="shared" si="280"/>
        <v>2176.2000000000003</v>
      </c>
      <c r="K382" s="35">
        <f t="shared" si="281"/>
        <v>2248.7400000000002</v>
      </c>
      <c r="L382" s="35">
        <f t="shared" si="282"/>
        <v>2176.2000000000003</v>
      </c>
      <c r="M382" s="35">
        <f t="shared" si="283"/>
        <v>2248.7400000000002</v>
      </c>
      <c r="N382" s="35">
        <v>0</v>
      </c>
      <c r="O382" s="35">
        <v>0</v>
      </c>
      <c r="P382" s="35">
        <v>0</v>
      </c>
      <c r="Q382" s="35">
        <v>0</v>
      </c>
      <c r="R382" s="119">
        <v>0</v>
      </c>
      <c r="S382" s="120">
        <v>212</v>
      </c>
    </row>
    <row r="383" spans="1:19" s="5" customFormat="1" x14ac:dyDescent="0.25">
      <c r="A383" s="115"/>
      <c r="B383" s="207">
        <v>16</v>
      </c>
      <c r="C383" s="323" t="s">
        <v>53</v>
      </c>
      <c r="D383" s="19">
        <v>71.400000000000006</v>
      </c>
      <c r="E383" s="21">
        <v>2</v>
      </c>
      <c r="F383" s="117">
        <f t="shared" si="278"/>
        <v>30273.600000000002</v>
      </c>
      <c r="G383" s="35">
        <f t="shared" si="284"/>
        <v>4426.8</v>
      </c>
      <c r="H383" s="118">
        <f t="shared" si="285"/>
        <v>3998.4000000000005</v>
      </c>
      <c r="I383" s="35">
        <f t="shared" si="279"/>
        <v>4426.8</v>
      </c>
      <c r="J383" s="35">
        <f t="shared" si="280"/>
        <v>4284</v>
      </c>
      <c r="K383" s="35">
        <f t="shared" si="281"/>
        <v>4426.8</v>
      </c>
      <c r="L383" s="35">
        <f t="shared" si="282"/>
        <v>4284</v>
      </c>
      <c r="M383" s="35">
        <f t="shared" si="283"/>
        <v>4426.8</v>
      </c>
      <c r="N383" s="35">
        <v>0</v>
      </c>
      <c r="O383" s="35">
        <v>0</v>
      </c>
      <c r="P383" s="35">
        <v>0</v>
      </c>
      <c r="Q383" s="35">
        <v>0</v>
      </c>
      <c r="R383" s="119">
        <v>0</v>
      </c>
      <c r="S383" s="120">
        <v>212</v>
      </c>
    </row>
    <row r="384" spans="1:19" s="5" customFormat="1" x14ac:dyDescent="0.25">
      <c r="A384" s="115"/>
      <c r="B384" s="325">
        <v>17</v>
      </c>
      <c r="C384" s="326" t="s">
        <v>41</v>
      </c>
      <c r="D384" s="19">
        <v>75.64</v>
      </c>
      <c r="E384" s="21">
        <v>1</v>
      </c>
      <c r="F384" s="117">
        <f t="shared" si="278"/>
        <v>16035.68</v>
      </c>
      <c r="G384" s="35">
        <f>E384*D384*31</f>
        <v>2344.84</v>
      </c>
      <c r="H384" s="118">
        <f>E384*D384*28</f>
        <v>2117.92</v>
      </c>
      <c r="I384" s="35">
        <f t="shared" si="279"/>
        <v>2344.84</v>
      </c>
      <c r="J384" s="35">
        <f>E384*D384*30</f>
        <v>2269.1999999999998</v>
      </c>
      <c r="K384" s="35">
        <f>E384*D384*31</f>
        <v>2344.84</v>
      </c>
      <c r="L384" s="35">
        <f>E384*D384*30</f>
        <v>2269.1999999999998</v>
      </c>
      <c r="M384" s="35">
        <f>E384*D384*31</f>
        <v>2344.84</v>
      </c>
      <c r="N384" s="35">
        <v>0</v>
      </c>
      <c r="O384" s="35">
        <v>0</v>
      </c>
      <c r="P384" s="35">
        <v>0</v>
      </c>
      <c r="Q384" s="35">
        <v>0</v>
      </c>
      <c r="R384" s="119">
        <v>0</v>
      </c>
      <c r="S384" s="120">
        <v>212</v>
      </c>
    </row>
    <row r="385" spans="1:19" s="5" customFormat="1" x14ac:dyDescent="0.25">
      <c r="A385" s="115"/>
      <c r="B385" s="207">
        <v>18</v>
      </c>
      <c r="C385" s="323" t="s">
        <v>36</v>
      </c>
      <c r="D385" s="19">
        <v>80.86</v>
      </c>
      <c r="E385" s="21">
        <v>6</v>
      </c>
      <c r="F385" s="117">
        <f t="shared" si="278"/>
        <v>102853.92</v>
      </c>
      <c r="G385" s="35">
        <f>E385*D385*31</f>
        <v>15039.96</v>
      </c>
      <c r="H385" s="118">
        <f>E385*D385*28</f>
        <v>13584.48</v>
      </c>
      <c r="I385" s="35">
        <f t="shared" si="279"/>
        <v>15039.96</v>
      </c>
      <c r="J385" s="35">
        <f>E385*D385*30</f>
        <v>14554.8</v>
      </c>
      <c r="K385" s="35">
        <f>E385*D385*31</f>
        <v>15039.96</v>
      </c>
      <c r="L385" s="35">
        <f>E385*D385*30</f>
        <v>14554.8</v>
      </c>
      <c r="M385" s="35">
        <f>E385*D385*31</f>
        <v>15039.96</v>
      </c>
      <c r="N385" s="35">
        <v>0</v>
      </c>
      <c r="O385" s="35">
        <v>0</v>
      </c>
      <c r="P385" s="35">
        <v>0</v>
      </c>
      <c r="Q385" s="35">
        <v>0</v>
      </c>
      <c r="R385" s="119">
        <v>0</v>
      </c>
      <c r="S385" s="120">
        <v>212</v>
      </c>
    </row>
    <row r="386" spans="1:19" x14ac:dyDescent="0.25">
      <c r="A386" s="46"/>
      <c r="B386" s="184">
        <v>19</v>
      </c>
      <c r="C386" s="327" t="s">
        <v>71</v>
      </c>
      <c r="D386" s="123">
        <v>71.400000000000006</v>
      </c>
      <c r="E386" s="20">
        <v>2</v>
      </c>
      <c r="F386" s="124">
        <f t="shared" si="278"/>
        <v>10567.2</v>
      </c>
      <c r="G386" s="125">
        <v>0</v>
      </c>
      <c r="H386" s="126">
        <f t="shared" ref="H386:H389" si="286">E386*D386*28+D386*E386*15</f>
        <v>6140.4000000000005</v>
      </c>
      <c r="I386" s="125">
        <f t="shared" si="279"/>
        <v>4426.8</v>
      </c>
      <c r="J386" s="125">
        <v>0</v>
      </c>
      <c r="K386" s="125">
        <v>0</v>
      </c>
      <c r="L386" s="125">
        <v>0</v>
      </c>
      <c r="M386" s="125">
        <v>0</v>
      </c>
      <c r="N386" s="125">
        <v>0</v>
      </c>
      <c r="O386" s="125">
        <v>0</v>
      </c>
      <c r="P386" s="125">
        <v>0</v>
      </c>
      <c r="Q386" s="125">
        <v>0</v>
      </c>
      <c r="R386" s="127">
        <v>0</v>
      </c>
      <c r="S386" s="128">
        <f>15+28+31</f>
        <v>74</v>
      </c>
    </row>
    <row r="387" spans="1:19" x14ac:dyDescent="0.25">
      <c r="A387" s="46"/>
      <c r="B387" s="184">
        <v>20</v>
      </c>
      <c r="C387" s="327" t="s">
        <v>72</v>
      </c>
      <c r="D387" s="123">
        <v>71.400000000000006</v>
      </c>
      <c r="E387" s="20">
        <v>2</v>
      </c>
      <c r="F387" s="124">
        <f t="shared" si="278"/>
        <v>10567.2</v>
      </c>
      <c r="G387" s="125">
        <v>0</v>
      </c>
      <c r="H387" s="126">
        <f t="shared" si="286"/>
        <v>6140.4000000000005</v>
      </c>
      <c r="I387" s="125">
        <f t="shared" si="279"/>
        <v>4426.8</v>
      </c>
      <c r="J387" s="125">
        <v>0</v>
      </c>
      <c r="K387" s="125">
        <v>0</v>
      </c>
      <c r="L387" s="125">
        <v>0</v>
      </c>
      <c r="M387" s="125">
        <v>0</v>
      </c>
      <c r="N387" s="125">
        <v>0</v>
      </c>
      <c r="O387" s="125">
        <v>0</v>
      </c>
      <c r="P387" s="125">
        <v>0</v>
      </c>
      <c r="Q387" s="125">
        <v>0</v>
      </c>
      <c r="R387" s="127">
        <v>0</v>
      </c>
      <c r="S387" s="128">
        <f t="shared" ref="S387:S389" si="287">15+28+31</f>
        <v>74</v>
      </c>
    </row>
    <row r="388" spans="1:19" x14ac:dyDescent="0.25">
      <c r="A388" s="46"/>
      <c r="B388" s="121">
        <v>21</v>
      </c>
      <c r="C388" s="122" t="s">
        <v>31</v>
      </c>
      <c r="D388" s="123">
        <v>71.400000000000006</v>
      </c>
      <c r="E388" s="20">
        <v>1</v>
      </c>
      <c r="F388" s="124">
        <f t="shared" si="278"/>
        <v>5283.6</v>
      </c>
      <c r="G388" s="125">
        <v>0</v>
      </c>
      <c r="H388" s="126">
        <f t="shared" si="286"/>
        <v>3070.2000000000003</v>
      </c>
      <c r="I388" s="125">
        <f t="shared" si="279"/>
        <v>2213.4</v>
      </c>
      <c r="J388" s="125">
        <v>0</v>
      </c>
      <c r="K388" s="125">
        <v>0</v>
      </c>
      <c r="L388" s="125">
        <v>0</v>
      </c>
      <c r="M388" s="125">
        <v>0</v>
      </c>
      <c r="N388" s="125">
        <v>0</v>
      </c>
      <c r="O388" s="125">
        <v>0</v>
      </c>
      <c r="P388" s="125">
        <v>0</v>
      </c>
      <c r="Q388" s="125">
        <v>0</v>
      </c>
      <c r="R388" s="127">
        <v>0</v>
      </c>
      <c r="S388" s="128">
        <f t="shared" si="287"/>
        <v>74</v>
      </c>
    </row>
    <row r="389" spans="1:19" ht="15.75" thickBot="1" x14ac:dyDescent="0.3">
      <c r="A389" s="46"/>
      <c r="B389" s="176">
        <v>22</v>
      </c>
      <c r="C389" s="328" t="s">
        <v>34</v>
      </c>
      <c r="D389" s="177">
        <v>71.400000000000006</v>
      </c>
      <c r="E389" s="178">
        <v>1</v>
      </c>
      <c r="F389" s="179">
        <f t="shared" si="278"/>
        <v>5283.6</v>
      </c>
      <c r="G389" s="182">
        <v>0</v>
      </c>
      <c r="H389" s="181">
        <f t="shared" si="286"/>
        <v>3070.2000000000003</v>
      </c>
      <c r="I389" s="182">
        <f t="shared" si="279"/>
        <v>2213.4</v>
      </c>
      <c r="J389" s="182">
        <v>0</v>
      </c>
      <c r="K389" s="182">
        <v>0</v>
      </c>
      <c r="L389" s="182">
        <v>0</v>
      </c>
      <c r="M389" s="182">
        <v>0</v>
      </c>
      <c r="N389" s="182">
        <v>0</v>
      </c>
      <c r="O389" s="182">
        <v>0</v>
      </c>
      <c r="P389" s="182">
        <v>0</v>
      </c>
      <c r="Q389" s="182">
        <v>0</v>
      </c>
      <c r="R389" s="186">
        <v>0</v>
      </c>
      <c r="S389" s="128">
        <f t="shared" si="287"/>
        <v>74</v>
      </c>
    </row>
    <row r="390" spans="1:19" x14ac:dyDescent="0.25">
      <c r="A390" s="46"/>
      <c r="B390" s="184">
        <v>23</v>
      </c>
      <c r="C390" s="329" t="s">
        <v>71</v>
      </c>
      <c r="D390" s="217">
        <v>71.400000000000006</v>
      </c>
      <c r="E390" s="218">
        <v>2</v>
      </c>
      <c r="F390" s="219">
        <f t="shared" si="278"/>
        <v>12994.800000000001</v>
      </c>
      <c r="G390" s="330">
        <v>0</v>
      </c>
      <c r="H390" s="331">
        <v>0</v>
      </c>
      <c r="I390" s="330">
        <v>0</v>
      </c>
      <c r="J390" s="220">
        <f>E390*D390*30</f>
        <v>4284</v>
      </c>
      <c r="K390" s="220">
        <f t="shared" ref="K390" si="288">E390*D390*31</f>
        <v>4426.8</v>
      </c>
      <c r="L390" s="220">
        <f t="shared" ref="L390" si="289">E390*D390*30</f>
        <v>4284</v>
      </c>
      <c r="M390" s="220">
        <v>0</v>
      </c>
      <c r="N390" s="220">
        <v>0</v>
      </c>
      <c r="O390" s="220">
        <v>0</v>
      </c>
      <c r="P390" s="220">
        <v>0</v>
      </c>
      <c r="Q390" s="220">
        <v>0</v>
      </c>
      <c r="R390" s="332">
        <v>0</v>
      </c>
      <c r="S390" s="128">
        <f t="shared" ref="S390:S392" si="290">30+31+30</f>
        <v>91</v>
      </c>
    </row>
    <row r="391" spans="1:19" s="5" customFormat="1" x14ac:dyDescent="0.25">
      <c r="A391" s="115"/>
      <c r="B391" s="116">
        <v>24</v>
      </c>
      <c r="C391" s="323" t="s">
        <v>72</v>
      </c>
      <c r="D391" s="19">
        <v>71.400000000000006</v>
      </c>
      <c r="E391" s="21">
        <v>2</v>
      </c>
      <c r="F391" s="117">
        <f>+E391*S391*D391</f>
        <v>12994.800000000001</v>
      </c>
      <c r="G391" s="333">
        <v>0</v>
      </c>
      <c r="H391" s="334">
        <v>0</v>
      </c>
      <c r="I391" s="333">
        <v>0</v>
      </c>
      <c r="J391" s="35">
        <f>E391*D391*30</f>
        <v>4284</v>
      </c>
      <c r="K391" s="35">
        <f>E391*D391*31</f>
        <v>4426.8</v>
      </c>
      <c r="L391" s="35">
        <f>E391*D391*30</f>
        <v>4284</v>
      </c>
      <c r="M391" s="35">
        <v>0</v>
      </c>
      <c r="N391" s="35">
        <v>0</v>
      </c>
      <c r="O391" s="35">
        <v>0</v>
      </c>
      <c r="P391" s="35">
        <v>0</v>
      </c>
      <c r="Q391" s="35">
        <v>0</v>
      </c>
      <c r="R391" s="119">
        <v>0</v>
      </c>
      <c r="S391" s="120">
        <f t="shared" si="290"/>
        <v>91</v>
      </c>
    </row>
    <row r="392" spans="1:19" s="5" customFormat="1" x14ac:dyDescent="0.25">
      <c r="A392" s="115"/>
      <c r="B392" s="116">
        <v>25</v>
      </c>
      <c r="C392" s="18" t="s">
        <v>31</v>
      </c>
      <c r="D392" s="19">
        <v>71.400000000000006</v>
      </c>
      <c r="E392" s="21">
        <v>1</v>
      </c>
      <c r="F392" s="117">
        <f>+E392*S392*D392</f>
        <v>6497.4000000000005</v>
      </c>
      <c r="G392" s="333">
        <v>0</v>
      </c>
      <c r="H392" s="334">
        <v>0</v>
      </c>
      <c r="I392" s="333">
        <v>0</v>
      </c>
      <c r="J392" s="35">
        <f>E392*D392*30</f>
        <v>2142</v>
      </c>
      <c r="K392" s="35">
        <f>E392*D392*31</f>
        <v>2213.4</v>
      </c>
      <c r="L392" s="35">
        <f>E392*D392*30</f>
        <v>2142</v>
      </c>
      <c r="M392" s="35">
        <v>0</v>
      </c>
      <c r="N392" s="35">
        <v>0</v>
      </c>
      <c r="O392" s="35">
        <v>0</v>
      </c>
      <c r="P392" s="35">
        <v>0</v>
      </c>
      <c r="Q392" s="35">
        <v>0</v>
      </c>
      <c r="R392" s="119">
        <v>0</v>
      </c>
      <c r="S392" s="120">
        <f t="shared" si="290"/>
        <v>91</v>
      </c>
    </row>
    <row r="393" spans="1:19" s="5" customFormat="1" x14ac:dyDescent="0.25">
      <c r="A393" s="115"/>
      <c r="B393" s="116">
        <v>26</v>
      </c>
      <c r="C393" s="323" t="s">
        <v>71</v>
      </c>
      <c r="D393" s="19">
        <v>71.400000000000006</v>
      </c>
      <c r="E393" s="21">
        <v>2</v>
      </c>
      <c r="F393" s="117">
        <f>+E393*S393*D393</f>
        <v>12994.800000000001</v>
      </c>
      <c r="G393" s="333">
        <v>0</v>
      </c>
      <c r="H393" s="334">
        <v>0</v>
      </c>
      <c r="I393" s="333">
        <v>0</v>
      </c>
      <c r="J393" s="35">
        <v>0</v>
      </c>
      <c r="K393" s="35">
        <f>+D393*E393*30+D393*E393*31</f>
        <v>8710.7999999999993</v>
      </c>
      <c r="L393" s="35">
        <f>E393*D393*30</f>
        <v>4284</v>
      </c>
      <c r="M393" s="35">
        <v>0</v>
      </c>
      <c r="N393" s="35">
        <v>0</v>
      </c>
      <c r="O393" s="35">
        <v>0</v>
      </c>
      <c r="P393" s="35">
        <v>0</v>
      </c>
      <c r="Q393" s="35">
        <v>0</v>
      </c>
      <c r="R393" s="119">
        <v>0</v>
      </c>
      <c r="S393" s="120">
        <f>30+31+30</f>
        <v>91</v>
      </c>
    </row>
    <row r="394" spans="1:19" s="5" customFormat="1" x14ac:dyDescent="0.25">
      <c r="A394" s="115"/>
      <c r="B394" s="116">
        <v>27</v>
      </c>
      <c r="C394" s="323" t="s">
        <v>43</v>
      </c>
      <c r="D394" s="19">
        <v>72.540000000000006</v>
      </c>
      <c r="E394" s="21">
        <v>4</v>
      </c>
      <c r="F394" s="117">
        <f>+E394*S394*D394</f>
        <v>26404.560000000001</v>
      </c>
      <c r="G394" s="333">
        <v>0</v>
      </c>
      <c r="H394" s="334">
        <v>0</v>
      </c>
      <c r="I394" s="333">
        <v>0</v>
      </c>
      <c r="J394" s="35">
        <v>0</v>
      </c>
      <c r="K394" s="35">
        <f>+D394*E394*30+D394*E394*31</f>
        <v>17699.760000000002</v>
      </c>
      <c r="L394" s="35">
        <f t="shared" ref="L394" si="291">E394*D394*30</f>
        <v>8704.8000000000011</v>
      </c>
      <c r="M394" s="35">
        <v>0</v>
      </c>
      <c r="N394" s="35">
        <v>0</v>
      </c>
      <c r="O394" s="35">
        <v>0</v>
      </c>
      <c r="P394" s="35">
        <v>0</v>
      </c>
      <c r="Q394" s="35">
        <v>0</v>
      </c>
      <c r="R394" s="119">
        <v>0</v>
      </c>
      <c r="S394" s="120">
        <f>30+31+30</f>
        <v>91</v>
      </c>
    </row>
    <row r="395" spans="1:19" s="5" customFormat="1" x14ac:dyDescent="0.25">
      <c r="A395" s="115"/>
      <c r="B395" s="116">
        <v>31</v>
      </c>
      <c r="C395" s="323" t="s">
        <v>34</v>
      </c>
      <c r="D395" s="19">
        <v>71.400000000000006</v>
      </c>
      <c r="E395" s="21">
        <v>1</v>
      </c>
      <c r="F395" s="117">
        <f>+E395*S395*D395</f>
        <v>6497.4000000000005</v>
      </c>
      <c r="G395" s="333">
        <v>0</v>
      </c>
      <c r="H395" s="334">
        <v>0</v>
      </c>
      <c r="I395" s="333">
        <v>0</v>
      </c>
      <c r="J395" s="35">
        <f t="shared" ref="J395" si="292">E395*D395*30</f>
        <v>2142</v>
      </c>
      <c r="K395" s="35">
        <f>E395*D395*31</f>
        <v>2213.4</v>
      </c>
      <c r="L395" s="35">
        <f>E395*D395*30</f>
        <v>2142</v>
      </c>
      <c r="M395" s="35">
        <v>0</v>
      </c>
      <c r="N395" s="35">
        <v>0</v>
      </c>
      <c r="O395" s="35">
        <v>0</v>
      </c>
      <c r="P395" s="35">
        <v>0</v>
      </c>
      <c r="Q395" s="35">
        <v>0</v>
      </c>
      <c r="R395" s="119">
        <v>0</v>
      </c>
      <c r="S395" s="120">
        <f>30+31+30</f>
        <v>91</v>
      </c>
    </row>
    <row r="396" spans="1:19" s="5" customFormat="1" x14ac:dyDescent="0.25">
      <c r="A396" s="115"/>
      <c r="B396" s="207">
        <v>1</v>
      </c>
      <c r="C396" s="322" t="s">
        <v>43</v>
      </c>
      <c r="D396" s="245">
        <v>72.540000000000006</v>
      </c>
      <c r="E396" s="22">
        <v>28</v>
      </c>
      <c r="F396" s="247">
        <f t="shared" ref="F396:F420" si="293">+E396*S396*D396</f>
        <v>310761.36000000004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f t="shared" ref="N396:N420" si="294">+D396*E396*31</f>
        <v>62964.72</v>
      </c>
      <c r="O396" s="35">
        <f t="shared" ref="O396:O420" si="295">+D396*E396*30</f>
        <v>60933.600000000006</v>
      </c>
      <c r="P396" s="35">
        <f t="shared" ref="P396:P420" si="296">+D396*E396*31</f>
        <v>62964.72</v>
      </c>
      <c r="Q396" s="35">
        <f t="shared" ref="Q396:Q420" si="297">+D396*E396*30</f>
        <v>60933.600000000006</v>
      </c>
      <c r="R396" s="119">
        <f t="shared" ref="R396:R420" si="298">+D396*E396*31</f>
        <v>62964.72</v>
      </c>
      <c r="S396" s="120">
        <f t="shared" ref="S396:S420" si="299">31+30+31+30+31</f>
        <v>153</v>
      </c>
    </row>
    <row r="397" spans="1:19" s="5" customFormat="1" x14ac:dyDescent="0.25">
      <c r="A397" s="115"/>
      <c r="B397" s="207">
        <v>1</v>
      </c>
      <c r="C397" s="322" t="s">
        <v>43</v>
      </c>
      <c r="D397" s="245">
        <v>72.540000000000006</v>
      </c>
      <c r="E397" s="22">
        <v>2</v>
      </c>
      <c r="F397" s="247">
        <f t="shared" si="293"/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119">
        <v>0</v>
      </c>
      <c r="S397" s="120">
        <v>0</v>
      </c>
    </row>
    <row r="398" spans="1:19" s="5" customFormat="1" x14ac:dyDescent="0.25">
      <c r="A398" s="115"/>
      <c r="B398" s="116">
        <v>2</v>
      </c>
      <c r="C398" s="323" t="s">
        <v>70</v>
      </c>
      <c r="D398" s="19">
        <v>73.59</v>
      </c>
      <c r="E398" s="21">
        <v>1</v>
      </c>
      <c r="F398" s="117">
        <f t="shared" si="293"/>
        <v>11259.27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f t="shared" si="294"/>
        <v>2281.29</v>
      </c>
      <c r="O398" s="35">
        <f t="shared" si="295"/>
        <v>2207.7000000000003</v>
      </c>
      <c r="P398" s="35">
        <f t="shared" si="296"/>
        <v>2281.29</v>
      </c>
      <c r="Q398" s="35">
        <f t="shared" si="297"/>
        <v>2207.7000000000003</v>
      </c>
      <c r="R398" s="119">
        <f t="shared" si="298"/>
        <v>2281.29</v>
      </c>
      <c r="S398" s="120">
        <f t="shared" si="299"/>
        <v>153</v>
      </c>
    </row>
    <row r="399" spans="1:19" s="5" customFormat="1" x14ac:dyDescent="0.25">
      <c r="A399" s="115"/>
      <c r="B399" s="116">
        <v>2</v>
      </c>
      <c r="C399" s="323" t="s">
        <v>70</v>
      </c>
      <c r="D399" s="19">
        <v>73.59</v>
      </c>
      <c r="E399" s="21">
        <v>1</v>
      </c>
      <c r="F399" s="117">
        <f t="shared" si="293"/>
        <v>9125.16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f>+D399*E399*2</f>
        <v>147.18</v>
      </c>
      <c r="O399" s="35">
        <f t="shared" si="295"/>
        <v>2207.7000000000003</v>
      </c>
      <c r="P399" s="35">
        <f t="shared" si="296"/>
        <v>2281.29</v>
      </c>
      <c r="Q399" s="35">
        <f t="shared" si="297"/>
        <v>2207.7000000000003</v>
      </c>
      <c r="R399" s="119">
        <f t="shared" si="298"/>
        <v>2281.29</v>
      </c>
      <c r="S399" s="120">
        <f>2+30+31+30+31</f>
        <v>124</v>
      </c>
    </row>
    <row r="400" spans="1:19" s="5" customFormat="1" x14ac:dyDescent="0.25">
      <c r="A400" s="115"/>
      <c r="B400" s="116">
        <v>3</v>
      </c>
      <c r="C400" s="323" t="s">
        <v>71</v>
      </c>
      <c r="D400" s="19">
        <v>71.400000000000006</v>
      </c>
      <c r="E400" s="21">
        <v>26</v>
      </c>
      <c r="F400" s="117">
        <f t="shared" si="293"/>
        <v>284029.2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f t="shared" si="294"/>
        <v>57548.4</v>
      </c>
      <c r="O400" s="35">
        <f t="shared" si="295"/>
        <v>55692</v>
      </c>
      <c r="P400" s="35">
        <f t="shared" si="296"/>
        <v>57548.4</v>
      </c>
      <c r="Q400" s="35">
        <f t="shared" si="297"/>
        <v>55692</v>
      </c>
      <c r="R400" s="119">
        <f t="shared" si="298"/>
        <v>57548.4</v>
      </c>
      <c r="S400" s="120">
        <f t="shared" si="299"/>
        <v>153</v>
      </c>
    </row>
    <row r="401" spans="1:19" s="5" customFormat="1" x14ac:dyDescent="0.25">
      <c r="A401" s="115"/>
      <c r="B401" s="116">
        <v>3</v>
      </c>
      <c r="C401" s="323" t="s">
        <v>71</v>
      </c>
      <c r="D401" s="19">
        <v>71.400000000000006</v>
      </c>
      <c r="E401" s="21">
        <v>2</v>
      </c>
      <c r="F401" s="117">
        <f t="shared" si="293"/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0</v>
      </c>
      <c r="Q401" s="35">
        <v>0</v>
      </c>
      <c r="R401" s="119">
        <v>0</v>
      </c>
      <c r="S401" s="120">
        <v>0</v>
      </c>
    </row>
    <row r="402" spans="1:19" s="5" customFormat="1" x14ac:dyDescent="0.25">
      <c r="A402" s="115"/>
      <c r="B402" s="207">
        <v>4</v>
      </c>
      <c r="C402" s="324" t="s">
        <v>47</v>
      </c>
      <c r="D402" s="19">
        <v>71.400000000000006</v>
      </c>
      <c r="E402" s="21">
        <v>1</v>
      </c>
      <c r="F402" s="117">
        <f t="shared" si="293"/>
        <v>10924.2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f t="shared" si="294"/>
        <v>2213.4</v>
      </c>
      <c r="O402" s="35">
        <f t="shared" si="295"/>
        <v>2142</v>
      </c>
      <c r="P402" s="35">
        <f t="shared" si="296"/>
        <v>2213.4</v>
      </c>
      <c r="Q402" s="35">
        <f t="shared" si="297"/>
        <v>2142</v>
      </c>
      <c r="R402" s="119">
        <f t="shared" si="298"/>
        <v>2213.4</v>
      </c>
      <c r="S402" s="120">
        <f t="shared" si="299"/>
        <v>153</v>
      </c>
    </row>
    <row r="403" spans="1:19" s="5" customFormat="1" x14ac:dyDescent="0.25">
      <c r="A403" s="115"/>
      <c r="B403" s="207">
        <v>4</v>
      </c>
      <c r="C403" s="324" t="s">
        <v>47</v>
      </c>
      <c r="D403" s="19">
        <v>71.400000000000006</v>
      </c>
      <c r="E403" s="21">
        <v>1</v>
      </c>
      <c r="F403" s="117">
        <f t="shared" si="293"/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0</v>
      </c>
      <c r="O403" s="35">
        <v>0</v>
      </c>
      <c r="P403" s="35">
        <v>0</v>
      </c>
      <c r="Q403" s="35">
        <v>0</v>
      </c>
      <c r="R403" s="119">
        <v>0</v>
      </c>
      <c r="S403" s="120">
        <v>0</v>
      </c>
    </row>
    <row r="404" spans="1:19" s="5" customFormat="1" x14ac:dyDescent="0.25">
      <c r="A404" s="115"/>
      <c r="B404" s="116">
        <v>5</v>
      </c>
      <c r="C404" s="323" t="s">
        <v>72</v>
      </c>
      <c r="D404" s="19">
        <v>71.400000000000006</v>
      </c>
      <c r="E404" s="21">
        <v>1</v>
      </c>
      <c r="F404" s="117">
        <f t="shared" si="293"/>
        <v>10924.2</v>
      </c>
      <c r="G404" s="35">
        <v>0</v>
      </c>
      <c r="H404" s="35">
        <v>0</v>
      </c>
      <c r="I404" s="35">
        <v>0</v>
      </c>
      <c r="J404" s="35">
        <v>0</v>
      </c>
      <c r="K404" s="35">
        <v>0</v>
      </c>
      <c r="L404" s="35">
        <v>0</v>
      </c>
      <c r="M404" s="35">
        <v>0</v>
      </c>
      <c r="N404" s="35">
        <f t="shared" si="294"/>
        <v>2213.4</v>
      </c>
      <c r="O404" s="35">
        <f t="shared" si="295"/>
        <v>2142</v>
      </c>
      <c r="P404" s="35">
        <f t="shared" si="296"/>
        <v>2213.4</v>
      </c>
      <c r="Q404" s="35">
        <f t="shared" si="297"/>
        <v>2142</v>
      </c>
      <c r="R404" s="119">
        <f t="shared" si="298"/>
        <v>2213.4</v>
      </c>
      <c r="S404" s="120">
        <f t="shared" si="299"/>
        <v>153</v>
      </c>
    </row>
    <row r="405" spans="1:19" s="5" customFormat="1" x14ac:dyDescent="0.25">
      <c r="A405" s="115"/>
      <c r="B405" s="116">
        <v>6</v>
      </c>
      <c r="C405" s="323" t="s">
        <v>73</v>
      </c>
      <c r="D405" s="19">
        <v>71.400000000000006</v>
      </c>
      <c r="E405" s="21">
        <v>1</v>
      </c>
      <c r="F405" s="117">
        <f t="shared" si="293"/>
        <v>10924.2</v>
      </c>
      <c r="G405" s="35">
        <v>0</v>
      </c>
      <c r="H405" s="35">
        <v>0</v>
      </c>
      <c r="I405" s="35">
        <v>0</v>
      </c>
      <c r="J405" s="35">
        <v>0</v>
      </c>
      <c r="K405" s="35">
        <v>0</v>
      </c>
      <c r="L405" s="35">
        <v>0</v>
      </c>
      <c r="M405" s="35">
        <v>0</v>
      </c>
      <c r="N405" s="35">
        <f t="shared" si="294"/>
        <v>2213.4</v>
      </c>
      <c r="O405" s="35">
        <f t="shared" si="295"/>
        <v>2142</v>
      </c>
      <c r="P405" s="35">
        <f t="shared" si="296"/>
        <v>2213.4</v>
      </c>
      <c r="Q405" s="35">
        <f t="shared" si="297"/>
        <v>2142</v>
      </c>
      <c r="R405" s="119">
        <f t="shared" si="298"/>
        <v>2213.4</v>
      </c>
      <c r="S405" s="120">
        <f t="shared" si="299"/>
        <v>153</v>
      </c>
    </row>
    <row r="406" spans="1:19" s="5" customFormat="1" x14ac:dyDescent="0.25">
      <c r="A406" s="115"/>
      <c r="B406" s="207">
        <v>7</v>
      </c>
      <c r="C406" s="323" t="s">
        <v>34</v>
      </c>
      <c r="D406" s="19">
        <v>71.400000000000006</v>
      </c>
      <c r="E406" s="21">
        <v>6</v>
      </c>
      <c r="F406" s="117">
        <f t="shared" si="293"/>
        <v>65545.200000000012</v>
      </c>
      <c r="G406" s="35">
        <v>0</v>
      </c>
      <c r="H406" s="35">
        <v>0</v>
      </c>
      <c r="I406" s="35">
        <v>0</v>
      </c>
      <c r="J406" s="35">
        <v>0</v>
      </c>
      <c r="K406" s="35">
        <v>0</v>
      </c>
      <c r="L406" s="35">
        <v>0</v>
      </c>
      <c r="M406" s="35">
        <v>0</v>
      </c>
      <c r="N406" s="35">
        <f t="shared" si="294"/>
        <v>13280.400000000001</v>
      </c>
      <c r="O406" s="35">
        <f t="shared" si="295"/>
        <v>12852.000000000002</v>
      </c>
      <c r="P406" s="35">
        <f t="shared" si="296"/>
        <v>13280.400000000001</v>
      </c>
      <c r="Q406" s="35">
        <f t="shared" si="297"/>
        <v>12852.000000000002</v>
      </c>
      <c r="R406" s="119">
        <f t="shared" si="298"/>
        <v>13280.400000000001</v>
      </c>
      <c r="S406" s="120">
        <f t="shared" si="299"/>
        <v>153</v>
      </c>
    </row>
    <row r="407" spans="1:19" s="5" customFormat="1" x14ac:dyDescent="0.25">
      <c r="A407" s="115"/>
      <c r="B407" s="207">
        <v>7</v>
      </c>
      <c r="C407" s="323" t="s">
        <v>34</v>
      </c>
      <c r="D407" s="19">
        <v>71.400000000000006</v>
      </c>
      <c r="E407" s="21">
        <v>1</v>
      </c>
      <c r="F407" s="117">
        <f t="shared" si="293"/>
        <v>4355.4000000000005</v>
      </c>
      <c r="G407" s="35">
        <v>0</v>
      </c>
      <c r="H407" s="35">
        <v>0</v>
      </c>
      <c r="I407" s="35">
        <v>0</v>
      </c>
      <c r="J407" s="35">
        <v>0</v>
      </c>
      <c r="K407" s="35">
        <v>0</v>
      </c>
      <c r="L407" s="35">
        <v>0</v>
      </c>
      <c r="M407" s="35">
        <v>0</v>
      </c>
      <c r="N407" s="35">
        <f t="shared" si="294"/>
        <v>2213.4</v>
      </c>
      <c r="O407" s="35">
        <f t="shared" si="295"/>
        <v>2142</v>
      </c>
      <c r="P407" s="35">
        <v>0</v>
      </c>
      <c r="Q407" s="35">
        <v>0</v>
      </c>
      <c r="R407" s="119">
        <v>0</v>
      </c>
      <c r="S407" s="120">
        <f>31+30</f>
        <v>61</v>
      </c>
    </row>
    <row r="408" spans="1:19" s="5" customFormat="1" x14ac:dyDescent="0.25">
      <c r="A408" s="115"/>
      <c r="B408" s="116">
        <v>8</v>
      </c>
      <c r="C408" s="323" t="s">
        <v>51</v>
      </c>
      <c r="D408" s="19">
        <v>72.540000000000006</v>
      </c>
      <c r="E408" s="21">
        <v>3</v>
      </c>
      <c r="F408" s="117">
        <f t="shared" si="293"/>
        <v>33295.86</v>
      </c>
      <c r="G408" s="35">
        <v>0</v>
      </c>
      <c r="H408" s="35">
        <v>0</v>
      </c>
      <c r="I408" s="35">
        <v>0</v>
      </c>
      <c r="J408" s="35">
        <v>0</v>
      </c>
      <c r="K408" s="35">
        <v>0</v>
      </c>
      <c r="L408" s="35">
        <v>0</v>
      </c>
      <c r="M408" s="35">
        <v>0</v>
      </c>
      <c r="N408" s="35">
        <f t="shared" si="294"/>
        <v>6746.22</v>
      </c>
      <c r="O408" s="35">
        <f t="shared" si="295"/>
        <v>6528.6</v>
      </c>
      <c r="P408" s="35">
        <f t="shared" si="296"/>
        <v>6746.22</v>
      </c>
      <c r="Q408" s="35">
        <f t="shared" si="297"/>
        <v>6528.6</v>
      </c>
      <c r="R408" s="119">
        <f t="shared" si="298"/>
        <v>6746.22</v>
      </c>
      <c r="S408" s="120">
        <f t="shared" si="299"/>
        <v>153</v>
      </c>
    </row>
    <row r="409" spans="1:19" s="5" customFormat="1" x14ac:dyDescent="0.25">
      <c r="A409" s="115"/>
      <c r="B409" s="116">
        <v>8</v>
      </c>
      <c r="C409" s="323" t="s">
        <v>51</v>
      </c>
      <c r="D409" s="19">
        <v>72.540000000000006</v>
      </c>
      <c r="E409" s="21">
        <v>1</v>
      </c>
      <c r="F409" s="117">
        <f t="shared" si="293"/>
        <v>11388.78</v>
      </c>
      <c r="G409" s="35">
        <v>0</v>
      </c>
      <c r="H409" s="35">
        <v>0</v>
      </c>
      <c r="I409" s="35">
        <v>0</v>
      </c>
      <c r="J409" s="35">
        <v>0</v>
      </c>
      <c r="K409" s="35">
        <v>0</v>
      </c>
      <c r="L409" s="35">
        <v>0</v>
      </c>
      <c r="M409" s="35">
        <v>0</v>
      </c>
      <c r="N409" s="35">
        <f>+D409*E409*35</f>
        <v>2538.9</v>
      </c>
      <c r="O409" s="35">
        <f t="shared" si="295"/>
        <v>2176.2000000000003</v>
      </c>
      <c r="P409" s="35">
        <f t="shared" si="296"/>
        <v>2248.7400000000002</v>
      </c>
      <c r="Q409" s="35">
        <f t="shared" si="297"/>
        <v>2176.2000000000003</v>
      </c>
      <c r="R409" s="119">
        <f t="shared" si="298"/>
        <v>2248.7400000000002</v>
      </c>
      <c r="S409" s="120">
        <f>35+30+31+30+31</f>
        <v>157</v>
      </c>
    </row>
    <row r="410" spans="1:19" s="5" customFormat="1" x14ac:dyDescent="0.25">
      <c r="A410" s="115"/>
      <c r="B410" s="116">
        <v>9</v>
      </c>
      <c r="C410" s="323" t="s">
        <v>60</v>
      </c>
      <c r="D410" s="19">
        <v>77.59</v>
      </c>
      <c r="E410" s="21">
        <v>1</v>
      </c>
      <c r="F410" s="117">
        <f t="shared" si="293"/>
        <v>11871.27</v>
      </c>
      <c r="G410" s="35">
        <v>0</v>
      </c>
      <c r="H410" s="35">
        <v>0</v>
      </c>
      <c r="I410" s="35">
        <v>0</v>
      </c>
      <c r="J410" s="35">
        <v>0</v>
      </c>
      <c r="K410" s="35">
        <v>0</v>
      </c>
      <c r="L410" s="35">
        <v>0</v>
      </c>
      <c r="M410" s="35">
        <v>0</v>
      </c>
      <c r="N410" s="35">
        <f t="shared" si="294"/>
        <v>2405.29</v>
      </c>
      <c r="O410" s="35">
        <f t="shared" si="295"/>
        <v>2327.7000000000003</v>
      </c>
      <c r="P410" s="35">
        <f t="shared" si="296"/>
        <v>2405.29</v>
      </c>
      <c r="Q410" s="35">
        <f t="shared" si="297"/>
        <v>2327.7000000000003</v>
      </c>
      <c r="R410" s="119">
        <f t="shared" si="298"/>
        <v>2405.29</v>
      </c>
      <c r="S410" s="120">
        <f t="shared" si="299"/>
        <v>153</v>
      </c>
    </row>
    <row r="411" spans="1:19" s="5" customFormat="1" x14ac:dyDescent="0.25">
      <c r="A411" s="115"/>
      <c r="B411" s="207">
        <v>10</v>
      </c>
      <c r="C411" s="323" t="s">
        <v>37</v>
      </c>
      <c r="D411" s="19">
        <v>71.400000000000006</v>
      </c>
      <c r="E411" s="21">
        <v>7</v>
      </c>
      <c r="F411" s="117">
        <f t="shared" si="293"/>
        <v>76469.400000000009</v>
      </c>
      <c r="G411" s="35">
        <v>0</v>
      </c>
      <c r="H411" s="35">
        <v>0</v>
      </c>
      <c r="I411" s="35">
        <v>0</v>
      </c>
      <c r="J411" s="35">
        <v>0</v>
      </c>
      <c r="K411" s="35">
        <v>0</v>
      </c>
      <c r="L411" s="35">
        <v>0</v>
      </c>
      <c r="M411" s="35">
        <v>0</v>
      </c>
      <c r="N411" s="35">
        <f t="shared" si="294"/>
        <v>15493.800000000003</v>
      </c>
      <c r="O411" s="35">
        <f t="shared" si="295"/>
        <v>14994.000000000002</v>
      </c>
      <c r="P411" s="35">
        <f t="shared" si="296"/>
        <v>15493.800000000003</v>
      </c>
      <c r="Q411" s="35">
        <f t="shared" si="297"/>
        <v>14994.000000000002</v>
      </c>
      <c r="R411" s="119">
        <f t="shared" si="298"/>
        <v>15493.800000000003</v>
      </c>
      <c r="S411" s="120">
        <f t="shared" si="299"/>
        <v>153</v>
      </c>
    </row>
    <row r="412" spans="1:19" s="5" customFormat="1" x14ac:dyDescent="0.25">
      <c r="A412" s="115"/>
      <c r="B412" s="116">
        <v>11</v>
      </c>
      <c r="C412" s="323" t="s">
        <v>74</v>
      </c>
      <c r="D412" s="19">
        <v>73.59</v>
      </c>
      <c r="E412" s="21">
        <v>1</v>
      </c>
      <c r="F412" s="117">
        <f t="shared" si="293"/>
        <v>0</v>
      </c>
      <c r="G412" s="35">
        <v>0</v>
      </c>
      <c r="H412" s="35">
        <v>0</v>
      </c>
      <c r="I412" s="35">
        <v>0</v>
      </c>
      <c r="J412" s="35">
        <v>0</v>
      </c>
      <c r="K412" s="35">
        <v>0</v>
      </c>
      <c r="L412" s="35">
        <v>0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119">
        <v>0</v>
      </c>
      <c r="S412" s="120">
        <v>0</v>
      </c>
    </row>
    <row r="413" spans="1:19" s="5" customFormat="1" ht="15.75" customHeight="1" x14ac:dyDescent="0.25">
      <c r="A413" s="115"/>
      <c r="B413" s="116">
        <v>12</v>
      </c>
      <c r="C413" s="323" t="s">
        <v>61</v>
      </c>
      <c r="D413" s="19">
        <v>75.64</v>
      </c>
      <c r="E413" s="23">
        <v>1</v>
      </c>
      <c r="F413" s="117">
        <f t="shared" si="293"/>
        <v>11572.92</v>
      </c>
      <c r="G413" s="35">
        <v>0</v>
      </c>
      <c r="H413" s="35">
        <v>0</v>
      </c>
      <c r="I413" s="35">
        <v>0</v>
      </c>
      <c r="J413" s="35">
        <v>0</v>
      </c>
      <c r="K413" s="35">
        <v>0</v>
      </c>
      <c r="L413" s="35">
        <v>0</v>
      </c>
      <c r="M413" s="35">
        <v>0</v>
      </c>
      <c r="N413" s="35">
        <f t="shared" si="294"/>
        <v>2344.84</v>
      </c>
      <c r="O413" s="35">
        <f t="shared" si="295"/>
        <v>2269.1999999999998</v>
      </c>
      <c r="P413" s="35">
        <f t="shared" si="296"/>
        <v>2344.84</v>
      </c>
      <c r="Q413" s="35">
        <f t="shared" si="297"/>
        <v>2269.1999999999998</v>
      </c>
      <c r="R413" s="119">
        <f t="shared" si="298"/>
        <v>2344.84</v>
      </c>
      <c r="S413" s="120">
        <f t="shared" si="299"/>
        <v>153</v>
      </c>
    </row>
    <row r="414" spans="1:19" s="5" customFormat="1" x14ac:dyDescent="0.25">
      <c r="A414" s="115"/>
      <c r="B414" s="207">
        <v>13</v>
      </c>
      <c r="C414" s="323" t="s">
        <v>63</v>
      </c>
      <c r="D414" s="19">
        <v>71.400000000000006</v>
      </c>
      <c r="E414" s="21">
        <v>1</v>
      </c>
      <c r="F414" s="117">
        <f t="shared" si="293"/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0</v>
      </c>
      <c r="L414" s="35">
        <v>0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119">
        <v>0</v>
      </c>
      <c r="S414" s="120">
        <v>0</v>
      </c>
    </row>
    <row r="415" spans="1:19" s="5" customFormat="1" x14ac:dyDescent="0.25">
      <c r="A415" s="115"/>
      <c r="B415" s="116">
        <v>14</v>
      </c>
      <c r="C415" s="323" t="s">
        <v>38</v>
      </c>
      <c r="D415" s="19">
        <v>78.25</v>
      </c>
      <c r="E415" s="21">
        <v>9</v>
      </c>
      <c r="F415" s="117">
        <f t="shared" si="293"/>
        <v>107750.25</v>
      </c>
      <c r="G415" s="35">
        <v>0</v>
      </c>
      <c r="H415" s="35">
        <v>0</v>
      </c>
      <c r="I415" s="35">
        <v>0</v>
      </c>
      <c r="J415" s="35">
        <v>0</v>
      </c>
      <c r="K415" s="35">
        <v>0</v>
      </c>
      <c r="L415" s="35">
        <v>0</v>
      </c>
      <c r="M415" s="35">
        <v>0</v>
      </c>
      <c r="N415" s="35">
        <f t="shared" si="294"/>
        <v>21831.75</v>
      </c>
      <c r="O415" s="35">
        <f t="shared" si="295"/>
        <v>21127.5</v>
      </c>
      <c r="P415" s="35">
        <f t="shared" si="296"/>
        <v>21831.75</v>
      </c>
      <c r="Q415" s="35">
        <f t="shared" si="297"/>
        <v>21127.5</v>
      </c>
      <c r="R415" s="119">
        <f t="shared" si="298"/>
        <v>21831.75</v>
      </c>
      <c r="S415" s="120">
        <f t="shared" si="299"/>
        <v>153</v>
      </c>
    </row>
    <row r="416" spans="1:19" s="5" customFormat="1" x14ac:dyDescent="0.25">
      <c r="A416" s="115"/>
      <c r="B416" s="116">
        <v>15</v>
      </c>
      <c r="C416" s="323" t="s">
        <v>30</v>
      </c>
      <c r="D416" s="19">
        <v>72.540000000000006</v>
      </c>
      <c r="E416" s="21">
        <v>1</v>
      </c>
      <c r="F416" s="117">
        <f t="shared" si="293"/>
        <v>11098.62</v>
      </c>
      <c r="G416" s="35">
        <v>0</v>
      </c>
      <c r="H416" s="35">
        <v>0</v>
      </c>
      <c r="I416" s="35">
        <v>0</v>
      </c>
      <c r="J416" s="35">
        <v>0</v>
      </c>
      <c r="K416" s="35">
        <v>0</v>
      </c>
      <c r="L416" s="35">
        <v>0</v>
      </c>
      <c r="M416" s="35">
        <v>0</v>
      </c>
      <c r="N416" s="35">
        <f t="shared" si="294"/>
        <v>2248.7400000000002</v>
      </c>
      <c r="O416" s="35">
        <f t="shared" si="295"/>
        <v>2176.2000000000003</v>
      </c>
      <c r="P416" s="35">
        <f t="shared" si="296"/>
        <v>2248.7400000000002</v>
      </c>
      <c r="Q416" s="35">
        <f t="shared" si="297"/>
        <v>2176.2000000000003</v>
      </c>
      <c r="R416" s="119">
        <f t="shared" si="298"/>
        <v>2248.7400000000002</v>
      </c>
      <c r="S416" s="120">
        <f t="shared" si="299"/>
        <v>153</v>
      </c>
    </row>
    <row r="417" spans="1:19" s="5" customFormat="1" x14ac:dyDescent="0.25">
      <c r="A417" s="115"/>
      <c r="B417" s="207">
        <v>16</v>
      </c>
      <c r="C417" s="323" t="s">
        <v>53</v>
      </c>
      <c r="D417" s="19">
        <v>71.400000000000006</v>
      </c>
      <c r="E417" s="21">
        <v>1</v>
      </c>
      <c r="F417" s="117">
        <f t="shared" si="293"/>
        <v>10924.2</v>
      </c>
      <c r="G417" s="35">
        <v>0</v>
      </c>
      <c r="H417" s="35">
        <v>0</v>
      </c>
      <c r="I417" s="35">
        <v>0</v>
      </c>
      <c r="J417" s="35">
        <v>0</v>
      </c>
      <c r="K417" s="35">
        <v>0</v>
      </c>
      <c r="L417" s="35">
        <v>0</v>
      </c>
      <c r="M417" s="35">
        <v>0</v>
      </c>
      <c r="N417" s="35">
        <f t="shared" si="294"/>
        <v>2213.4</v>
      </c>
      <c r="O417" s="35">
        <f t="shared" si="295"/>
        <v>2142</v>
      </c>
      <c r="P417" s="35">
        <f t="shared" si="296"/>
        <v>2213.4</v>
      </c>
      <c r="Q417" s="35">
        <f t="shared" si="297"/>
        <v>2142</v>
      </c>
      <c r="R417" s="119">
        <f t="shared" si="298"/>
        <v>2213.4</v>
      </c>
      <c r="S417" s="120">
        <f t="shared" si="299"/>
        <v>153</v>
      </c>
    </row>
    <row r="418" spans="1:19" s="5" customFormat="1" x14ac:dyDescent="0.25">
      <c r="A418" s="115"/>
      <c r="B418" s="207">
        <v>16</v>
      </c>
      <c r="C418" s="323" t="s">
        <v>53</v>
      </c>
      <c r="D418" s="19">
        <v>71.400000000000006</v>
      </c>
      <c r="E418" s="21">
        <v>1</v>
      </c>
      <c r="F418" s="117">
        <f t="shared" si="293"/>
        <v>0</v>
      </c>
      <c r="G418" s="35">
        <v>0</v>
      </c>
      <c r="H418" s="35">
        <v>0</v>
      </c>
      <c r="I418" s="35">
        <v>0</v>
      </c>
      <c r="J418" s="35">
        <v>0</v>
      </c>
      <c r="K418" s="35">
        <v>0</v>
      </c>
      <c r="L418" s="35">
        <v>0</v>
      </c>
      <c r="M418" s="35">
        <v>0</v>
      </c>
      <c r="N418" s="35">
        <v>0</v>
      </c>
      <c r="O418" s="35">
        <v>0</v>
      </c>
      <c r="P418" s="35">
        <v>0</v>
      </c>
      <c r="Q418" s="35">
        <v>0</v>
      </c>
      <c r="R418" s="119">
        <v>0</v>
      </c>
      <c r="S418" s="120">
        <v>0</v>
      </c>
    </row>
    <row r="419" spans="1:19" s="5" customFormat="1" x14ac:dyDescent="0.25">
      <c r="A419" s="115"/>
      <c r="B419" s="325">
        <v>17</v>
      </c>
      <c r="C419" s="326" t="s">
        <v>41</v>
      </c>
      <c r="D419" s="19">
        <v>75.64</v>
      </c>
      <c r="E419" s="21">
        <v>1</v>
      </c>
      <c r="F419" s="117">
        <f t="shared" si="293"/>
        <v>11572.92</v>
      </c>
      <c r="G419" s="35">
        <v>0</v>
      </c>
      <c r="H419" s="35">
        <v>0</v>
      </c>
      <c r="I419" s="35">
        <v>0</v>
      </c>
      <c r="J419" s="35">
        <v>0</v>
      </c>
      <c r="K419" s="35">
        <v>0</v>
      </c>
      <c r="L419" s="35">
        <v>0</v>
      </c>
      <c r="M419" s="35">
        <v>0</v>
      </c>
      <c r="N419" s="35">
        <f t="shared" si="294"/>
        <v>2344.84</v>
      </c>
      <c r="O419" s="35">
        <f t="shared" si="295"/>
        <v>2269.1999999999998</v>
      </c>
      <c r="P419" s="35">
        <f t="shared" si="296"/>
        <v>2344.84</v>
      </c>
      <c r="Q419" s="35">
        <f t="shared" si="297"/>
        <v>2269.1999999999998</v>
      </c>
      <c r="R419" s="119">
        <f t="shared" si="298"/>
        <v>2344.84</v>
      </c>
      <c r="S419" s="120">
        <f t="shared" si="299"/>
        <v>153</v>
      </c>
    </row>
    <row r="420" spans="1:19" s="5" customFormat="1" x14ac:dyDescent="0.25">
      <c r="A420" s="115"/>
      <c r="B420" s="207">
        <v>18</v>
      </c>
      <c r="C420" s="323" t="s">
        <v>36</v>
      </c>
      <c r="D420" s="19">
        <v>80.86</v>
      </c>
      <c r="E420" s="21">
        <v>6</v>
      </c>
      <c r="F420" s="117">
        <f t="shared" si="293"/>
        <v>74229.48</v>
      </c>
      <c r="G420" s="35">
        <v>0</v>
      </c>
      <c r="H420" s="35">
        <v>0</v>
      </c>
      <c r="I420" s="35">
        <v>0</v>
      </c>
      <c r="J420" s="35">
        <v>0</v>
      </c>
      <c r="K420" s="35">
        <v>0</v>
      </c>
      <c r="L420" s="35">
        <v>0</v>
      </c>
      <c r="M420" s="35">
        <v>0</v>
      </c>
      <c r="N420" s="35">
        <f t="shared" si="294"/>
        <v>15039.96</v>
      </c>
      <c r="O420" s="35">
        <f t="shared" si="295"/>
        <v>14554.8</v>
      </c>
      <c r="P420" s="35">
        <f t="shared" si="296"/>
        <v>15039.96</v>
      </c>
      <c r="Q420" s="35">
        <f t="shared" si="297"/>
        <v>14554.8</v>
      </c>
      <c r="R420" s="119">
        <f t="shared" si="298"/>
        <v>15039.96</v>
      </c>
      <c r="S420" s="120">
        <f t="shared" si="299"/>
        <v>153</v>
      </c>
    </row>
    <row r="421" spans="1:19" s="5" customFormat="1" x14ac:dyDescent="0.25">
      <c r="A421" s="115"/>
      <c r="B421" s="116">
        <v>28</v>
      </c>
      <c r="C421" s="323" t="s">
        <v>71</v>
      </c>
      <c r="D421" s="19">
        <v>71.400000000000006</v>
      </c>
      <c r="E421" s="21">
        <v>4</v>
      </c>
      <c r="F421" s="117">
        <f t="shared" si="278"/>
        <v>26275.200000000001</v>
      </c>
      <c r="G421" s="333">
        <v>0</v>
      </c>
      <c r="H421" s="334">
        <v>0</v>
      </c>
      <c r="I421" s="333">
        <v>0</v>
      </c>
      <c r="J421" s="35">
        <v>0</v>
      </c>
      <c r="K421" s="35">
        <v>0</v>
      </c>
      <c r="L421" s="35">
        <v>0</v>
      </c>
      <c r="M421" s="35">
        <f>+D421*E421*31</f>
        <v>8853.6</v>
      </c>
      <c r="N421" s="35">
        <f>+D421*E421*31</f>
        <v>8853.6</v>
      </c>
      <c r="O421" s="35">
        <f>+D421*E421*30</f>
        <v>8568</v>
      </c>
      <c r="P421" s="35">
        <v>0</v>
      </c>
      <c r="Q421" s="35">
        <v>0</v>
      </c>
      <c r="R421" s="119">
        <v>0</v>
      </c>
      <c r="S421" s="120">
        <f t="shared" ref="S421:S424" si="300">31+31+30</f>
        <v>92</v>
      </c>
    </row>
    <row r="422" spans="1:19" s="5" customFormat="1" x14ac:dyDescent="0.25">
      <c r="A422" s="115"/>
      <c r="B422" s="116">
        <v>30</v>
      </c>
      <c r="C422" s="323" t="s">
        <v>72</v>
      </c>
      <c r="D422" s="19">
        <v>71.400000000000006</v>
      </c>
      <c r="E422" s="21">
        <v>2</v>
      </c>
      <c r="F422" s="117">
        <f t="shared" si="278"/>
        <v>13137.6</v>
      </c>
      <c r="G422" s="333">
        <v>0</v>
      </c>
      <c r="H422" s="334">
        <v>0</v>
      </c>
      <c r="I422" s="333">
        <v>0</v>
      </c>
      <c r="J422" s="35">
        <v>0</v>
      </c>
      <c r="K422" s="35">
        <v>0</v>
      </c>
      <c r="L422" s="35">
        <v>0</v>
      </c>
      <c r="M422" s="35">
        <f>+D422*E422*31</f>
        <v>4426.8</v>
      </c>
      <c r="N422" s="35">
        <f>+D422*E422*31</f>
        <v>4426.8</v>
      </c>
      <c r="O422" s="35">
        <f>+D422*E422*30</f>
        <v>4284</v>
      </c>
      <c r="P422" s="35">
        <v>0</v>
      </c>
      <c r="Q422" s="35">
        <v>0</v>
      </c>
      <c r="R422" s="119">
        <v>0</v>
      </c>
      <c r="S422" s="120">
        <f t="shared" si="300"/>
        <v>92</v>
      </c>
    </row>
    <row r="423" spans="1:19" s="5" customFormat="1" x14ac:dyDescent="0.25">
      <c r="A423" s="115"/>
      <c r="B423" s="116">
        <v>33</v>
      </c>
      <c r="C423" s="18" t="s">
        <v>31</v>
      </c>
      <c r="D423" s="19">
        <v>71.400000000000006</v>
      </c>
      <c r="E423" s="21">
        <v>1</v>
      </c>
      <c r="F423" s="117">
        <f t="shared" si="278"/>
        <v>6568.8</v>
      </c>
      <c r="G423" s="333">
        <v>0</v>
      </c>
      <c r="H423" s="334">
        <v>0</v>
      </c>
      <c r="I423" s="333">
        <v>0</v>
      </c>
      <c r="J423" s="35">
        <v>0</v>
      </c>
      <c r="K423" s="35">
        <v>0</v>
      </c>
      <c r="L423" s="35">
        <v>0</v>
      </c>
      <c r="M423" s="35">
        <f>+D423*E423*31</f>
        <v>2213.4</v>
      </c>
      <c r="N423" s="35">
        <f>+D423*E423*31</f>
        <v>2213.4</v>
      </c>
      <c r="O423" s="35">
        <f>+D423*E423*30</f>
        <v>2142</v>
      </c>
      <c r="P423" s="35">
        <v>0</v>
      </c>
      <c r="Q423" s="35">
        <v>0</v>
      </c>
      <c r="R423" s="119">
        <v>0</v>
      </c>
      <c r="S423" s="120">
        <f t="shared" si="300"/>
        <v>92</v>
      </c>
    </row>
    <row r="424" spans="1:19" s="5" customFormat="1" x14ac:dyDescent="0.25">
      <c r="A424" s="115"/>
      <c r="B424" s="116">
        <v>29</v>
      </c>
      <c r="C424" s="323" t="s">
        <v>43</v>
      </c>
      <c r="D424" s="19">
        <v>72.540000000000006</v>
      </c>
      <c r="E424" s="21">
        <v>4</v>
      </c>
      <c r="F424" s="117">
        <f t="shared" si="278"/>
        <v>26694.720000000001</v>
      </c>
      <c r="G424" s="333">
        <v>0</v>
      </c>
      <c r="H424" s="334">
        <v>0</v>
      </c>
      <c r="I424" s="333">
        <v>0</v>
      </c>
      <c r="J424" s="35">
        <v>0</v>
      </c>
      <c r="K424" s="35">
        <v>0</v>
      </c>
      <c r="L424" s="35">
        <v>0</v>
      </c>
      <c r="M424" s="35">
        <f>+D424*E424*31</f>
        <v>8994.9600000000009</v>
      </c>
      <c r="N424" s="35">
        <f>+D424*E424*31</f>
        <v>8994.9600000000009</v>
      </c>
      <c r="O424" s="35">
        <f>+D424*E424*30</f>
        <v>8704.8000000000011</v>
      </c>
      <c r="P424" s="35">
        <v>0</v>
      </c>
      <c r="Q424" s="35">
        <v>0</v>
      </c>
      <c r="R424" s="119">
        <v>0</v>
      </c>
      <c r="S424" s="120">
        <f t="shared" si="300"/>
        <v>92</v>
      </c>
    </row>
    <row r="425" spans="1:19" s="5" customFormat="1" x14ac:dyDescent="0.25">
      <c r="A425" s="115"/>
      <c r="B425" s="116">
        <v>32</v>
      </c>
      <c r="C425" s="323" t="s">
        <v>34</v>
      </c>
      <c r="D425" s="19">
        <v>71.400000000000006</v>
      </c>
      <c r="E425" s="21">
        <v>1</v>
      </c>
      <c r="F425" s="117">
        <f>+E425*S425*D425</f>
        <v>6568.8</v>
      </c>
      <c r="G425" s="333">
        <v>0</v>
      </c>
      <c r="H425" s="334">
        <v>0</v>
      </c>
      <c r="I425" s="333">
        <v>0</v>
      </c>
      <c r="J425" s="35">
        <v>0</v>
      </c>
      <c r="K425" s="35">
        <v>0</v>
      </c>
      <c r="L425" s="35">
        <v>0</v>
      </c>
      <c r="M425" s="35">
        <f>+D425*E425*31</f>
        <v>2213.4</v>
      </c>
      <c r="N425" s="35">
        <f>+D425*E425*31</f>
        <v>2213.4</v>
      </c>
      <c r="O425" s="35">
        <f>+D425*E425*30</f>
        <v>2142</v>
      </c>
      <c r="P425" s="35">
        <v>0</v>
      </c>
      <c r="Q425" s="35">
        <v>0</v>
      </c>
      <c r="R425" s="119">
        <v>0</v>
      </c>
      <c r="S425" s="120">
        <f>31+31+30</f>
        <v>92</v>
      </c>
    </row>
    <row r="426" spans="1:19" ht="15.75" thickBot="1" x14ac:dyDescent="0.3">
      <c r="A426" s="46"/>
      <c r="B426" s="169"/>
      <c r="C426" s="170" t="s">
        <v>123</v>
      </c>
      <c r="D426" s="171"/>
      <c r="E426" s="172"/>
      <c r="F426" s="335">
        <f>2861116-SUM(F360:F425)+281288</f>
        <v>230884.64999999944</v>
      </c>
      <c r="G426" s="336"/>
      <c r="H426" s="175"/>
      <c r="I426" s="174"/>
      <c r="J426" s="337"/>
      <c r="K426" s="337"/>
      <c r="L426" s="174"/>
      <c r="M426" s="337"/>
      <c r="N426" s="174"/>
      <c r="O426" s="174"/>
      <c r="P426" s="174"/>
      <c r="Q426" s="174"/>
      <c r="R426" s="274">
        <f>F426</f>
        <v>230884.64999999944</v>
      </c>
    </row>
    <row r="427" spans="1:19" ht="30.75" customHeight="1" x14ac:dyDescent="0.25">
      <c r="A427" s="46"/>
      <c r="B427" s="260"/>
      <c r="C427" s="598" t="s">
        <v>75</v>
      </c>
      <c r="D427" s="599"/>
      <c r="E427" s="292"/>
      <c r="F427" s="293"/>
      <c r="G427" s="294"/>
      <c r="H427" s="295"/>
      <c r="I427" s="294"/>
      <c r="J427" s="294"/>
      <c r="K427" s="294"/>
      <c r="L427" s="294"/>
      <c r="M427" s="294"/>
      <c r="N427" s="294"/>
      <c r="O427" s="294"/>
      <c r="P427" s="294"/>
      <c r="Q427" s="294"/>
      <c r="R427" s="296"/>
    </row>
    <row r="428" spans="1:19" ht="29.25" customHeight="1" x14ac:dyDescent="0.25">
      <c r="A428" s="46"/>
      <c r="B428" s="150"/>
      <c r="C428" s="592" t="s">
        <v>140</v>
      </c>
      <c r="D428" s="592"/>
      <c r="E428" s="297">
        <f>SUM(E431:E472)</f>
        <v>316</v>
      </c>
      <c r="F428" s="152">
        <f t="shared" ref="F428:R428" si="301">SUM(F431:F473)</f>
        <v>4195852</v>
      </c>
      <c r="G428" s="153">
        <f t="shared" si="301"/>
        <v>355851.17000000004</v>
      </c>
      <c r="H428" s="153">
        <f t="shared" si="301"/>
        <v>322533.41000000003</v>
      </c>
      <c r="I428" s="153">
        <f t="shared" si="301"/>
        <v>353994.77000000008</v>
      </c>
      <c r="J428" s="153">
        <f t="shared" si="301"/>
        <v>342230.10000000003</v>
      </c>
      <c r="K428" s="153">
        <f t="shared" si="301"/>
        <v>353637.77000000008</v>
      </c>
      <c r="L428" s="153">
        <f t="shared" si="301"/>
        <v>342230.10000000003</v>
      </c>
      <c r="M428" s="153">
        <f t="shared" si="301"/>
        <v>355851.1700000001</v>
      </c>
      <c r="N428" s="312">
        <f t="shared" si="301"/>
        <v>350473.87000000005</v>
      </c>
      <c r="O428" s="312">
        <f t="shared" si="301"/>
        <v>340088.10000000003</v>
      </c>
      <c r="P428" s="312">
        <f t="shared" si="301"/>
        <v>349110.84</v>
      </c>
      <c r="Q428" s="312">
        <f t="shared" si="301"/>
        <v>337849.2</v>
      </c>
      <c r="R428" s="154">
        <f t="shared" si="301"/>
        <v>392001.49999999924</v>
      </c>
      <c r="S428" s="16">
        <f>F428-SUM(G428:R428)</f>
        <v>0</v>
      </c>
    </row>
    <row r="429" spans="1:19" x14ac:dyDescent="0.25">
      <c r="A429" s="46"/>
      <c r="B429" s="318"/>
      <c r="C429" s="319"/>
      <c r="D429" s="320"/>
      <c r="E429" s="297"/>
      <c r="F429" s="152">
        <f>SUM(F431:F472)</f>
        <v>4152961.3400000008</v>
      </c>
      <c r="G429" s="153"/>
      <c r="H429" s="153"/>
      <c r="I429" s="153"/>
      <c r="J429" s="153"/>
      <c r="K429" s="153"/>
      <c r="L429" s="153"/>
      <c r="M429" s="153"/>
      <c r="N429" s="312"/>
      <c r="O429" s="321"/>
      <c r="P429" s="312"/>
      <c r="Q429" s="312"/>
      <c r="R429" s="154"/>
    </row>
    <row r="430" spans="1:19" x14ac:dyDescent="0.25">
      <c r="A430" s="46"/>
      <c r="B430" s="121"/>
      <c r="C430" s="110"/>
      <c r="D430" s="110"/>
      <c r="E430" s="110" t="s">
        <v>122</v>
      </c>
      <c r="F430" s="111">
        <v>0</v>
      </c>
      <c r="G430" s="213"/>
      <c r="H430" s="213"/>
      <c r="I430" s="213"/>
      <c r="J430" s="213"/>
      <c r="K430" s="213"/>
      <c r="L430" s="213"/>
      <c r="M430" s="213"/>
      <c r="N430" s="213"/>
      <c r="O430" s="213"/>
      <c r="P430" s="213"/>
      <c r="Q430" s="213"/>
      <c r="R430" s="307"/>
    </row>
    <row r="431" spans="1:19" x14ac:dyDescent="0.25">
      <c r="A431" s="46"/>
      <c r="B431" s="184">
        <v>1</v>
      </c>
      <c r="C431" s="216" t="s">
        <v>43</v>
      </c>
      <c r="D431" s="123">
        <v>72.540000000000006</v>
      </c>
      <c r="E431" s="20">
        <v>20</v>
      </c>
      <c r="F431" s="124">
        <f t="shared" ref="F431:F450" si="302">+E431*S431*D431</f>
        <v>307569.60000000003</v>
      </c>
      <c r="G431" s="125">
        <f t="shared" ref="G431:G450" si="303">E431*D431*31</f>
        <v>44974.8</v>
      </c>
      <c r="H431" s="126">
        <f t="shared" ref="H431:H450" si="304">E431*D431*28</f>
        <v>40622.400000000009</v>
      </c>
      <c r="I431" s="125">
        <f t="shared" ref="I431:I450" si="305">E431*D431*31</f>
        <v>44974.8</v>
      </c>
      <c r="J431" s="125">
        <f t="shared" ref="J431:J450" si="306">E431*D431*30</f>
        <v>43524.000000000007</v>
      </c>
      <c r="K431" s="125">
        <f t="shared" ref="K431:K450" si="307">E431*D431*31</f>
        <v>44974.8</v>
      </c>
      <c r="L431" s="125">
        <f t="shared" ref="L431:L450" si="308">E431*D431*30</f>
        <v>43524.000000000007</v>
      </c>
      <c r="M431" s="125">
        <f t="shared" ref="M431:M450" si="309">E431*D431*31</f>
        <v>44974.8</v>
      </c>
      <c r="N431" s="125">
        <v>0</v>
      </c>
      <c r="O431" s="125">
        <v>0</v>
      </c>
      <c r="P431" s="125">
        <v>0</v>
      </c>
      <c r="Q431" s="125">
        <v>0</v>
      </c>
      <c r="R431" s="127">
        <v>0</v>
      </c>
      <c r="S431" s="128">
        <v>212</v>
      </c>
    </row>
    <row r="432" spans="1:19" x14ac:dyDescent="0.25">
      <c r="A432" s="46"/>
      <c r="B432" s="121">
        <v>2</v>
      </c>
      <c r="C432" s="122" t="s">
        <v>45</v>
      </c>
      <c r="D432" s="123">
        <v>73.59</v>
      </c>
      <c r="E432" s="20">
        <v>17</v>
      </c>
      <c r="F432" s="124">
        <f t="shared" si="302"/>
        <v>265218.36</v>
      </c>
      <c r="G432" s="125">
        <f t="shared" si="303"/>
        <v>38781.93</v>
      </c>
      <c r="H432" s="126">
        <f t="shared" si="304"/>
        <v>35028.839999999997</v>
      </c>
      <c r="I432" s="125">
        <f t="shared" si="305"/>
        <v>38781.93</v>
      </c>
      <c r="J432" s="125">
        <f t="shared" si="306"/>
        <v>37530.9</v>
      </c>
      <c r="K432" s="125">
        <f t="shared" si="307"/>
        <v>38781.93</v>
      </c>
      <c r="L432" s="125">
        <f t="shared" si="308"/>
        <v>37530.9</v>
      </c>
      <c r="M432" s="125">
        <f t="shared" si="309"/>
        <v>38781.93</v>
      </c>
      <c r="N432" s="125">
        <v>0</v>
      </c>
      <c r="O432" s="125">
        <v>0</v>
      </c>
      <c r="P432" s="125">
        <v>0</v>
      </c>
      <c r="Q432" s="125">
        <v>0</v>
      </c>
      <c r="R432" s="127">
        <v>0</v>
      </c>
      <c r="S432" s="128">
        <v>212</v>
      </c>
    </row>
    <row r="433" spans="1:19" x14ac:dyDescent="0.25">
      <c r="A433" s="46"/>
      <c r="B433" s="121">
        <v>3</v>
      </c>
      <c r="C433" s="122" t="s">
        <v>46</v>
      </c>
      <c r="D433" s="123">
        <v>74.63</v>
      </c>
      <c r="E433" s="20">
        <v>12</v>
      </c>
      <c r="F433" s="124">
        <f t="shared" si="302"/>
        <v>189858.72</v>
      </c>
      <c r="G433" s="125">
        <f t="shared" si="303"/>
        <v>27762.359999999997</v>
      </c>
      <c r="H433" s="126">
        <f t="shared" si="304"/>
        <v>25075.68</v>
      </c>
      <c r="I433" s="125">
        <f t="shared" si="305"/>
        <v>27762.359999999997</v>
      </c>
      <c r="J433" s="125">
        <f t="shared" si="306"/>
        <v>26866.799999999999</v>
      </c>
      <c r="K433" s="125">
        <f t="shared" si="307"/>
        <v>27762.359999999997</v>
      </c>
      <c r="L433" s="125">
        <f t="shared" si="308"/>
        <v>26866.799999999999</v>
      </c>
      <c r="M433" s="125">
        <f t="shared" si="309"/>
        <v>27762.359999999997</v>
      </c>
      <c r="N433" s="125">
        <v>0</v>
      </c>
      <c r="O433" s="125">
        <v>0</v>
      </c>
      <c r="P433" s="125">
        <v>0</v>
      </c>
      <c r="Q433" s="125">
        <v>0</v>
      </c>
      <c r="R433" s="127">
        <v>0</v>
      </c>
      <c r="S433" s="128">
        <v>212</v>
      </c>
    </row>
    <row r="434" spans="1:19" x14ac:dyDescent="0.25">
      <c r="A434" s="46"/>
      <c r="B434" s="121">
        <v>3</v>
      </c>
      <c r="C434" s="122" t="s">
        <v>46</v>
      </c>
      <c r="D434" s="123">
        <v>74.63</v>
      </c>
      <c r="E434" s="20">
        <v>1</v>
      </c>
      <c r="F434" s="124">
        <f t="shared" si="302"/>
        <v>2313.5299999999997</v>
      </c>
      <c r="G434" s="125">
        <f t="shared" si="303"/>
        <v>2313.5299999999997</v>
      </c>
      <c r="H434" s="126">
        <v>0</v>
      </c>
      <c r="I434" s="125">
        <v>0</v>
      </c>
      <c r="J434" s="125">
        <v>0</v>
      </c>
      <c r="K434" s="125">
        <v>0</v>
      </c>
      <c r="L434" s="125">
        <v>0</v>
      </c>
      <c r="M434" s="125">
        <v>0</v>
      </c>
      <c r="N434" s="125">
        <v>0</v>
      </c>
      <c r="O434" s="125">
        <v>0</v>
      </c>
      <c r="P434" s="125">
        <v>0</v>
      </c>
      <c r="Q434" s="125">
        <v>0</v>
      </c>
      <c r="R434" s="127">
        <v>0</v>
      </c>
      <c r="S434" s="128">
        <v>31</v>
      </c>
    </row>
    <row r="435" spans="1:19" x14ac:dyDescent="0.25">
      <c r="A435" s="46"/>
      <c r="B435" s="184">
        <v>18</v>
      </c>
      <c r="C435" s="122" t="s">
        <v>46</v>
      </c>
      <c r="D435" s="123">
        <v>74.63</v>
      </c>
      <c r="E435" s="20">
        <v>1</v>
      </c>
      <c r="F435" s="124">
        <f t="shared" si="302"/>
        <v>5522.62</v>
      </c>
      <c r="G435" s="125">
        <v>0</v>
      </c>
      <c r="H435" s="126">
        <f>E435*D435*28+D435*E435*15</f>
        <v>3209.0899999999997</v>
      </c>
      <c r="I435" s="125">
        <f t="shared" si="305"/>
        <v>2313.5299999999997</v>
      </c>
      <c r="J435" s="125">
        <v>0</v>
      </c>
      <c r="K435" s="125">
        <v>0</v>
      </c>
      <c r="L435" s="125">
        <v>0</v>
      </c>
      <c r="M435" s="125">
        <v>0</v>
      </c>
      <c r="N435" s="125">
        <v>0</v>
      </c>
      <c r="O435" s="125">
        <v>0</v>
      </c>
      <c r="P435" s="125">
        <v>0</v>
      </c>
      <c r="Q435" s="125">
        <v>0</v>
      </c>
      <c r="R435" s="127">
        <v>0</v>
      </c>
      <c r="S435" s="128">
        <f>15+28+31</f>
        <v>74</v>
      </c>
    </row>
    <row r="436" spans="1:19" x14ac:dyDescent="0.25">
      <c r="A436" s="46"/>
      <c r="B436" s="184">
        <v>19</v>
      </c>
      <c r="C436" s="122" t="s">
        <v>46</v>
      </c>
      <c r="D436" s="123">
        <v>74.63</v>
      </c>
      <c r="E436" s="20">
        <v>1</v>
      </c>
      <c r="F436" s="124">
        <f t="shared" si="302"/>
        <v>6791.33</v>
      </c>
      <c r="G436" s="125">
        <v>0</v>
      </c>
      <c r="H436" s="126">
        <v>0</v>
      </c>
      <c r="I436" s="125">
        <v>0</v>
      </c>
      <c r="J436" s="125">
        <f t="shared" ref="J436" si="310">E436*D436*30</f>
        <v>2238.8999999999996</v>
      </c>
      <c r="K436" s="125">
        <f t="shared" ref="K436" si="311">E436*D436*31</f>
        <v>2313.5299999999997</v>
      </c>
      <c r="L436" s="125">
        <f t="shared" ref="L436" si="312">E436*D436*30</f>
        <v>2238.8999999999996</v>
      </c>
      <c r="M436" s="125">
        <v>0</v>
      </c>
      <c r="N436" s="125">
        <v>0</v>
      </c>
      <c r="O436" s="125">
        <v>0</v>
      </c>
      <c r="P436" s="125">
        <v>0</v>
      </c>
      <c r="Q436" s="125">
        <v>0</v>
      </c>
      <c r="R436" s="127">
        <v>0</v>
      </c>
      <c r="S436" s="128">
        <f>30+31+30</f>
        <v>91</v>
      </c>
    </row>
    <row r="437" spans="1:19" x14ac:dyDescent="0.25">
      <c r="A437" s="46"/>
      <c r="B437" s="184">
        <v>4</v>
      </c>
      <c r="C437" s="122" t="s">
        <v>71</v>
      </c>
      <c r="D437" s="123">
        <v>71.400000000000006</v>
      </c>
      <c r="E437" s="20">
        <v>5</v>
      </c>
      <c r="F437" s="124">
        <f t="shared" si="302"/>
        <v>75684</v>
      </c>
      <c r="G437" s="125">
        <f t="shared" si="303"/>
        <v>11067</v>
      </c>
      <c r="H437" s="126">
        <f t="shared" si="304"/>
        <v>9996</v>
      </c>
      <c r="I437" s="125">
        <f t="shared" si="305"/>
        <v>11067</v>
      </c>
      <c r="J437" s="125">
        <f t="shared" si="306"/>
        <v>10710</v>
      </c>
      <c r="K437" s="125">
        <f t="shared" si="307"/>
        <v>11067</v>
      </c>
      <c r="L437" s="125">
        <f t="shared" si="308"/>
        <v>10710</v>
      </c>
      <c r="M437" s="125">
        <f t="shared" si="309"/>
        <v>11067</v>
      </c>
      <c r="N437" s="125">
        <v>0</v>
      </c>
      <c r="O437" s="125">
        <v>0</v>
      </c>
      <c r="P437" s="125">
        <v>0</v>
      </c>
      <c r="Q437" s="125">
        <v>0</v>
      </c>
      <c r="R437" s="127">
        <v>0</v>
      </c>
      <c r="S437" s="128">
        <v>212</v>
      </c>
    </row>
    <row r="438" spans="1:19" x14ac:dyDescent="0.25">
      <c r="A438" s="46"/>
      <c r="B438" s="121">
        <v>5</v>
      </c>
      <c r="C438" s="122" t="s">
        <v>72</v>
      </c>
      <c r="D438" s="123">
        <v>71.400000000000006</v>
      </c>
      <c r="E438" s="20">
        <v>1</v>
      </c>
      <c r="F438" s="124">
        <f t="shared" si="302"/>
        <v>15136.800000000001</v>
      </c>
      <c r="G438" s="125">
        <f t="shared" si="303"/>
        <v>2213.4</v>
      </c>
      <c r="H438" s="126">
        <f t="shared" si="304"/>
        <v>1999.2000000000003</v>
      </c>
      <c r="I438" s="125">
        <f t="shared" si="305"/>
        <v>2213.4</v>
      </c>
      <c r="J438" s="125">
        <f t="shared" si="306"/>
        <v>2142</v>
      </c>
      <c r="K438" s="125">
        <f t="shared" si="307"/>
        <v>2213.4</v>
      </c>
      <c r="L438" s="125">
        <f t="shared" si="308"/>
        <v>2142</v>
      </c>
      <c r="M438" s="125">
        <f t="shared" si="309"/>
        <v>2213.4</v>
      </c>
      <c r="N438" s="125">
        <v>0</v>
      </c>
      <c r="O438" s="125">
        <v>0</v>
      </c>
      <c r="P438" s="125">
        <v>0</v>
      </c>
      <c r="Q438" s="125">
        <v>0</v>
      </c>
      <c r="R438" s="127">
        <v>0</v>
      </c>
      <c r="S438" s="128">
        <v>212</v>
      </c>
    </row>
    <row r="439" spans="1:19" x14ac:dyDescent="0.25">
      <c r="A439" s="46"/>
      <c r="B439" s="121">
        <v>6</v>
      </c>
      <c r="C439" s="122" t="s">
        <v>34</v>
      </c>
      <c r="D439" s="123">
        <v>71.400000000000006</v>
      </c>
      <c r="E439" s="20">
        <v>4</v>
      </c>
      <c r="F439" s="124">
        <f t="shared" si="302"/>
        <v>60547.200000000004</v>
      </c>
      <c r="G439" s="125">
        <f t="shared" si="303"/>
        <v>8853.6</v>
      </c>
      <c r="H439" s="126">
        <f t="shared" si="304"/>
        <v>7996.8000000000011</v>
      </c>
      <c r="I439" s="125">
        <f t="shared" si="305"/>
        <v>8853.6</v>
      </c>
      <c r="J439" s="125">
        <f t="shared" si="306"/>
        <v>8568</v>
      </c>
      <c r="K439" s="125">
        <f t="shared" si="307"/>
        <v>8853.6</v>
      </c>
      <c r="L439" s="125">
        <f t="shared" si="308"/>
        <v>8568</v>
      </c>
      <c r="M439" s="125">
        <f t="shared" si="309"/>
        <v>8853.6</v>
      </c>
      <c r="N439" s="125">
        <v>0</v>
      </c>
      <c r="O439" s="125">
        <v>0</v>
      </c>
      <c r="P439" s="125">
        <v>0</v>
      </c>
      <c r="Q439" s="125">
        <v>0</v>
      </c>
      <c r="R439" s="127">
        <v>0</v>
      </c>
      <c r="S439" s="128">
        <v>212</v>
      </c>
    </row>
    <row r="440" spans="1:19" ht="15.75" customHeight="1" x14ac:dyDescent="0.25">
      <c r="A440" s="46"/>
      <c r="B440" s="184">
        <v>7</v>
      </c>
      <c r="C440" s="122" t="s">
        <v>66</v>
      </c>
      <c r="D440" s="123">
        <v>73.59</v>
      </c>
      <c r="E440" s="20">
        <v>4</v>
      </c>
      <c r="F440" s="124">
        <f t="shared" si="302"/>
        <v>62404.32</v>
      </c>
      <c r="G440" s="125">
        <f t="shared" si="303"/>
        <v>9125.16</v>
      </c>
      <c r="H440" s="126">
        <f t="shared" si="304"/>
        <v>8242.08</v>
      </c>
      <c r="I440" s="125">
        <f t="shared" si="305"/>
        <v>9125.16</v>
      </c>
      <c r="J440" s="125">
        <f t="shared" si="306"/>
        <v>8830.8000000000011</v>
      </c>
      <c r="K440" s="125">
        <f t="shared" si="307"/>
        <v>9125.16</v>
      </c>
      <c r="L440" s="125">
        <f t="shared" si="308"/>
        <v>8830.8000000000011</v>
      </c>
      <c r="M440" s="125">
        <f t="shared" si="309"/>
        <v>9125.16</v>
      </c>
      <c r="N440" s="125">
        <v>0</v>
      </c>
      <c r="O440" s="125">
        <v>0</v>
      </c>
      <c r="P440" s="125">
        <v>0</v>
      </c>
      <c r="Q440" s="125">
        <v>0</v>
      </c>
      <c r="R440" s="127">
        <v>0</v>
      </c>
      <c r="S440" s="128">
        <v>212</v>
      </c>
    </row>
    <row r="441" spans="1:19" x14ac:dyDescent="0.25">
      <c r="A441" s="46"/>
      <c r="B441" s="121">
        <v>8</v>
      </c>
      <c r="C441" s="122" t="s">
        <v>49</v>
      </c>
      <c r="D441" s="123">
        <v>74.63</v>
      </c>
      <c r="E441" s="20">
        <v>1</v>
      </c>
      <c r="F441" s="124">
        <f t="shared" si="302"/>
        <v>15821.56</v>
      </c>
      <c r="G441" s="125">
        <f t="shared" si="303"/>
        <v>2313.5299999999997</v>
      </c>
      <c r="H441" s="126">
        <f t="shared" si="304"/>
        <v>2089.64</v>
      </c>
      <c r="I441" s="125">
        <f t="shared" si="305"/>
        <v>2313.5299999999997</v>
      </c>
      <c r="J441" s="125">
        <f t="shared" si="306"/>
        <v>2238.8999999999996</v>
      </c>
      <c r="K441" s="125">
        <f t="shared" si="307"/>
        <v>2313.5299999999997</v>
      </c>
      <c r="L441" s="125">
        <f t="shared" si="308"/>
        <v>2238.8999999999996</v>
      </c>
      <c r="M441" s="125">
        <f t="shared" si="309"/>
        <v>2313.5299999999997</v>
      </c>
      <c r="N441" s="125">
        <v>0</v>
      </c>
      <c r="O441" s="125">
        <v>0</v>
      </c>
      <c r="P441" s="125">
        <v>0</v>
      </c>
      <c r="Q441" s="125">
        <v>0</v>
      </c>
      <c r="R441" s="127">
        <v>0</v>
      </c>
      <c r="S441" s="128">
        <v>212</v>
      </c>
    </row>
    <row r="442" spans="1:19" x14ac:dyDescent="0.25">
      <c r="A442" s="46"/>
      <c r="B442" s="121">
        <v>9</v>
      </c>
      <c r="C442" s="122" t="s">
        <v>76</v>
      </c>
      <c r="D442" s="123">
        <v>72.540000000000006</v>
      </c>
      <c r="E442" s="20">
        <v>1</v>
      </c>
      <c r="F442" s="124">
        <f t="shared" si="302"/>
        <v>15378.480000000001</v>
      </c>
      <c r="G442" s="125">
        <f t="shared" si="303"/>
        <v>2248.7400000000002</v>
      </c>
      <c r="H442" s="126">
        <f t="shared" si="304"/>
        <v>2031.1200000000001</v>
      </c>
      <c r="I442" s="125">
        <f t="shared" si="305"/>
        <v>2248.7400000000002</v>
      </c>
      <c r="J442" s="125">
        <f t="shared" si="306"/>
        <v>2176.2000000000003</v>
      </c>
      <c r="K442" s="125">
        <f t="shared" si="307"/>
        <v>2248.7400000000002</v>
      </c>
      <c r="L442" s="125">
        <f t="shared" si="308"/>
        <v>2176.2000000000003</v>
      </c>
      <c r="M442" s="125">
        <f t="shared" si="309"/>
        <v>2248.7400000000002</v>
      </c>
      <c r="N442" s="125">
        <v>0</v>
      </c>
      <c r="O442" s="125">
        <v>0</v>
      </c>
      <c r="P442" s="125">
        <v>0</v>
      </c>
      <c r="Q442" s="125">
        <v>0</v>
      </c>
      <c r="R442" s="127">
        <v>0</v>
      </c>
      <c r="S442" s="128">
        <v>212</v>
      </c>
    </row>
    <row r="443" spans="1:19" x14ac:dyDescent="0.25">
      <c r="A443" s="46"/>
      <c r="B443" s="184">
        <v>10</v>
      </c>
      <c r="C443" s="122" t="s">
        <v>37</v>
      </c>
      <c r="D443" s="123">
        <v>71.400000000000006</v>
      </c>
      <c r="E443" s="20">
        <v>1</v>
      </c>
      <c r="F443" s="124">
        <f t="shared" si="302"/>
        <v>15136.800000000001</v>
      </c>
      <c r="G443" s="125">
        <f t="shared" si="303"/>
        <v>2213.4</v>
      </c>
      <c r="H443" s="126">
        <f t="shared" si="304"/>
        <v>1999.2000000000003</v>
      </c>
      <c r="I443" s="125">
        <f t="shared" si="305"/>
        <v>2213.4</v>
      </c>
      <c r="J443" s="125">
        <f t="shared" si="306"/>
        <v>2142</v>
      </c>
      <c r="K443" s="125">
        <f t="shared" si="307"/>
        <v>2213.4</v>
      </c>
      <c r="L443" s="125">
        <f t="shared" si="308"/>
        <v>2142</v>
      </c>
      <c r="M443" s="125">
        <f t="shared" si="309"/>
        <v>2213.4</v>
      </c>
      <c r="N443" s="125">
        <v>0</v>
      </c>
      <c r="O443" s="125">
        <v>0</v>
      </c>
      <c r="P443" s="125">
        <v>0</v>
      </c>
      <c r="Q443" s="125">
        <v>0</v>
      </c>
      <c r="R443" s="127">
        <v>0</v>
      </c>
      <c r="S443" s="128">
        <v>212</v>
      </c>
    </row>
    <row r="444" spans="1:19" s="5" customFormat="1" x14ac:dyDescent="0.25">
      <c r="A444" s="115"/>
      <c r="B444" s="207">
        <v>18</v>
      </c>
      <c r="C444" s="18" t="s">
        <v>37</v>
      </c>
      <c r="D444" s="19">
        <v>71.400000000000006</v>
      </c>
      <c r="E444" s="21">
        <v>1</v>
      </c>
      <c r="F444" s="117">
        <f t="shared" si="302"/>
        <v>6783.0000000000009</v>
      </c>
      <c r="G444" s="35">
        <f t="shared" si="303"/>
        <v>2213.4</v>
      </c>
      <c r="H444" s="118">
        <f t="shared" si="304"/>
        <v>1999.2000000000003</v>
      </c>
      <c r="I444" s="35">
        <f>E444*D444*5</f>
        <v>357</v>
      </c>
      <c r="J444" s="35">
        <v>0</v>
      </c>
      <c r="K444" s="35">
        <v>0</v>
      </c>
      <c r="L444" s="35">
        <v>0</v>
      </c>
      <c r="M444" s="35">
        <f t="shared" si="309"/>
        <v>2213.4</v>
      </c>
      <c r="N444" s="35">
        <v>0</v>
      </c>
      <c r="O444" s="35">
        <v>0</v>
      </c>
      <c r="P444" s="35">
        <v>0</v>
      </c>
      <c r="Q444" s="35">
        <v>0</v>
      </c>
      <c r="R444" s="119">
        <v>0</v>
      </c>
      <c r="S444" s="120">
        <f>212-26-30-31-30</f>
        <v>95</v>
      </c>
    </row>
    <row r="445" spans="1:19" x14ac:dyDescent="0.25">
      <c r="A445" s="46"/>
      <c r="B445" s="121">
        <v>11</v>
      </c>
      <c r="C445" s="122" t="s">
        <v>62</v>
      </c>
      <c r="D445" s="123">
        <v>80.86</v>
      </c>
      <c r="E445" s="20">
        <v>1</v>
      </c>
      <c r="F445" s="124">
        <f t="shared" si="302"/>
        <v>17142.32</v>
      </c>
      <c r="G445" s="125">
        <f t="shared" si="303"/>
        <v>2506.66</v>
      </c>
      <c r="H445" s="126">
        <f t="shared" si="304"/>
        <v>2264.08</v>
      </c>
      <c r="I445" s="125">
        <f t="shared" si="305"/>
        <v>2506.66</v>
      </c>
      <c r="J445" s="125">
        <f t="shared" si="306"/>
        <v>2425.8000000000002</v>
      </c>
      <c r="K445" s="125">
        <f t="shared" si="307"/>
        <v>2506.66</v>
      </c>
      <c r="L445" s="125">
        <f t="shared" si="308"/>
        <v>2425.8000000000002</v>
      </c>
      <c r="M445" s="125">
        <f t="shared" si="309"/>
        <v>2506.66</v>
      </c>
      <c r="N445" s="125">
        <v>0</v>
      </c>
      <c r="O445" s="125">
        <v>0</v>
      </c>
      <c r="P445" s="125">
        <v>0</v>
      </c>
      <c r="Q445" s="125">
        <v>0</v>
      </c>
      <c r="R445" s="127">
        <v>0</v>
      </c>
      <c r="S445" s="128">
        <v>212</v>
      </c>
    </row>
    <row r="446" spans="1:19" x14ac:dyDescent="0.25">
      <c r="A446" s="46"/>
      <c r="B446" s="121">
        <v>12</v>
      </c>
      <c r="C446" s="122" t="s">
        <v>38</v>
      </c>
      <c r="D446" s="123">
        <v>78.25</v>
      </c>
      <c r="E446" s="20">
        <v>20</v>
      </c>
      <c r="F446" s="124">
        <f t="shared" si="302"/>
        <v>331780</v>
      </c>
      <c r="G446" s="125">
        <f t="shared" si="303"/>
        <v>48515</v>
      </c>
      <c r="H446" s="126">
        <f t="shared" si="304"/>
        <v>43820</v>
      </c>
      <c r="I446" s="125">
        <f t="shared" si="305"/>
        <v>48515</v>
      </c>
      <c r="J446" s="125">
        <f t="shared" si="306"/>
        <v>46950</v>
      </c>
      <c r="K446" s="125">
        <f t="shared" si="307"/>
        <v>48515</v>
      </c>
      <c r="L446" s="125">
        <f t="shared" si="308"/>
        <v>46950</v>
      </c>
      <c r="M446" s="125">
        <f t="shared" si="309"/>
        <v>48515</v>
      </c>
      <c r="N446" s="125">
        <v>0</v>
      </c>
      <c r="O446" s="125">
        <v>0</v>
      </c>
      <c r="P446" s="125">
        <v>0</v>
      </c>
      <c r="Q446" s="125">
        <v>0</v>
      </c>
      <c r="R446" s="127">
        <v>0</v>
      </c>
      <c r="S446" s="128">
        <v>212</v>
      </c>
    </row>
    <row r="447" spans="1:19" x14ac:dyDescent="0.25">
      <c r="A447" s="46"/>
      <c r="B447" s="184">
        <v>13</v>
      </c>
      <c r="C447" s="122" t="s">
        <v>77</v>
      </c>
      <c r="D447" s="123">
        <v>72.540000000000006</v>
      </c>
      <c r="E447" s="20">
        <v>2</v>
      </c>
      <c r="F447" s="124">
        <f t="shared" si="302"/>
        <v>30756.960000000003</v>
      </c>
      <c r="G447" s="125">
        <f t="shared" si="303"/>
        <v>4497.4800000000005</v>
      </c>
      <c r="H447" s="126">
        <f t="shared" si="304"/>
        <v>4062.2400000000002</v>
      </c>
      <c r="I447" s="125">
        <f t="shared" si="305"/>
        <v>4497.4800000000005</v>
      </c>
      <c r="J447" s="125">
        <f t="shared" si="306"/>
        <v>4352.4000000000005</v>
      </c>
      <c r="K447" s="125">
        <f t="shared" si="307"/>
        <v>4497.4800000000005</v>
      </c>
      <c r="L447" s="125">
        <f t="shared" si="308"/>
        <v>4352.4000000000005</v>
      </c>
      <c r="M447" s="125">
        <f t="shared" si="309"/>
        <v>4497.4800000000005</v>
      </c>
      <c r="N447" s="125">
        <v>0</v>
      </c>
      <c r="O447" s="125">
        <v>0</v>
      </c>
      <c r="P447" s="125">
        <v>0</v>
      </c>
      <c r="Q447" s="125">
        <v>0</v>
      </c>
      <c r="R447" s="127">
        <v>0</v>
      </c>
      <c r="S447" s="128">
        <v>212</v>
      </c>
    </row>
    <row r="448" spans="1:19" x14ac:dyDescent="0.25">
      <c r="A448" s="46"/>
      <c r="B448" s="121">
        <v>14</v>
      </c>
      <c r="C448" s="122" t="s">
        <v>31</v>
      </c>
      <c r="D448" s="123">
        <v>71.400000000000006</v>
      </c>
      <c r="E448" s="20">
        <v>38</v>
      </c>
      <c r="F448" s="124">
        <f t="shared" si="302"/>
        <v>575198.4</v>
      </c>
      <c r="G448" s="125">
        <f t="shared" si="303"/>
        <v>84109.200000000012</v>
      </c>
      <c r="H448" s="126">
        <f t="shared" si="304"/>
        <v>75969.600000000006</v>
      </c>
      <c r="I448" s="125">
        <f t="shared" si="305"/>
        <v>84109.200000000012</v>
      </c>
      <c r="J448" s="125">
        <f t="shared" si="306"/>
        <v>81396.000000000015</v>
      </c>
      <c r="K448" s="125">
        <f t="shared" si="307"/>
        <v>84109.200000000012</v>
      </c>
      <c r="L448" s="125">
        <f t="shared" si="308"/>
        <v>81396.000000000015</v>
      </c>
      <c r="M448" s="125">
        <f t="shared" si="309"/>
        <v>84109.200000000012</v>
      </c>
      <c r="N448" s="125">
        <v>0</v>
      </c>
      <c r="O448" s="125">
        <v>0</v>
      </c>
      <c r="P448" s="125">
        <v>0</v>
      </c>
      <c r="Q448" s="125">
        <v>0</v>
      </c>
      <c r="R448" s="127">
        <v>0</v>
      </c>
      <c r="S448" s="128">
        <v>212</v>
      </c>
    </row>
    <row r="449" spans="1:19" x14ac:dyDescent="0.25">
      <c r="A449" s="46"/>
      <c r="B449" s="121">
        <v>15</v>
      </c>
      <c r="C449" s="122" t="s">
        <v>53</v>
      </c>
      <c r="D449" s="123">
        <v>71.400000000000006</v>
      </c>
      <c r="E449" s="20">
        <v>26</v>
      </c>
      <c r="F449" s="124">
        <f t="shared" si="302"/>
        <v>393556.80000000005</v>
      </c>
      <c r="G449" s="125">
        <f t="shared" si="303"/>
        <v>57548.4</v>
      </c>
      <c r="H449" s="126">
        <f t="shared" si="304"/>
        <v>51979.200000000004</v>
      </c>
      <c r="I449" s="125">
        <f t="shared" si="305"/>
        <v>57548.4</v>
      </c>
      <c r="J449" s="125">
        <f t="shared" si="306"/>
        <v>55692</v>
      </c>
      <c r="K449" s="125">
        <f t="shared" si="307"/>
        <v>57548.4</v>
      </c>
      <c r="L449" s="125">
        <f t="shared" si="308"/>
        <v>55692</v>
      </c>
      <c r="M449" s="125">
        <f t="shared" si="309"/>
        <v>57548.4</v>
      </c>
      <c r="N449" s="125">
        <v>0</v>
      </c>
      <c r="O449" s="125">
        <v>0</v>
      </c>
      <c r="P449" s="125">
        <v>0</v>
      </c>
      <c r="Q449" s="125">
        <v>0</v>
      </c>
      <c r="R449" s="127">
        <v>0</v>
      </c>
      <c r="S449" s="128">
        <v>212</v>
      </c>
    </row>
    <row r="450" spans="1:19" x14ac:dyDescent="0.25">
      <c r="A450" s="46"/>
      <c r="B450" s="184">
        <v>16</v>
      </c>
      <c r="C450" s="122" t="s">
        <v>54</v>
      </c>
      <c r="D450" s="123">
        <v>72.540000000000006</v>
      </c>
      <c r="E450" s="20">
        <v>1</v>
      </c>
      <c r="F450" s="124">
        <f t="shared" si="302"/>
        <v>15378.480000000001</v>
      </c>
      <c r="G450" s="125">
        <f t="shared" si="303"/>
        <v>2248.7400000000002</v>
      </c>
      <c r="H450" s="126">
        <f t="shared" si="304"/>
        <v>2031.1200000000001</v>
      </c>
      <c r="I450" s="125">
        <f t="shared" si="305"/>
        <v>2248.7400000000002</v>
      </c>
      <c r="J450" s="125">
        <f t="shared" si="306"/>
        <v>2176.2000000000003</v>
      </c>
      <c r="K450" s="125">
        <f t="shared" si="307"/>
        <v>2248.7400000000002</v>
      </c>
      <c r="L450" s="125">
        <f t="shared" si="308"/>
        <v>2176.2000000000003</v>
      </c>
      <c r="M450" s="125">
        <f t="shared" si="309"/>
        <v>2248.7400000000002</v>
      </c>
      <c r="N450" s="125">
        <v>0</v>
      </c>
      <c r="O450" s="125">
        <v>0</v>
      </c>
      <c r="P450" s="125">
        <v>0</v>
      </c>
      <c r="Q450" s="125">
        <v>0</v>
      </c>
      <c r="R450" s="127">
        <v>0</v>
      </c>
      <c r="S450" s="128">
        <v>212</v>
      </c>
    </row>
    <row r="451" spans="1:19" ht="15" customHeight="1" x14ac:dyDescent="0.25">
      <c r="A451" s="46"/>
      <c r="B451" s="184">
        <v>17</v>
      </c>
      <c r="C451" s="122" t="s">
        <v>41</v>
      </c>
      <c r="D451" s="123">
        <v>75.64</v>
      </c>
      <c r="E451" s="20">
        <v>1</v>
      </c>
      <c r="F451" s="124">
        <f>+E451*S451*D451</f>
        <v>16035.68</v>
      </c>
      <c r="G451" s="125">
        <f>E451*D451*31</f>
        <v>2344.84</v>
      </c>
      <c r="H451" s="126">
        <f>E451*D451*28</f>
        <v>2117.92</v>
      </c>
      <c r="I451" s="125">
        <f>E451*D451*31</f>
        <v>2344.84</v>
      </c>
      <c r="J451" s="125">
        <f>E451*D451*30</f>
        <v>2269.1999999999998</v>
      </c>
      <c r="K451" s="125">
        <f>E451*D451*31</f>
        <v>2344.84</v>
      </c>
      <c r="L451" s="125">
        <f>E451*D451*30</f>
        <v>2269.1999999999998</v>
      </c>
      <c r="M451" s="125">
        <f>E451*D451*31</f>
        <v>2344.84</v>
      </c>
      <c r="N451" s="125">
        <v>0</v>
      </c>
      <c r="O451" s="125">
        <v>0</v>
      </c>
      <c r="P451" s="125">
        <v>0</v>
      </c>
      <c r="Q451" s="125">
        <v>0</v>
      </c>
      <c r="R451" s="127">
        <v>0</v>
      </c>
      <c r="S451" s="128">
        <v>212</v>
      </c>
    </row>
    <row r="452" spans="1:19" s="5" customFormat="1" x14ac:dyDescent="0.25">
      <c r="A452" s="115"/>
      <c r="B452" s="207">
        <v>1</v>
      </c>
      <c r="C452" s="244" t="s">
        <v>43</v>
      </c>
      <c r="D452" s="19">
        <v>72.540000000000006</v>
      </c>
      <c r="E452" s="21">
        <v>20</v>
      </c>
      <c r="F452" s="117">
        <f t="shared" ref="F452:F470" si="313">+E452*S452*D452</f>
        <v>221972.40000000002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f t="shared" ref="N452:N471" si="314">+D452*E452*31</f>
        <v>44974.8</v>
      </c>
      <c r="O452" s="35">
        <f t="shared" ref="O452:O471" si="315">+D452*E452*30</f>
        <v>43524.000000000007</v>
      </c>
      <c r="P452" s="35">
        <f t="shared" ref="P452:P471" si="316">+D452*E452*31</f>
        <v>44974.8</v>
      </c>
      <c r="Q452" s="35">
        <f t="shared" ref="Q452:Q471" si="317">+D452*E452*30</f>
        <v>43524.000000000007</v>
      </c>
      <c r="R452" s="119">
        <f t="shared" ref="R452:R471" si="318">+D452*E452*31</f>
        <v>44974.8</v>
      </c>
      <c r="S452" s="120">
        <f t="shared" ref="S452:S471" si="319">31+30+31+30+31</f>
        <v>153</v>
      </c>
    </row>
    <row r="453" spans="1:19" s="5" customFormat="1" x14ac:dyDescent="0.25">
      <c r="A453" s="115"/>
      <c r="B453" s="116">
        <v>2</v>
      </c>
      <c r="C453" s="18" t="s">
        <v>45</v>
      </c>
      <c r="D453" s="19">
        <v>73.59</v>
      </c>
      <c r="E453" s="21">
        <v>17</v>
      </c>
      <c r="F453" s="117">
        <f t="shared" si="313"/>
        <v>191407.59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f t="shared" si="314"/>
        <v>38781.93</v>
      </c>
      <c r="O453" s="35">
        <f t="shared" si="315"/>
        <v>37530.9</v>
      </c>
      <c r="P453" s="35">
        <f t="shared" si="316"/>
        <v>38781.93</v>
      </c>
      <c r="Q453" s="35">
        <f t="shared" si="317"/>
        <v>37530.9</v>
      </c>
      <c r="R453" s="119">
        <f t="shared" si="318"/>
        <v>38781.93</v>
      </c>
      <c r="S453" s="120">
        <f t="shared" si="319"/>
        <v>153</v>
      </c>
    </row>
    <row r="454" spans="1:19" s="5" customFormat="1" x14ac:dyDescent="0.25">
      <c r="A454" s="115"/>
      <c r="B454" s="116">
        <v>3</v>
      </c>
      <c r="C454" s="18" t="s">
        <v>46</v>
      </c>
      <c r="D454" s="19">
        <v>74.63</v>
      </c>
      <c r="E454" s="21">
        <v>12</v>
      </c>
      <c r="F454" s="117">
        <f t="shared" si="313"/>
        <v>137020.68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f t="shared" si="314"/>
        <v>27762.359999999997</v>
      </c>
      <c r="O454" s="35">
        <f t="shared" si="315"/>
        <v>26866.799999999999</v>
      </c>
      <c r="P454" s="35">
        <f t="shared" si="316"/>
        <v>27762.359999999997</v>
      </c>
      <c r="Q454" s="35">
        <f t="shared" si="317"/>
        <v>26866.799999999999</v>
      </c>
      <c r="R454" s="119">
        <f t="shared" si="318"/>
        <v>27762.359999999997</v>
      </c>
      <c r="S454" s="120">
        <f t="shared" si="319"/>
        <v>153</v>
      </c>
    </row>
    <row r="455" spans="1:19" s="5" customFormat="1" x14ac:dyDescent="0.25">
      <c r="A455" s="115"/>
      <c r="B455" s="207">
        <v>4</v>
      </c>
      <c r="C455" s="18" t="s">
        <v>71</v>
      </c>
      <c r="D455" s="19">
        <v>71.400000000000006</v>
      </c>
      <c r="E455" s="21">
        <v>5</v>
      </c>
      <c r="F455" s="117">
        <f t="shared" si="313"/>
        <v>54621.000000000007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f t="shared" si="314"/>
        <v>11067</v>
      </c>
      <c r="O455" s="35">
        <f t="shared" si="315"/>
        <v>10710</v>
      </c>
      <c r="P455" s="35">
        <f t="shared" si="316"/>
        <v>11067</v>
      </c>
      <c r="Q455" s="35">
        <f t="shared" si="317"/>
        <v>10710</v>
      </c>
      <c r="R455" s="119">
        <f t="shared" si="318"/>
        <v>11067</v>
      </c>
      <c r="S455" s="120">
        <f t="shared" si="319"/>
        <v>153</v>
      </c>
    </row>
    <row r="456" spans="1:19" s="5" customFormat="1" x14ac:dyDescent="0.25">
      <c r="A456" s="115"/>
      <c r="B456" s="116">
        <v>5</v>
      </c>
      <c r="C456" s="18" t="s">
        <v>72</v>
      </c>
      <c r="D456" s="19">
        <v>71.400000000000006</v>
      </c>
      <c r="E456" s="21">
        <v>1</v>
      </c>
      <c r="F456" s="117">
        <f t="shared" si="313"/>
        <v>10924.2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f t="shared" si="314"/>
        <v>2213.4</v>
      </c>
      <c r="O456" s="35">
        <f t="shared" si="315"/>
        <v>2142</v>
      </c>
      <c r="P456" s="35">
        <f t="shared" si="316"/>
        <v>2213.4</v>
      </c>
      <c r="Q456" s="35">
        <f t="shared" si="317"/>
        <v>2142</v>
      </c>
      <c r="R456" s="119">
        <f t="shared" si="318"/>
        <v>2213.4</v>
      </c>
      <c r="S456" s="120">
        <f t="shared" si="319"/>
        <v>153</v>
      </c>
    </row>
    <row r="457" spans="1:19" s="5" customFormat="1" x14ac:dyDescent="0.25">
      <c r="A457" s="115"/>
      <c r="B457" s="116">
        <v>6</v>
      </c>
      <c r="C457" s="18" t="s">
        <v>34</v>
      </c>
      <c r="D457" s="19">
        <v>71.400000000000006</v>
      </c>
      <c r="E457" s="21">
        <v>4</v>
      </c>
      <c r="F457" s="117">
        <f t="shared" si="313"/>
        <v>43696.800000000003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  <c r="M457" s="35">
        <v>0</v>
      </c>
      <c r="N457" s="35">
        <f t="shared" si="314"/>
        <v>8853.6</v>
      </c>
      <c r="O457" s="35">
        <f t="shared" si="315"/>
        <v>8568</v>
      </c>
      <c r="P457" s="35">
        <f t="shared" si="316"/>
        <v>8853.6</v>
      </c>
      <c r="Q457" s="35">
        <f t="shared" si="317"/>
        <v>8568</v>
      </c>
      <c r="R457" s="119">
        <f t="shared" si="318"/>
        <v>8853.6</v>
      </c>
      <c r="S457" s="120">
        <f t="shared" si="319"/>
        <v>153</v>
      </c>
    </row>
    <row r="458" spans="1:19" s="5" customFormat="1" ht="15.75" customHeight="1" x14ac:dyDescent="0.25">
      <c r="A458" s="115"/>
      <c r="B458" s="207">
        <v>7</v>
      </c>
      <c r="C458" s="18" t="s">
        <v>66</v>
      </c>
      <c r="D458" s="19">
        <v>73.59</v>
      </c>
      <c r="E458" s="21">
        <v>4</v>
      </c>
      <c r="F458" s="117">
        <f t="shared" si="313"/>
        <v>45037.08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  <c r="M458" s="35">
        <v>0</v>
      </c>
      <c r="N458" s="35">
        <f t="shared" si="314"/>
        <v>9125.16</v>
      </c>
      <c r="O458" s="35">
        <f t="shared" si="315"/>
        <v>8830.8000000000011</v>
      </c>
      <c r="P458" s="35">
        <f t="shared" si="316"/>
        <v>9125.16</v>
      </c>
      <c r="Q458" s="35">
        <f t="shared" si="317"/>
        <v>8830.8000000000011</v>
      </c>
      <c r="R458" s="119">
        <f t="shared" si="318"/>
        <v>9125.16</v>
      </c>
      <c r="S458" s="120">
        <f t="shared" si="319"/>
        <v>153</v>
      </c>
    </row>
    <row r="459" spans="1:19" s="5" customFormat="1" x14ac:dyDescent="0.25">
      <c r="A459" s="115"/>
      <c r="B459" s="116">
        <v>8</v>
      </c>
      <c r="C459" s="18" t="s">
        <v>49</v>
      </c>
      <c r="D459" s="19">
        <v>74.63</v>
      </c>
      <c r="E459" s="21">
        <v>1</v>
      </c>
      <c r="F459" s="117">
        <f t="shared" si="313"/>
        <v>11418.39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  <c r="M459" s="35">
        <v>0</v>
      </c>
      <c r="N459" s="35">
        <f t="shared" si="314"/>
        <v>2313.5299999999997</v>
      </c>
      <c r="O459" s="35">
        <f t="shared" si="315"/>
        <v>2238.8999999999996</v>
      </c>
      <c r="P459" s="35">
        <f t="shared" si="316"/>
        <v>2313.5299999999997</v>
      </c>
      <c r="Q459" s="35">
        <f t="shared" si="317"/>
        <v>2238.8999999999996</v>
      </c>
      <c r="R459" s="119">
        <f t="shared" si="318"/>
        <v>2313.5299999999997</v>
      </c>
      <c r="S459" s="120">
        <f t="shared" si="319"/>
        <v>153</v>
      </c>
    </row>
    <row r="460" spans="1:19" s="5" customFormat="1" x14ac:dyDescent="0.25">
      <c r="A460" s="115"/>
      <c r="B460" s="116">
        <v>9</v>
      </c>
      <c r="C460" s="18" t="s">
        <v>76</v>
      </c>
      <c r="D460" s="19">
        <v>72.540000000000006</v>
      </c>
      <c r="E460" s="21">
        <v>1</v>
      </c>
      <c r="F460" s="117">
        <f t="shared" si="313"/>
        <v>11098.62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f t="shared" si="314"/>
        <v>2248.7400000000002</v>
      </c>
      <c r="O460" s="35">
        <f t="shared" si="315"/>
        <v>2176.2000000000003</v>
      </c>
      <c r="P460" s="35">
        <f t="shared" si="316"/>
        <v>2248.7400000000002</v>
      </c>
      <c r="Q460" s="35">
        <f t="shared" si="317"/>
        <v>2176.2000000000003</v>
      </c>
      <c r="R460" s="119">
        <f t="shared" si="318"/>
        <v>2248.7400000000002</v>
      </c>
      <c r="S460" s="120">
        <f t="shared" si="319"/>
        <v>153</v>
      </c>
    </row>
    <row r="461" spans="1:19" s="5" customFormat="1" x14ac:dyDescent="0.25">
      <c r="A461" s="115"/>
      <c r="B461" s="207">
        <v>10</v>
      </c>
      <c r="C461" s="18" t="s">
        <v>37</v>
      </c>
      <c r="D461" s="19">
        <v>71.400000000000006</v>
      </c>
      <c r="E461" s="21">
        <v>1</v>
      </c>
      <c r="F461" s="117">
        <f t="shared" si="313"/>
        <v>10924.2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f t="shared" si="314"/>
        <v>2213.4</v>
      </c>
      <c r="O461" s="35">
        <f t="shared" si="315"/>
        <v>2142</v>
      </c>
      <c r="P461" s="35">
        <f t="shared" si="316"/>
        <v>2213.4</v>
      </c>
      <c r="Q461" s="35">
        <f t="shared" si="317"/>
        <v>2142</v>
      </c>
      <c r="R461" s="119">
        <f t="shared" si="318"/>
        <v>2213.4</v>
      </c>
      <c r="S461" s="120">
        <f t="shared" si="319"/>
        <v>153</v>
      </c>
    </row>
    <row r="462" spans="1:19" s="5" customFormat="1" x14ac:dyDescent="0.25">
      <c r="A462" s="115"/>
      <c r="B462" s="207">
        <v>10</v>
      </c>
      <c r="C462" s="18" t="s">
        <v>37</v>
      </c>
      <c r="D462" s="19">
        <v>71.400000000000006</v>
      </c>
      <c r="E462" s="21">
        <v>1</v>
      </c>
      <c r="F462" s="117">
        <f t="shared" si="313"/>
        <v>11995.2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  <c r="M462" s="35">
        <v>0</v>
      </c>
      <c r="N462" s="35">
        <f>+D462*E462*46</f>
        <v>3284.4</v>
      </c>
      <c r="O462" s="35">
        <f t="shared" si="315"/>
        <v>2142</v>
      </c>
      <c r="P462" s="35">
        <f t="shared" si="316"/>
        <v>2213.4</v>
      </c>
      <c r="Q462" s="35">
        <f t="shared" si="317"/>
        <v>2142</v>
      </c>
      <c r="R462" s="119">
        <f t="shared" si="318"/>
        <v>2213.4</v>
      </c>
      <c r="S462" s="120">
        <f>46+30+31+30+31</f>
        <v>168</v>
      </c>
    </row>
    <row r="463" spans="1:19" s="5" customFormat="1" x14ac:dyDescent="0.25">
      <c r="A463" s="115"/>
      <c r="B463" s="116">
        <v>11</v>
      </c>
      <c r="C463" s="18" t="s">
        <v>62</v>
      </c>
      <c r="D463" s="19">
        <v>80.86</v>
      </c>
      <c r="E463" s="21">
        <v>1</v>
      </c>
      <c r="F463" s="117">
        <f t="shared" si="313"/>
        <v>10350.08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  <c r="M463" s="35">
        <v>0</v>
      </c>
      <c r="N463" s="35">
        <f>+D463*E463*6</f>
        <v>485.15999999999997</v>
      </c>
      <c r="O463" s="35">
        <f t="shared" si="315"/>
        <v>2425.8000000000002</v>
      </c>
      <c r="P463" s="35">
        <f t="shared" si="316"/>
        <v>2506.66</v>
      </c>
      <c r="Q463" s="35">
        <f t="shared" si="317"/>
        <v>2425.8000000000002</v>
      </c>
      <c r="R463" s="119">
        <f t="shared" si="318"/>
        <v>2506.66</v>
      </c>
      <c r="S463" s="120">
        <f>6+30+31+30+31</f>
        <v>128</v>
      </c>
    </row>
    <row r="464" spans="1:19" s="5" customFormat="1" x14ac:dyDescent="0.25">
      <c r="A464" s="115"/>
      <c r="B464" s="116">
        <v>12</v>
      </c>
      <c r="C464" s="18" t="s">
        <v>38</v>
      </c>
      <c r="D464" s="19">
        <v>78.25</v>
      </c>
      <c r="E464" s="21">
        <v>20</v>
      </c>
      <c r="F464" s="117">
        <f t="shared" si="313"/>
        <v>239445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0</v>
      </c>
      <c r="N464" s="35">
        <f t="shared" si="314"/>
        <v>48515</v>
      </c>
      <c r="O464" s="35">
        <f t="shared" si="315"/>
        <v>46950</v>
      </c>
      <c r="P464" s="35">
        <f t="shared" si="316"/>
        <v>48515</v>
      </c>
      <c r="Q464" s="35">
        <f t="shared" si="317"/>
        <v>46950</v>
      </c>
      <c r="R464" s="119">
        <f t="shared" si="318"/>
        <v>48515</v>
      </c>
      <c r="S464" s="120">
        <f t="shared" si="319"/>
        <v>153</v>
      </c>
    </row>
    <row r="465" spans="1:19" s="5" customFormat="1" x14ac:dyDescent="0.25">
      <c r="A465" s="115"/>
      <c r="B465" s="207">
        <v>13</v>
      </c>
      <c r="C465" s="18" t="s">
        <v>77</v>
      </c>
      <c r="D465" s="19">
        <v>72.540000000000006</v>
      </c>
      <c r="E465" s="21">
        <v>2</v>
      </c>
      <c r="F465" s="117">
        <f t="shared" si="313"/>
        <v>22197.24</v>
      </c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5">
        <v>0</v>
      </c>
      <c r="M465" s="35">
        <v>0</v>
      </c>
      <c r="N465" s="35">
        <f t="shared" si="314"/>
        <v>4497.4800000000005</v>
      </c>
      <c r="O465" s="35">
        <f t="shared" si="315"/>
        <v>4352.4000000000005</v>
      </c>
      <c r="P465" s="35">
        <f t="shared" si="316"/>
        <v>4497.4800000000005</v>
      </c>
      <c r="Q465" s="35">
        <f t="shared" si="317"/>
        <v>4352.4000000000005</v>
      </c>
      <c r="R465" s="119">
        <f t="shared" si="318"/>
        <v>4497.4800000000005</v>
      </c>
      <c r="S465" s="120">
        <f t="shared" si="319"/>
        <v>153</v>
      </c>
    </row>
    <row r="466" spans="1:19" s="5" customFormat="1" x14ac:dyDescent="0.25">
      <c r="A466" s="115"/>
      <c r="B466" s="116">
        <v>14</v>
      </c>
      <c r="C466" s="18" t="s">
        <v>31</v>
      </c>
      <c r="D466" s="19">
        <v>71.400000000000006</v>
      </c>
      <c r="E466" s="21">
        <v>37</v>
      </c>
      <c r="F466" s="117">
        <f t="shared" si="313"/>
        <v>404195.4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0</v>
      </c>
      <c r="M466" s="35">
        <v>0</v>
      </c>
      <c r="N466" s="35">
        <f t="shared" si="314"/>
        <v>81895.8</v>
      </c>
      <c r="O466" s="35">
        <f t="shared" si="315"/>
        <v>79254</v>
      </c>
      <c r="P466" s="35">
        <f t="shared" si="316"/>
        <v>81895.8</v>
      </c>
      <c r="Q466" s="35">
        <f t="shared" si="317"/>
        <v>79254</v>
      </c>
      <c r="R466" s="119">
        <f t="shared" si="318"/>
        <v>81895.8</v>
      </c>
      <c r="S466" s="120">
        <f t="shared" si="319"/>
        <v>153</v>
      </c>
    </row>
    <row r="467" spans="1:19" s="5" customFormat="1" x14ac:dyDescent="0.25">
      <c r="A467" s="115"/>
      <c r="B467" s="116">
        <v>14</v>
      </c>
      <c r="C467" s="18" t="s">
        <v>31</v>
      </c>
      <c r="D467" s="19">
        <v>71.400000000000006</v>
      </c>
      <c r="E467" s="21">
        <v>1</v>
      </c>
      <c r="F467" s="117">
        <f t="shared" si="313"/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  <c r="M467" s="35">
        <v>0</v>
      </c>
      <c r="N467" s="35">
        <v>0</v>
      </c>
      <c r="O467" s="35">
        <v>0</v>
      </c>
      <c r="P467" s="35">
        <v>0</v>
      </c>
      <c r="Q467" s="35">
        <v>0</v>
      </c>
      <c r="R467" s="119">
        <v>0</v>
      </c>
      <c r="S467" s="120">
        <v>0</v>
      </c>
    </row>
    <row r="468" spans="1:19" s="5" customFormat="1" x14ac:dyDescent="0.25">
      <c r="A468" s="115"/>
      <c r="B468" s="116">
        <v>15</v>
      </c>
      <c r="C468" s="18" t="s">
        <v>53</v>
      </c>
      <c r="D468" s="19">
        <v>71.400000000000006</v>
      </c>
      <c r="E468" s="21">
        <v>25</v>
      </c>
      <c r="F468" s="117">
        <f t="shared" si="313"/>
        <v>273105</v>
      </c>
      <c r="G468" s="35">
        <v>0</v>
      </c>
      <c r="H468" s="35">
        <v>0</v>
      </c>
      <c r="I468" s="35">
        <v>0</v>
      </c>
      <c r="J468" s="35">
        <v>0</v>
      </c>
      <c r="K468" s="35">
        <v>0</v>
      </c>
      <c r="L468" s="35">
        <v>0</v>
      </c>
      <c r="M468" s="35">
        <v>0</v>
      </c>
      <c r="N468" s="35">
        <f t="shared" si="314"/>
        <v>55335.000000000007</v>
      </c>
      <c r="O468" s="35">
        <f t="shared" si="315"/>
        <v>53550.000000000007</v>
      </c>
      <c r="P468" s="35">
        <f t="shared" si="316"/>
        <v>55335.000000000007</v>
      </c>
      <c r="Q468" s="35">
        <f t="shared" si="317"/>
        <v>53550.000000000007</v>
      </c>
      <c r="R468" s="119">
        <f t="shared" si="318"/>
        <v>55335.000000000007</v>
      </c>
      <c r="S468" s="120">
        <f t="shared" si="319"/>
        <v>153</v>
      </c>
    </row>
    <row r="469" spans="1:19" s="5" customFormat="1" x14ac:dyDescent="0.25">
      <c r="A469" s="115"/>
      <c r="B469" s="116">
        <v>15</v>
      </c>
      <c r="C469" s="18" t="s">
        <v>53</v>
      </c>
      <c r="D469" s="19">
        <v>71.400000000000006</v>
      </c>
      <c r="E469" s="21">
        <v>1</v>
      </c>
      <c r="F469" s="117">
        <f t="shared" si="313"/>
        <v>0</v>
      </c>
      <c r="G469" s="35">
        <v>0</v>
      </c>
      <c r="H469" s="35">
        <v>0</v>
      </c>
      <c r="I469" s="35">
        <v>0</v>
      </c>
      <c r="J469" s="35">
        <v>0</v>
      </c>
      <c r="K469" s="35">
        <v>0</v>
      </c>
      <c r="L469" s="35">
        <v>0</v>
      </c>
      <c r="M469" s="35">
        <v>0</v>
      </c>
      <c r="N469" s="35">
        <v>0</v>
      </c>
      <c r="O469" s="35">
        <v>0</v>
      </c>
      <c r="P469" s="35">
        <v>0</v>
      </c>
      <c r="Q469" s="35">
        <v>0</v>
      </c>
      <c r="R469" s="119">
        <v>0</v>
      </c>
      <c r="S469" s="120">
        <v>0</v>
      </c>
    </row>
    <row r="470" spans="1:19" s="5" customFormat="1" x14ac:dyDescent="0.25">
      <c r="A470" s="115"/>
      <c r="B470" s="207">
        <v>16</v>
      </c>
      <c r="C470" s="18" t="s">
        <v>54</v>
      </c>
      <c r="D470" s="19">
        <v>72.540000000000006</v>
      </c>
      <c r="E470" s="21">
        <v>1</v>
      </c>
      <c r="F470" s="117">
        <f t="shared" si="313"/>
        <v>11098.62</v>
      </c>
      <c r="G470" s="35">
        <v>0</v>
      </c>
      <c r="H470" s="35">
        <v>0</v>
      </c>
      <c r="I470" s="35">
        <v>0</v>
      </c>
      <c r="J470" s="35">
        <v>0</v>
      </c>
      <c r="K470" s="35">
        <v>0</v>
      </c>
      <c r="L470" s="35">
        <v>0</v>
      </c>
      <c r="M470" s="35">
        <v>0</v>
      </c>
      <c r="N470" s="35">
        <f t="shared" si="314"/>
        <v>2248.7400000000002</v>
      </c>
      <c r="O470" s="35">
        <f t="shared" si="315"/>
        <v>2176.2000000000003</v>
      </c>
      <c r="P470" s="35">
        <f t="shared" si="316"/>
        <v>2248.7400000000002</v>
      </c>
      <c r="Q470" s="35">
        <f t="shared" si="317"/>
        <v>2176.2000000000003</v>
      </c>
      <c r="R470" s="119">
        <f t="shared" si="318"/>
        <v>2248.7400000000002</v>
      </c>
      <c r="S470" s="120">
        <f t="shared" si="319"/>
        <v>153</v>
      </c>
    </row>
    <row r="471" spans="1:19" s="5" customFormat="1" ht="15" customHeight="1" x14ac:dyDescent="0.25">
      <c r="A471" s="115"/>
      <c r="B471" s="207">
        <v>17</v>
      </c>
      <c r="C471" s="18" t="s">
        <v>41</v>
      </c>
      <c r="D471" s="19">
        <v>75.64</v>
      </c>
      <c r="E471" s="21">
        <v>1</v>
      </c>
      <c r="F471" s="117">
        <f>+E471*S471*D471</f>
        <v>11572.92</v>
      </c>
      <c r="G471" s="35">
        <v>0</v>
      </c>
      <c r="H471" s="35">
        <v>0</v>
      </c>
      <c r="I471" s="35">
        <v>0</v>
      </c>
      <c r="J471" s="35">
        <v>0</v>
      </c>
      <c r="K471" s="35">
        <v>0</v>
      </c>
      <c r="L471" s="35">
        <v>0</v>
      </c>
      <c r="M471" s="35">
        <v>0</v>
      </c>
      <c r="N471" s="35">
        <f t="shared" si="314"/>
        <v>2344.84</v>
      </c>
      <c r="O471" s="35">
        <f t="shared" si="315"/>
        <v>2269.1999999999998</v>
      </c>
      <c r="P471" s="35">
        <f t="shared" si="316"/>
        <v>2344.84</v>
      </c>
      <c r="Q471" s="35">
        <f t="shared" si="317"/>
        <v>2269.1999999999998</v>
      </c>
      <c r="R471" s="119">
        <f t="shared" si="318"/>
        <v>2344.84</v>
      </c>
      <c r="S471" s="120">
        <f t="shared" si="319"/>
        <v>153</v>
      </c>
    </row>
    <row r="472" spans="1:19" s="5" customFormat="1" x14ac:dyDescent="0.25">
      <c r="A472" s="115"/>
      <c r="B472" s="207">
        <v>20</v>
      </c>
      <c r="C472" s="18" t="s">
        <v>46</v>
      </c>
      <c r="D472" s="19">
        <v>74.63</v>
      </c>
      <c r="E472" s="21">
        <v>1</v>
      </c>
      <c r="F472" s="117">
        <f>+E472*S472*D472</f>
        <v>6865.9599999999991</v>
      </c>
      <c r="G472" s="35">
        <v>0</v>
      </c>
      <c r="H472" s="118">
        <v>0</v>
      </c>
      <c r="I472" s="35">
        <v>0</v>
      </c>
      <c r="J472" s="35">
        <v>0</v>
      </c>
      <c r="K472" s="35">
        <v>0</v>
      </c>
      <c r="L472" s="35">
        <v>0</v>
      </c>
      <c r="M472" s="35">
        <f t="shared" ref="M472" si="320">E472*D472*31</f>
        <v>2313.5299999999997</v>
      </c>
      <c r="N472" s="35">
        <f>E472*D472*31</f>
        <v>2313.5299999999997</v>
      </c>
      <c r="O472" s="35">
        <f>E472*D472*30</f>
        <v>2238.8999999999996</v>
      </c>
      <c r="P472" s="35">
        <v>0</v>
      </c>
      <c r="Q472" s="35">
        <v>0</v>
      </c>
      <c r="R472" s="119">
        <v>0</v>
      </c>
      <c r="S472" s="120">
        <f>31+31+30</f>
        <v>92</v>
      </c>
    </row>
    <row r="473" spans="1:19" ht="15.75" thickBot="1" x14ac:dyDescent="0.3">
      <c r="A473" s="46"/>
      <c r="B473" s="169"/>
      <c r="C473" s="170" t="s">
        <v>123</v>
      </c>
      <c r="D473" s="171"/>
      <c r="E473" s="172"/>
      <c r="F473" s="173">
        <f>4217152-SUM(F431:F472)-21300</f>
        <v>42890.659999999218</v>
      </c>
      <c r="G473" s="336"/>
      <c r="H473" s="338"/>
      <c r="I473" s="174"/>
      <c r="J473" s="337"/>
      <c r="K473" s="174"/>
      <c r="L473" s="337"/>
      <c r="M473" s="174"/>
      <c r="N473" s="174"/>
      <c r="O473" s="174"/>
      <c r="P473" s="174"/>
      <c r="Q473" s="174"/>
      <c r="R473" s="274">
        <f>F473</f>
        <v>42890.659999999218</v>
      </c>
    </row>
    <row r="474" spans="1:19" ht="15.75" thickBot="1" x14ac:dyDescent="0.3">
      <c r="A474" s="46"/>
      <c r="B474" s="339"/>
      <c r="C474" s="340" t="s">
        <v>78</v>
      </c>
      <c r="D474" s="341"/>
      <c r="E474" s="342">
        <f>+E476</f>
        <v>49</v>
      </c>
      <c r="F474" s="343">
        <f>F476</f>
        <v>553322</v>
      </c>
      <c r="G474" s="344">
        <f t="shared" ref="G474:R474" si="321">G476</f>
        <v>0</v>
      </c>
      <c r="H474" s="344">
        <f t="shared" si="321"/>
        <v>0</v>
      </c>
      <c r="I474" s="344">
        <f t="shared" si="321"/>
        <v>0</v>
      </c>
      <c r="J474" s="344">
        <f t="shared" si="321"/>
        <v>51510.600000000006</v>
      </c>
      <c r="K474" s="344">
        <f t="shared" si="321"/>
        <v>53227.619999999995</v>
      </c>
      <c r="L474" s="344">
        <f t="shared" si="321"/>
        <v>51510.600000000006</v>
      </c>
      <c r="M474" s="344">
        <f t="shared" si="321"/>
        <v>50978.880000000005</v>
      </c>
      <c r="N474" s="344">
        <f t="shared" si="321"/>
        <v>50978.880000000005</v>
      </c>
      <c r="O474" s="344">
        <f t="shared" si="321"/>
        <v>54774.900000000009</v>
      </c>
      <c r="P474" s="344">
        <f t="shared" si="321"/>
        <v>50978.880000000005</v>
      </c>
      <c r="Q474" s="344">
        <f t="shared" si="321"/>
        <v>49334.400000000009</v>
      </c>
      <c r="R474" s="345">
        <f t="shared" si="321"/>
        <v>140027.24</v>
      </c>
    </row>
    <row r="475" spans="1:19" ht="15" customHeight="1" x14ac:dyDescent="0.25">
      <c r="A475" s="46"/>
      <c r="B475" s="260"/>
      <c r="C475" s="606" t="s">
        <v>57</v>
      </c>
      <c r="D475" s="607"/>
      <c r="E475" s="346"/>
      <c r="F475" s="347"/>
      <c r="G475" s="348"/>
      <c r="H475" s="348"/>
      <c r="I475" s="348"/>
      <c r="J475" s="348"/>
      <c r="K475" s="348"/>
      <c r="L475" s="348"/>
      <c r="M475" s="348"/>
      <c r="N475" s="348"/>
      <c r="O475" s="348"/>
      <c r="P475" s="348"/>
      <c r="Q475" s="348"/>
      <c r="R475" s="349"/>
    </row>
    <row r="476" spans="1:19" ht="34.5" customHeight="1" x14ac:dyDescent="0.25">
      <c r="A476" s="46"/>
      <c r="B476" s="48"/>
      <c r="C476" s="592" t="s">
        <v>141</v>
      </c>
      <c r="D476" s="592"/>
      <c r="E476" s="350">
        <f>SUM(E479:E493)</f>
        <v>49</v>
      </c>
      <c r="F476" s="311">
        <f>SUM(F479:F494)</f>
        <v>553322</v>
      </c>
      <c r="G476" s="351">
        <f t="shared" ref="G476:Q476" si="322">SUM(G479:G493)</f>
        <v>0</v>
      </c>
      <c r="H476" s="351">
        <f t="shared" si="322"/>
        <v>0</v>
      </c>
      <c r="I476" s="351">
        <f t="shared" si="322"/>
        <v>0</v>
      </c>
      <c r="J476" s="351">
        <f t="shared" si="322"/>
        <v>51510.600000000006</v>
      </c>
      <c r="K476" s="351">
        <f t="shared" si="322"/>
        <v>53227.619999999995</v>
      </c>
      <c r="L476" s="351">
        <f t="shared" si="322"/>
        <v>51510.600000000006</v>
      </c>
      <c r="M476" s="351">
        <f t="shared" si="322"/>
        <v>50978.880000000005</v>
      </c>
      <c r="N476" s="351">
        <f t="shared" si="322"/>
        <v>50978.880000000005</v>
      </c>
      <c r="O476" s="351">
        <f t="shared" si="322"/>
        <v>54774.900000000009</v>
      </c>
      <c r="P476" s="351">
        <f t="shared" si="322"/>
        <v>50978.880000000005</v>
      </c>
      <c r="Q476" s="351">
        <f t="shared" si="322"/>
        <v>49334.400000000009</v>
      </c>
      <c r="R476" s="352">
        <f>SUM(R479:R494)</f>
        <v>140027.24</v>
      </c>
      <c r="S476" s="16">
        <f>F476-SUM(G476:R476)</f>
        <v>0</v>
      </c>
    </row>
    <row r="477" spans="1:19" x14ac:dyDescent="0.25">
      <c r="A477" s="46"/>
      <c r="B477" s="192"/>
      <c r="C477" s="319"/>
      <c r="D477" s="319"/>
      <c r="E477" s="353"/>
      <c r="F477" s="354">
        <f>SUM(F479:F493)</f>
        <v>464273.64</v>
      </c>
      <c r="G477" s="355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6"/>
    </row>
    <row r="478" spans="1:19" x14ac:dyDescent="0.25">
      <c r="A478" s="46"/>
      <c r="B478" s="121"/>
      <c r="C478" s="110"/>
      <c r="D478" s="110"/>
      <c r="E478" s="110" t="s">
        <v>122</v>
      </c>
      <c r="F478" s="111">
        <v>0</v>
      </c>
      <c r="G478" s="213"/>
      <c r="H478" s="213"/>
      <c r="I478" s="213"/>
      <c r="J478" s="213"/>
      <c r="K478" s="213"/>
      <c r="L478" s="213"/>
      <c r="M478" s="213"/>
      <c r="N478" s="213"/>
      <c r="O478" s="213"/>
      <c r="P478" s="213"/>
      <c r="Q478" s="213"/>
      <c r="R478" s="215"/>
    </row>
    <row r="479" spans="1:19" x14ac:dyDescent="0.25">
      <c r="A479" s="46"/>
      <c r="B479" s="121">
        <v>1</v>
      </c>
      <c r="C479" s="122" t="s">
        <v>43</v>
      </c>
      <c r="D479" s="123">
        <v>72.540000000000006</v>
      </c>
      <c r="E479" s="21">
        <v>2</v>
      </c>
      <c r="F479" s="124">
        <f t="shared" ref="F479:F493" si="323">+E479*S479*D479</f>
        <v>13202.28</v>
      </c>
      <c r="G479" s="125">
        <v>0</v>
      </c>
      <c r="H479" s="125">
        <v>0</v>
      </c>
      <c r="I479" s="125">
        <v>0</v>
      </c>
      <c r="J479" s="125">
        <f>E479*D479*30</f>
        <v>4352.4000000000005</v>
      </c>
      <c r="K479" s="125">
        <f t="shared" ref="K479:K485" si="324">E479*D479*31</f>
        <v>4497.4800000000005</v>
      </c>
      <c r="L479" s="125">
        <f t="shared" ref="L479:L485" si="325">E479*D479*30</f>
        <v>4352.4000000000005</v>
      </c>
      <c r="M479" s="125">
        <v>0</v>
      </c>
      <c r="N479" s="125">
        <v>0</v>
      </c>
      <c r="O479" s="125">
        <v>0</v>
      </c>
      <c r="P479" s="125">
        <v>0</v>
      </c>
      <c r="Q479" s="125">
        <v>0</v>
      </c>
      <c r="R479" s="127">
        <v>0</v>
      </c>
      <c r="S479" s="128">
        <f>30+31+30</f>
        <v>91</v>
      </c>
    </row>
    <row r="480" spans="1:19" x14ac:dyDescent="0.25">
      <c r="A480" s="46"/>
      <c r="B480" s="121">
        <v>2</v>
      </c>
      <c r="C480" s="122" t="s">
        <v>34</v>
      </c>
      <c r="D480" s="123">
        <v>71.400000000000006</v>
      </c>
      <c r="E480" s="21">
        <v>11</v>
      </c>
      <c r="F480" s="124">
        <f t="shared" si="323"/>
        <v>71471.400000000009</v>
      </c>
      <c r="G480" s="125">
        <v>0</v>
      </c>
      <c r="H480" s="125">
        <v>0</v>
      </c>
      <c r="I480" s="125">
        <v>0</v>
      </c>
      <c r="J480" s="125">
        <f t="shared" ref="J480:J485" si="326">E480*D480*30</f>
        <v>23562.000000000004</v>
      </c>
      <c r="K480" s="125">
        <f t="shared" si="324"/>
        <v>24347.4</v>
      </c>
      <c r="L480" s="125">
        <f t="shared" si="325"/>
        <v>23562.000000000004</v>
      </c>
      <c r="M480" s="125">
        <v>0</v>
      </c>
      <c r="N480" s="125">
        <v>0</v>
      </c>
      <c r="O480" s="125">
        <v>0</v>
      </c>
      <c r="P480" s="125">
        <v>0</v>
      </c>
      <c r="Q480" s="125">
        <v>0</v>
      </c>
      <c r="R480" s="127">
        <v>0</v>
      </c>
      <c r="S480" s="128">
        <f t="shared" ref="S480:S485" si="327">30+31+30</f>
        <v>91</v>
      </c>
    </row>
    <row r="481" spans="1:19" x14ac:dyDescent="0.25">
      <c r="A481" s="46"/>
      <c r="B481" s="121">
        <v>4</v>
      </c>
      <c r="C481" s="122" t="s">
        <v>37</v>
      </c>
      <c r="D481" s="123">
        <v>71.400000000000006</v>
      </c>
      <c r="E481" s="21">
        <v>2</v>
      </c>
      <c r="F481" s="124">
        <f t="shared" si="323"/>
        <v>12994.800000000001</v>
      </c>
      <c r="G481" s="125">
        <v>0</v>
      </c>
      <c r="H481" s="125">
        <v>0</v>
      </c>
      <c r="I481" s="125">
        <v>0</v>
      </c>
      <c r="J481" s="125">
        <f t="shared" si="326"/>
        <v>4284</v>
      </c>
      <c r="K481" s="125">
        <f t="shared" si="324"/>
        <v>4426.8</v>
      </c>
      <c r="L481" s="125">
        <f t="shared" si="325"/>
        <v>4284</v>
      </c>
      <c r="M481" s="125">
        <v>0</v>
      </c>
      <c r="N481" s="125">
        <v>0</v>
      </c>
      <c r="O481" s="125">
        <v>0</v>
      </c>
      <c r="P481" s="125">
        <v>0</v>
      </c>
      <c r="Q481" s="125">
        <v>0</v>
      </c>
      <c r="R481" s="127">
        <v>0</v>
      </c>
      <c r="S481" s="128">
        <f t="shared" si="327"/>
        <v>91</v>
      </c>
    </row>
    <row r="482" spans="1:19" x14ac:dyDescent="0.25">
      <c r="A482" s="46"/>
      <c r="B482" s="121"/>
      <c r="C482" s="122" t="s">
        <v>53</v>
      </c>
      <c r="D482" s="123">
        <v>71.400000000000006</v>
      </c>
      <c r="E482" s="21">
        <v>1</v>
      </c>
      <c r="F482" s="124">
        <f t="shared" si="323"/>
        <v>6497.4000000000005</v>
      </c>
      <c r="G482" s="125">
        <v>0</v>
      </c>
      <c r="H482" s="125">
        <v>0</v>
      </c>
      <c r="I482" s="125">
        <v>0</v>
      </c>
      <c r="J482" s="125">
        <f t="shared" si="326"/>
        <v>2142</v>
      </c>
      <c r="K482" s="125">
        <f t="shared" si="324"/>
        <v>2213.4</v>
      </c>
      <c r="L482" s="125">
        <f t="shared" si="325"/>
        <v>2142</v>
      </c>
      <c r="M482" s="125">
        <v>0</v>
      </c>
      <c r="N482" s="125">
        <v>0</v>
      </c>
      <c r="O482" s="125">
        <v>0</v>
      </c>
      <c r="P482" s="125">
        <v>0</v>
      </c>
      <c r="Q482" s="125">
        <v>0</v>
      </c>
      <c r="R482" s="127">
        <v>0</v>
      </c>
      <c r="S482" s="128">
        <f t="shared" si="327"/>
        <v>91</v>
      </c>
    </row>
    <row r="483" spans="1:19" x14ac:dyDescent="0.25">
      <c r="A483" s="46"/>
      <c r="B483" s="121">
        <v>7</v>
      </c>
      <c r="C483" s="122" t="s">
        <v>34</v>
      </c>
      <c r="D483" s="123">
        <v>71.400000000000006</v>
      </c>
      <c r="E483" s="21">
        <v>4</v>
      </c>
      <c r="F483" s="124">
        <f t="shared" si="323"/>
        <v>25989.600000000002</v>
      </c>
      <c r="G483" s="125">
        <v>0</v>
      </c>
      <c r="H483" s="125">
        <v>0</v>
      </c>
      <c r="I483" s="125">
        <v>0</v>
      </c>
      <c r="J483" s="125">
        <f t="shared" si="326"/>
        <v>8568</v>
      </c>
      <c r="K483" s="125">
        <f t="shared" si="324"/>
        <v>8853.6</v>
      </c>
      <c r="L483" s="125">
        <f t="shared" si="325"/>
        <v>8568</v>
      </c>
      <c r="M483" s="125">
        <v>0</v>
      </c>
      <c r="N483" s="125">
        <v>0</v>
      </c>
      <c r="O483" s="125">
        <v>0</v>
      </c>
      <c r="P483" s="125">
        <v>0</v>
      </c>
      <c r="Q483" s="125">
        <v>0</v>
      </c>
      <c r="R483" s="127">
        <v>0</v>
      </c>
      <c r="S483" s="128">
        <f t="shared" si="327"/>
        <v>91</v>
      </c>
    </row>
    <row r="484" spans="1:19" x14ac:dyDescent="0.25">
      <c r="A484" s="46"/>
      <c r="B484" s="121">
        <v>5</v>
      </c>
      <c r="C484" s="122" t="s">
        <v>35</v>
      </c>
      <c r="D484" s="123">
        <v>72.540000000000006</v>
      </c>
      <c r="E484" s="21">
        <v>1</v>
      </c>
      <c r="F484" s="124">
        <f t="shared" si="323"/>
        <v>6601.14</v>
      </c>
      <c r="G484" s="125">
        <v>0</v>
      </c>
      <c r="H484" s="125">
        <v>0</v>
      </c>
      <c r="I484" s="125">
        <v>0</v>
      </c>
      <c r="J484" s="125">
        <f t="shared" si="326"/>
        <v>2176.2000000000003</v>
      </c>
      <c r="K484" s="125">
        <f t="shared" si="324"/>
        <v>2248.7400000000002</v>
      </c>
      <c r="L484" s="125">
        <f t="shared" si="325"/>
        <v>2176.2000000000003</v>
      </c>
      <c r="M484" s="125">
        <v>0</v>
      </c>
      <c r="N484" s="125">
        <v>0</v>
      </c>
      <c r="O484" s="125">
        <v>0</v>
      </c>
      <c r="P484" s="125">
        <v>0</v>
      </c>
      <c r="Q484" s="125">
        <v>0</v>
      </c>
      <c r="R484" s="127">
        <v>0</v>
      </c>
      <c r="S484" s="128">
        <f t="shared" si="327"/>
        <v>91</v>
      </c>
    </row>
    <row r="485" spans="1:19" x14ac:dyDescent="0.25">
      <c r="A485" s="46"/>
      <c r="B485" s="121">
        <v>6</v>
      </c>
      <c r="C485" s="122" t="s">
        <v>53</v>
      </c>
      <c r="D485" s="123">
        <v>71.400000000000006</v>
      </c>
      <c r="E485" s="21">
        <v>3</v>
      </c>
      <c r="F485" s="124">
        <f t="shared" si="323"/>
        <v>19492.2</v>
      </c>
      <c r="G485" s="125">
        <v>0</v>
      </c>
      <c r="H485" s="125">
        <v>0</v>
      </c>
      <c r="I485" s="125">
        <v>0</v>
      </c>
      <c r="J485" s="125">
        <f t="shared" si="326"/>
        <v>6426.0000000000009</v>
      </c>
      <c r="K485" s="125">
        <f t="shared" si="324"/>
        <v>6640.2000000000007</v>
      </c>
      <c r="L485" s="125">
        <f t="shared" si="325"/>
        <v>6426.0000000000009</v>
      </c>
      <c r="M485" s="125">
        <v>0</v>
      </c>
      <c r="N485" s="125">
        <v>0</v>
      </c>
      <c r="O485" s="125">
        <v>0</v>
      </c>
      <c r="P485" s="125">
        <v>0</v>
      </c>
      <c r="Q485" s="125">
        <v>0</v>
      </c>
      <c r="R485" s="127">
        <v>0</v>
      </c>
      <c r="S485" s="128">
        <f t="shared" si="327"/>
        <v>91</v>
      </c>
    </row>
    <row r="486" spans="1:19" s="5" customFormat="1" x14ac:dyDescent="0.25">
      <c r="A486" s="115"/>
      <c r="B486" s="116">
        <v>8</v>
      </c>
      <c r="C486" s="18" t="s">
        <v>43</v>
      </c>
      <c r="D486" s="19">
        <v>72.540000000000006</v>
      </c>
      <c r="E486" s="21">
        <v>2</v>
      </c>
      <c r="F486" s="117">
        <f t="shared" si="323"/>
        <v>26694.720000000001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  <c r="M486" s="35">
        <f t="shared" ref="M486:M490" si="328">E486*D486*31</f>
        <v>4497.4800000000005</v>
      </c>
      <c r="N486" s="35">
        <f>E486*D486*31</f>
        <v>4497.4800000000005</v>
      </c>
      <c r="O486" s="35">
        <f>E486*D486*30</f>
        <v>4352.4000000000005</v>
      </c>
      <c r="P486" s="35">
        <f>E486*D486*31</f>
        <v>4497.4800000000005</v>
      </c>
      <c r="Q486" s="35">
        <f>E486*D486*30</f>
        <v>4352.4000000000005</v>
      </c>
      <c r="R486" s="119">
        <f>E486*D486*31</f>
        <v>4497.4800000000005</v>
      </c>
      <c r="S486" s="120">
        <f>31+31+30+31+30+31</f>
        <v>184</v>
      </c>
    </row>
    <row r="487" spans="1:19" s="5" customFormat="1" x14ac:dyDescent="0.25">
      <c r="A487" s="115"/>
      <c r="B487" s="116">
        <v>9</v>
      </c>
      <c r="C487" s="18" t="s">
        <v>34</v>
      </c>
      <c r="D487" s="19">
        <v>71.400000000000006</v>
      </c>
      <c r="E487" s="21">
        <v>11</v>
      </c>
      <c r="F487" s="117">
        <f t="shared" si="323"/>
        <v>144513.60000000001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  <c r="M487" s="35">
        <f t="shared" si="328"/>
        <v>24347.4</v>
      </c>
      <c r="N487" s="35">
        <f t="shared" ref="N487:N490" si="329">E487*D487*31</f>
        <v>24347.4</v>
      </c>
      <c r="O487" s="35">
        <f t="shared" ref="O487:O490" si="330">E487*D487*30</f>
        <v>23562.000000000004</v>
      </c>
      <c r="P487" s="35">
        <f t="shared" ref="P487:P490" si="331">E487*D487*31</f>
        <v>24347.4</v>
      </c>
      <c r="Q487" s="35">
        <f t="shared" ref="Q487:Q490" si="332">E487*D487*30</f>
        <v>23562.000000000004</v>
      </c>
      <c r="R487" s="119">
        <f t="shared" ref="R487:R490" si="333">E487*D487*31</f>
        <v>24347.4</v>
      </c>
      <c r="S487" s="120">
        <f t="shared" ref="S487:S492" si="334">31+31+30+31+30+31</f>
        <v>184</v>
      </c>
    </row>
    <row r="488" spans="1:19" s="5" customFormat="1" x14ac:dyDescent="0.25">
      <c r="A488" s="115"/>
      <c r="B488" s="116">
        <v>10</v>
      </c>
      <c r="C488" s="18" t="s">
        <v>37</v>
      </c>
      <c r="D488" s="19">
        <v>71.400000000000006</v>
      </c>
      <c r="E488" s="21">
        <v>2</v>
      </c>
      <c r="F488" s="117">
        <f t="shared" si="323"/>
        <v>26275.200000000001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  <c r="M488" s="35">
        <f t="shared" si="328"/>
        <v>4426.8</v>
      </c>
      <c r="N488" s="35">
        <f t="shared" si="329"/>
        <v>4426.8</v>
      </c>
      <c r="O488" s="35">
        <f t="shared" si="330"/>
        <v>4284</v>
      </c>
      <c r="P488" s="35">
        <f t="shared" si="331"/>
        <v>4426.8</v>
      </c>
      <c r="Q488" s="35">
        <f t="shared" si="332"/>
        <v>4284</v>
      </c>
      <c r="R488" s="119">
        <f t="shared" si="333"/>
        <v>4426.8</v>
      </c>
      <c r="S488" s="120">
        <f t="shared" si="334"/>
        <v>184</v>
      </c>
    </row>
    <row r="489" spans="1:19" s="5" customFormat="1" x14ac:dyDescent="0.25">
      <c r="A489" s="115"/>
      <c r="B489" s="116">
        <v>11</v>
      </c>
      <c r="C489" s="18" t="s">
        <v>53</v>
      </c>
      <c r="D489" s="19">
        <v>71.400000000000006</v>
      </c>
      <c r="E489" s="21">
        <v>1</v>
      </c>
      <c r="F489" s="117">
        <f t="shared" si="323"/>
        <v>13137.6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0</v>
      </c>
      <c r="M489" s="35">
        <f t="shared" si="328"/>
        <v>2213.4</v>
      </c>
      <c r="N489" s="35">
        <f t="shared" si="329"/>
        <v>2213.4</v>
      </c>
      <c r="O489" s="35">
        <f t="shared" si="330"/>
        <v>2142</v>
      </c>
      <c r="P489" s="35">
        <f t="shared" si="331"/>
        <v>2213.4</v>
      </c>
      <c r="Q489" s="35">
        <f t="shared" si="332"/>
        <v>2142</v>
      </c>
      <c r="R489" s="119">
        <f t="shared" si="333"/>
        <v>2213.4</v>
      </c>
      <c r="S489" s="120">
        <f t="shared" si="334"/>
        <v>184</v>
      </c>
    </row>
    <row r="490" spans="1:19" s="5" customFormat="1" x14ac:dyDescent="0.25">
      <c r="A490" s="115"/>
      <c r="B490" s="116">
        <v>12</v>
      </c>
      <c r="C490" s="18" t="s">
        <v>34</v>
      </c>
      <c r="D490" s="19">
        <v>71.400000000000006</v>
      </c>
      <c r="E490" s="21">
        <v>4</v>
      </c>
      <c r="F490" s="117">
        <f t="shared" si="323"/>
        <v>52550.400000000001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0</v>
      </c>
      <c r="M490" s="35">
        <f t="shared" si="328"/>
        <v>8853.6</v>
      </c>
      <c r="N490" s="35">
        <f t="shared" si="329"/>
        <v>8853.6</v>
      </c>
      <c r="O490" s="35">
        <f t="shared" si="330"/>
        <v>8568</v>
      </c>
      <c r="P490" s="35">
        <f t="shared" si="331"/>
        <v>8853.6</v>
      </c>
      <c r="Q490" s="35">
        <f t="shared" si="332"/>
        <v>8568</v>
      </c>
      <c r="R490" s="119">
        <f t="shared" si="333"/>
        <v>8853.6</v>
      </c>
      <c r="S490" s="120">
        <f t="shared" si="334"/>
        <v>184</v>
      </c>
    </row>
    <row r="491" spans="1:19" s="5" customFormat="1" x14ac:dyDescent="0.25">
      <c r="A491" s="115"/>
      <c r="B491" s="116">
        <v>13</v>
      </c>
      <c r="C491" s="18" t="s">
        <v>35</v>
      </c>
      <c r="D491" s="19">
        <v>72.540000000000006</v>
      </c>
      <c r="E491" s="21">
        <v>1</v>
      </c>
      <c r="F491" s="117">
        <f t="shared" si="323"/>
        <v>0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0</v>
      </c>
      <c r="M491" s="35">
        <v>0</v>
      </c>
      <c r="N491" s="35">
        <v>0</v>
      </c>
      <c r="O491" s="35">
        <v>0</v>
      </c>
      <c r="P491" s="35">
        <v>0</v>
      </c>
      <c r="Q491" s="35">
        <v>0</v>
      </c>
      <c r="R491" s="119">
        <v>0</v>
      </c>
      <c r="S491" s="120">
        <v>0</v>
      </c>
    </row>
    <row r="492" spans="1:19" s="5" customFormat="1" x14ac:dyDescent="0.25">
      <c r="A492" s="115"/>
      <c r="B492" s="357">
        <v>14</v>
      </c>
      <c r="C492" s="287" t="s">
        <v>53</v>
      </c>
      <c r="D492" s="34">
        <v>71.400000000000006</v>
      </c>
      <c r="E492" s="33">
        <v>3</v>
      </c>
      <c r="F492" s="358">
        <f t="shared" si="323"/>
        <v>39412.800000000003</v>
      </c>
      <c r="G492" s="333">
        <v>0</v>
      </c>
      <c r="H492" s="333">
        <v>0</v>
      </c>
      <c r="I492" s="333">
        <v>0</v>
      </c>
      <c r="J492" s="333">
        <v>0</v>
      </c>
      <c r="K492" s="333">
        <v>0</v>
      </c>
      <c r="L492" s="333">
        <v>0</v>
      </c>
      <c r="M492" s="333">
        <f t="shared" ref="M492" si="335">E492*D492*31</f>
        <v>6640.2000000000007</v>
      </c>
      <c r="N492" s="333">
        <f t="shared" ref="N492" si="336">E492*D492*31</f>
        <v>6640.2000000000007</v>
      </c>
      <c r="O492" s="333">
        <f t="shared" ref="O492" si="337">E492*D492*30</f>
        <v>6426.0000000000009</v>
      </c>
      <c r="P492" s="333">
        <f t="shared" ref="P492" si="338">E492*D492*31</f>
        <v>6640.2000000000007</v>
      </c>
      <c r="Q492" s="333">
        <f t="shared" ref="Q492" si="339">E492*D492*30</f>
        <v>6426.0000000000009</v>
      </c>
      <c r="R492" s="359">
        <f t="shared" ref="R492" si="340">E492*D492*31</f>
        <v>6640.2000000000007</v>
      </c>
      <c r="S492" s="120">
        <f t="shared" si="334"/>
        <v>184</v>
      </c>
    </row>
    <row r="493" spans="1:19" s="5" customFormat="1" x14ac:dyDescent="0.25">
      <c r="A493" s="115"/>
      <c r="B493" s="357">
        <v>15</v>
      </c>
      <c r="C493" s="287" t="s">
        <v>54</v>
      </c>
      <c r="D493" s="34">
        <v>72.540000000000006</v>
      </c>
      <c r="E493" s="33">
        <v>1</v>
      </c>
      <c r="F493" s="358">
        <f t="shared" si="323"/>
        <v>5440.5000000000009</v>
      </c>
      <c r="G493" s="333">
        <v>0</v>
      </c>
      <c r="H493" s="333">
        <v>0</v>
      </c>
      <c r="I493" s="333">
        <v>0</v>
      </c>
      <c r="J493" s="333">
        <v>0</v>
      </c>
      <c r="K493" s="333">
        <v>0</v>
      </c>
      <c r="L493" s="333">
        <v>0</v>
      </c>
      <c r="M493" s="333">
        <v>0</v>
      </c>
      <c r="N493" s="333">
        <v>0</v>
      </c>
      <c r="O493" s="333">
        <f>E493*D493*75</f>
        <v>5440.5000000000009</v>
      </c>
      <c r="P493" s="333">
        <v>0</v>
      </c>
      <c r="Q493" s="333">
        <v>0</v>
      </c>
      <c r="R493" s="359">
        <v>0</v>
      </c>
      <c r="S493" s="120">
        <f>14+31+30</f>
        <v>75</v>
      </c>
    </row>
    <row r="494" spans="1:19" s="5" customFormat="1" ht="15.75" thickBot="1" x14ac:dyDescent="0.3">
      <c r="A494" s="115"/>
      <c r="B494" s="357"/>
      <c r="C494" s="287" t="s">
        <v>123</v>
      </c>
      <c r="D494" s="34"/>
      <c r="E494" s="33"/>
      <c r="F494" s="358">
        <f>553322-SUM(F479:F493)</f>
        <v>89048.359999999986</v>
      </c>
      <c r="G494" s="333"/>
      <c r="H494" s="333"/>
      <c r="I494" s="333"/>
      <c r="J494" s="333"/>
      <c r="K494" s="333"/>
      <c r="L494" s="333"/>
      <c r="M494" s="333"/>
      <c r="N494" s="333"/>
      <c r="O494" s="333"/>
      <c r="P494" s="333"/>
      <c r="Q494" s="333"/>
      <c r="R494" s="359">
        <f>F494</f>
        <v>89048.359999999986</v>
      </c>
      <c r="S494" s="120"/>
    </row>
    <row r="495" spans="1:19" ht="15.75" thickBot="1" x14ac:dyDescent="0.3">
      <c r="A495" s="46"/>
      <c r="B495" s="339"/>
      <c r="C495" s="340" t="s">
        <v>88</v>
      </c>
      <c r="D495" s="341"/>
      <c r="E495" s="342">
        <f>+E509+E497</f>
        <v>318</v>
      </c>
      <c r="F495" s="343">
        <f t="shared" ref="F495:R495" si="341">F497+F509</f>
        <v>3129880</v>
      </c>
      <c r="G495" s="344">
        <f t="shared" si="341"/>
        <v>0</v>
      </c>
      <c r="H495" s="344">
        <f t="shared" si="341"/>
        <v>0</v>
      </c>
      <c r="I495" s="344">
        <f t="shared" si="341"/>
        <v>0</v>
      </c>
      <c r="J495" s="344">
        <f t="shared" si="341"/>
        <v>0</v>
      </c>
      <c r="K495" s="344">
        <f t="shared" si="341"/>
        <v>309233.39999999997</v>
      </c>
      <c r="L495" s="344">
        <f t="shared" si="341"/>
        <v>83109.600000000006</v>
      </c>
      <c r="M495" s="344">
        <f t="shared" si="341"/>
        <v>10995.600000000002</v>
      </c>
      <c r="N495" s="344">
        <f t="shared" si="341"/>
        <v>546872.86</v>
      </c>
      <c r="O495" s="344">
        <f t="shared" si="341"/>
        <v>524947.80000000005</v>
      </c>
      <c r="P495" s="344">
        <f t="shared" si="341"/>
        <v>91135.66</v>
      </c>
      <c r="Q495" s="344">
        <f t="shared" si="341"/>
        <v>88195.8</v>
      </c>
      <c r="R495" s="345">
        <f t="shared" si="341"/>
        <v>1475389.2799999996</v>
      </c>
      <c r="S495" s="16">
        <f>F495-SUM(G495:R495)</f>
        <v>0</v>
      </c>
    </row>
    <row r="496" spans="1:19" x14ac:dyDescent="0.25">
      <c r="A496" s="46"/>
      <c r="B496" s="260"/>
      <c r="C496" s="603" t="s">
        <v>44</v>
      </c>
      <c r="D496" s="604"/>
      <c r="E496" s="360"/>
      <c r="F496" s="361"/>
      <c r="G496" s="362"/>
      <c r="H496" s="362"/>
      <c r="I496" s="362"/>
      <c r="J496" s="362"/>
      <c r="K496" s="362"/>
      <c r="L496" s="362"/>
      <c r="M496" s="362"/>
      <c r="N496" s="362"/>
      <c r="O496" s="362"/>
      <c r="P496" s="362"/>
      <c r="Q496" s="362"/>
      <c r="R496" s="363"/>
    </row>
    <row r="497" spans="1:19" ht="31.5" customHeight="1" thickBot="1" x14ac:dyDescent="0.3">
      <c r="A497" s="46"/>
      <c r="B497" s="364"/>
      <c r="C497" s="608" t="s">
        <v>142</v>
      </c>
      <c r="D497" s="608"/>
      <c r="E497" s="365">
        <f>SUM(E500:E506)</f>
        <v>38</v>
      </c>
      <c r="F497" s="366">
        <f>SUM(F500:F507)</f>
        <v>417030</v>
      </c>
      <c r="G497" s="367">
        <f t="shared" ref="G497:Q497" si="342">SUM(G500:G506)</f>
        <v>0</v>
      </c>
      <c r="H497" s="367">
        <f t="shared" si="342"/>
        <v>0</v>
      </c>
      <c r="I497" s="367">
        <f t="shared" si="342"/>
        <v>0</v>
      </c>
      <c r="J497" s="367">
        <f t="shared" si="342"/>
        <v>0</v>
      </c>
      <c r="K497" s="367">
        <f t="shared" si="342"/>
        <v>0</v>
      </c>
      <c r="L497" s="367">
        <f t="shared" si="342"/>
        <v>0</v>
      </c>
      <c r="M497" s="367">
        <f t="shared" si="342"/>
        <v>0</v>
      </c>
      <c r="N497" s="367">
        <f t="shared" si="342"/>
        <v>84495.46</v>
      </c>
      <c r="O497" s="367">
        <f t="shared" si="342"/>
        <v>81769.8</v>
      </c>
      <c r="P497" s="367">
        <f t="shared" si="342"/>
        <v>84495.46</v>
      </c>
      <c r="Q497" s="367">
        <f t="shared" si="342"/>
        <v>81769.8</v>
      </c>
      <c r="R497" s="368">
        <f>SUM(R500:R507)</f>
        <v>84499.480000000025</v>
      </c>
      <c r="S497" s="16">
        <f>F497-SUM(G497:R497)</f>
        <v>0</v>
      </c>
    </row>
    <row r="498" spans="1:19" x14ac:dyDescent="0.25">
      <c r="A498" s="46"/>
      <c r="B498" s="192"/>
      <c r="C498" s="369"/>
      <c r="D498" s="314"/>
      <c r="E498" s="370"/>
      <c r="F498" s="311">
        <f>SUM(F500:F506)</f>
        <v>417025.98</v>
      </c>
      <c r="G498" s="316"/>
      <c r="H498" s="316"/>
      <c r="I498" s="316"/>
      <c r="J498" s="316"/>
      <c r="K498" s="316"/>
      <c r="L498" s="316"/>
      <c r="M498" s="316"/>
      <c r="N498" s="316"/>
      <c r="O498" s="316"/>
      <c r="P498" s="316"/>
      <c r="Q498" s="316"/>
      <c r="R498" s="317"/>
    </row>
    <row r="499" spans="1:19" x14ac:dyDescent="0.25">
      <c r="A499" s="46"/>
      <c r="B499" s="184"/>
      <c r="D499" s="371"/>
      <c r="E499" s="110" t="s">
        <v>122</v>
      </c>
      <c r="F499" s="372">
        <v>0</v>
      </c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3"/>
    </row>
    <row r="500" spans="1:19" s="5" customFormat="1" x14ac:dyDescent="0.25">
      <c r="A500" s="115"/>
      <c r="B500" s="116">
        <v>1</v>
      </c>
      <c r="C500" s="18" t="s">
        <v>43</v>
      </c>
      <c r="D500" s="19">
        <v>72.540000000000006</v>
      </c>
      <c r="E500" s="21">
        <v>3</v>
      </c>
      <c r="F500" s="117">
        <f t="shared" ref="F500:F506" si="343">+E500*S500*D500</f>
        <v>33295.86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  <c r="M500" s="35">
        <v>0</v>
      </c>
      <c r="N500" s="35">
        <f t="shared" ref="N500:N506" si="344">+D500*E500*31</f>
        <v>6746.22</v>
      </c>
      <c r="O500" s="35">
        <f t="shared" ref="O500:O506" si="345">+D500*E500*30</f>
        <v>6528.6</v>
      </c>
      <c r="P500" s="35">
        <f t="shared" ref="P500:P506" si="346">+D500*E500*31</f>
        <v>6746.22</v>
      </c>
      <c r="Q500" s="35">
        <f t="shared" ref="Q500:Q506" si="347">+D500*E500*30</f>
        <v>6528.6</v>
      </c>
      <c r="R500" s="119">
        <f t="shared" ref="R500:R506" si="348">+D500*E500*31</f>
        <v>6746.22</v>
      </c>
      <c r="S500" s="120">
        <f t="shared" ref="S500:S506" si="349">31+30+31+30+31</f>
        <v>153</v>
      </c>
    </row>
    <row r="501" spans="1:19" s="5" customFormat="1" x14ac:dyDescent="0.25">
      <c r="A501" s="115"/>
      <c r="B501" s="116">
        <v>2</v>
      </c>
      <c r="C501" s="18" t="s">
        <v>71</v>
      </c>
      <c r="D501" s="19">
        <v>71.400000000000006</v>
      </c>
      <c r="E501" s="21">
        <v>7</v>
      </c>
      <c r="F501" s="117">
        <f t="shared" si="343"/>
        <v>76469.400000000009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  <c r="M501" s="35">
        <v>0</v>
      </c>
      <c r="N501" s="35">
        <f t="shared" si="344"/>
        <v>15493.800000000003</v>
      </c>
      <c r="O501" s="35">
        <f t="shared" si="345"/>
        <v>14994.000000000002</v>
      </c>
      <c r="P501" s="35">
        <f t="shared" si="346"/>
        <v>15493.800000000003</v>
      </c>
      <c r="Q501" s="35">
        <f t="shared" si="347"/>
        <v>14994.000000000002</v>
      </c>
      <c r="R501" s="119">
        <f t="shared" si="348"/>
        <v>15493.800000000003</v>
      </c>
      <c r="S501" s="120">
        <f t="shared" si="349"/>
        <v>153</v>
      </c>
    </row>
    <row r="502" spans="1:19" s="5" customFormat="1" x14ac:dyDescent="0.25">
      <c r="A502" s="115"/>
      <c r="B502" s="116">
        <v>3</v>
      </c>
      <c r="C502" s="18" t="s">
        <v>34</v>
      </c>
      <c r="D502" s="19">
        <v>71.400000000000006</v>
      </c>
      <c r="E502" s="21">
        <v>3</v>
      </c>
      <c r="F502" s="117">
        <f t="shared" si="343"/>
        <v>32772.600000000006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35">
        <v>0</v>
      </c>
      <c r="N502" s="35">
        <f t="shared" si="344"/>
        <v>6640.2000000000007</v>
      </c>
      <c r="O502" s="35">
        <f t="shared" si="345"/>
        <v>6426.0000000000009</v>
      </c>
      <c r="P502" s="35">
        <f t="shared" si="346"/>
        <v>6640.2000000000007</v>
      </c>
      <c r="Q502" s="35">
        <f t="shared" si="347"/>
        <v>6426.0000000000009</v>
      </c>
      <c r="R502" s="119">
        <f t="shared" si="348"/>
        <v>6640.2000000000007</v>
      </c>
      <c r="S502" s="120">
        <f t="shared" si="349"/>
        <v>153</v>
      </c>
    </row>
    <row r="503" spans="1:19" s="5" customFormat="1" x14ac:dyDescent="0.25">
      <c r="A503" s="115"/>
      <c r="B503" s="116">
        <v>4</v>
      </c>
      <c r="C503" s="18" t="s">
        <v>66</v>
      </c>
      <c r="D503" s="19">
        <v>73.59</v>
      </c>
      <c r="E503" s="21">
        <v>1</v>
      </c>
      <c r="F503" s="117">
        <f t="shared" si="343"/>
        <v>11259.27</v>
      </c>
      <c r="G503" s="35">
        <v>0</v>
      </c>
      <c r="H503" s="35">
        <v>0</v>
      </c>
      <c r="I503" s="35">
        <v>0</v>
      </c>
      <c r="J503" s="35">
        <v>0</v>
      </c>
      <c r="K503" s="35">
        <v>0</v>
      </c>
      <c r="L503" s="35">
        <v>0</v>
      </c>
      <c r="M503" s="35">
        <v>0</v>
      </c>
      <c r="N503" s="35">
        <f t="shared" si="344"/>
        <v>2281.29</v>
      </c>
      <c r="O503" s="35">
        <f t="shared" si="345"/>
        <v>2207.7000000000003</v>
      </c>
      <c r="P503" s="35">
        <f t="shared" si="346"/>
        <v>2281.29</v>
      </c>
      <c r="Q503" s="35">
        <f t="shared" si="347"/>
        <v>2207.7000000000003</v>
      </c>
      <c r="R503" s="119">
        <f t="shared" si="348"/>
        <v>2281.29</v>
      </c>
      <c r="S503" s="120">
        <f t="shared" si="349"/>
        <v>153</v>
      </c>
    </row>
    <row r="504" spans="1:19" s="5" customFormat="1" x14ac:dyDescent="0.25">
      <c r="A504" s="115"/>
      <c r="B504" s="116">
        <v>5</v>
      </c>
      <c r="C504" s="18" t="s">
        <v>38</v>
      </c>
      <c r="D504" s="19">
        <v>78.25</v>
      </c>
      <c r="E504" s="21">
        <v>1</v>
      </c>
      <c r="F504" s="117">
        <f t="shared" si="343"/>
        <v>11972.25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35">
        <v>0</v>
      </c>
      <c r="N504" s="35">
        <f t="shared" si="344"/>
        <v>2425.75</v>
      </c>
      <c r="O504" s="35">
        <f t="shared" si="345"/>
        <v>2347.5</v>
      </c>
      <c r="P504" s="35">
        <f t="shared" si="346"/>
        <v>2425.75</v>
      </c>
      <c r="Q504" s="35">
        <f t="shared" si="347"/>
        <v>2347.5</v>
      </c>
      <c r="R504" s="119">
        <f t="shared" si="348"/>
        <v>2425.75</v>
      </c>
      <c r="S504" s="120">
        <f t="shared" si="349"/>
        <v>153</v>
      </c>
    </row>
    <row r="505" spans="1:19" s="5" customFormat="1" x14ac:dyDescent="0.25">
      <c r="A505" s="115"/>
      <c r="B505" s="116">
        <v>6</v>
      </c>
      <c r="C505" s="18" t="s">
        <v>31</v>
      </c>
      <c r="D505" s="19">
        <v>71.400000000000006</v>
      </c>
      <c r="E505" s="21">
        <v>8</v>
      </c>
      <c r="F505" s="117">
        <f t="shared" si="343"/>
        <v>87393.600000000006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0</v>
      </c>
      <c r="M505" s="35">
        <v>0</v>
      </c>
      <c r="N505" s="35">
        <f t="shared" si="344"/>
        <v>17707.2</v>
      </c>
      <c r="O505" s="35">
        <f t="shared" si="345"/>
        <v>17136</v>
      </c>
      <c r="P505" s="35">
        <f t="shared" si="346"/>
        <v>17707.2</v>
      </c>
      <c r="Q505" s="35">
        <f t="shared" si="347"/>
        <v>17136</v>
      </c>
      <c r="R505" s="119">
        <f t="shared" si="348"/>
        <v>17707.2</v>
      </c>
      <c r="S505" s="120">
        <f t="shared" si="349"/>
        <v>153</v>
      </c>
    </row>
    <row r="506" spans="1:19" s="5" customFormat="1" x14ac:dyDescent="0.25">
      <c r="A506" s="115"/>
      <c r="B506" s="116">
        <v>7</v>
      </c>
      <c r="C506" s="18" t="s">
        <v>53</v>
      </c>
      <c r="D506" s="19">
        <v>71.400000000000006</v>
      </c>
      <c r="E506" s="21">
        <v>15</v>
      </c>
      <c r="F506" s="117">
        <f t="shared" si="343"/>
        <v>163863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f t="shared" si="344"/>
        <v>33201</v>
      </c>
      <c r="O506" s="35">
        <f t="shared" si="345"/>
        <v>32130</v>
      </c>
      <c r="P506" s="35">
        <f t="shared" si="346"/>
        <v>33201</v>
      </c>
      <c r="Q506" s="35">
        <f t="shared" si="347"/>
        <v>32130</v>
      </c>
      <c r="R506" s="119">
        <f t="shared" si="348"/>
        <v>33201</v>
      </c>
      <c r="S506" s="120">
        <f t="shared" si="349"/>
        <v>153</v>
      </c>
    </row>
    <row r="507" spans="1:19" ht="15.75" thickBot="1" x14ac:dyDescent="0.3">
      <c r="A507" s="46"/>
      <c r="B507" s="176"/>
      <c r="C507" s="291" t="s">
        <v>123</v>
      </c>
      <c r="D507" s="177"/>
      <c r="E507" s="178"/>
      <c r="F507" s="179">
        <f xml:space="preserve"> 994870-SUM(F500:F506)-577840</f>
        <v>4.0200000000186265</v>
      </c>
      <c r="G507" s="180"/>
      <c r="H507" s="181"/>
      <c r="I507" s="182"/>
      <c r="J507" s="182"/>
      <c r="K507" s="182"/>
      <c r="L507" s="182"/>
      <c r="M507" s="182"/>
      <c r="N507" s="182"/>
      <c r="O507" s="182"/>
      <c r="P507" s="182"/>
      <c r="Q507" s="182"/>
      <c r="R507" s="186">
        <f>F507</f>
        <v>4.0200000000186265</v>
      </c>
    </row>
    <row r="508" spans="1:19" ht="26.25" x14ac:dyDescent="0.25">
      <c r="A508" s="46"/>
      <c r="B508" s="309"/>
      <c r="C508" s="373" t="s">
        <v>91</v>
      </c>
      <c r="D508" s="292"/>
      <c r="E508" s="292"/>
      <c r="F508" s="293"/>
      <c r="G508" s="294"/>
      <c r="H508" s="360"/>
      <c r="I508" s="294"/>
      <c r="J508" s="294"/>
      <c r="K508" s="294"/>
      <c r="L508" s="294"/>
      <c r="M508" s="294"/>
      <c r="N508" s="294"/>
      <c r="O508" s="294"/>
      <c r="P508" s="294"/>
      <c r="Q508" s="294"/>
      <c r="R508" s="296"/>
    </row>
    <row r="509" spans="1:19" ht="30" customHeight="1" x14ac:dyDescent="0.25">
      <c r="A509" s="46"/>
      <c r="B509" s="374"/>
      <c r="C509" s="602" t="s">
        <v>143</v>
      </c>
      <c r="D509" s="602"/>
      <c r="E509" s="375">
        <f>SUM(E512:E533)</f>
        <v>280</v>
      </c>
      <c r="F509" s="376">
        <f>SUM(F512:F534)</f>
        <v>2712850</v>
      </c>
      <c r="G509" s="377">
        <f t="shared" ref="G509:Q509" si="350">SUM(G512:G533)</f>
        <v>0</v>
      </c>
      <c r="H509" s="377">
        <f t="shared" si="350"/>
        <v>0</v>
      </c>
      <c r="I509" s="377">
        <f t="shared" si="350"/>
        <v>0</v>
      </c>
      <c r="J509" s="377">
        <f t="shared" si="350"/>
        <v>0</v>
      </c>
      <c r="K509" s="377">
        <f t="shared" si="350"/>
        <v>309233.39999999997</v>
      </c>
      <c r="L509" s="377">
        <f t="shared" si="350"/>
        <v>83109.600000000006</v>
      </c>
      <c r="M509" s="377">
        <f t="shared" si="350"/>
        <v>10995.600000000002</v>
      </c>
      <c r="N509" s="377">
        <f t="shared" si="350"/>
        <v>462377.4</v>
      </c>
      <c r="O509" s="377">
        <f t="shared" si="350"/>
        <v>443178</v>
      </c>
      <c r="P509" s="377">
        <f t="shared" si="350"/>
        <v>6640.2000000000007</v>
      </c>
      <c r="Q509" s="377">
        <f t="shared" si="350"/>
        <v>6426</v>
      </c>
      <c r="R509" s="378">
        <f>SUM(R512:R534)</f>
        <v>1390889.7999999996</v>
      </c>
      <c r="S509" s="16">
        <f>F509-SUM(G509:R509)</f>
        <v>0</v>
      </c>
    </row>
    <row r="510" spans="1:19" x14ac:dyDescent="0.25">
      <c r="A510" s="46"/>
      <c r="B510" s="48"/>
      <c r="C510" s="379"/>
      <c r="D510" s="379"/>
      <c r="E510" s="350"/>
      <c r="F510" s="311">
        <f>SUM(F512:F533)</f>
        <v>1328600.4000000001</v>
      </c>
      <c r="G510" s="312"/>
      <c r="H510" s="312"/>
      <c r="I510" s="312"/>
      <c r="J510" s="312"/>
      <c r="K510" s="312"/>
      <c r="L510" s="312"/>
      <c r="M510" s="312"/>
      <c r="N510" s="312"/>
      <c r="O510" s="312"/>
      <c r="P510" s="312"/>
      <c r="Q510" s="312"/>
      <c r="R510" s="313"/>
    </row>
    <row r="511" spans="1:19" x14ac:dyDescent="0.25">
      <c r="A511" s="46"/>
      <c r="B511" s="184"/>
      <c r="C511" s="303"/>
      <c r="D511" s="303"/>
      <c r="E511" s="208" t="s">
        <v>122</v>
      </c>
      <c r="F511" s="201">
        <v>0</v>
      </c>
      <c r="G511" s="265"/>
      <c r="H511" s="265"/>
      <c r="I511" s="265"/>
      <c r="J511" s="265"/>
      <c r="K511" s="265"/>
      <c r="L511" s="265"/>
      <c r="M511" s="220"/>
      <c r="N511" s="265"/>
      <c r="O511" s="265"/>
      <c r="P511" s="265"/>
      <c r="Q511" s="265"/>
      <c r="R511" s="307"/>
    </row>
    <row r="512" spans="1:19" x14ac:dyDescent="0.25">
      <c r="A512" s="46"/>
      <c r="B512" s="121">
        <v>1</v>
      </c>
      <c r="C512" s="122" t="s">
        <v>31</v>
      </c>
      <c r="D512" s="123">
        <v>71.400000000000006</v>
      </c>
      <c r="E512" s="20">
        <v>69</v>
      </c>
      <c r="F512" s="124">
        <f t="shared" ref="F512:F516" si="351">+E512*S512*D512</f>
        <v>379348.2</v>
      </c>
      <c r="G512" s="125">
        <v>0</v>
      </c>
      <c r="H512" s="126">
        <v>0</v>
      </c>
      <c r="I512" s="125">
        <v>0</v>
      </c>
      <c r="J512" s="125">
        <v>0</v>
      </c>
      <c r="K512" s="125">
        <f>+D512*E512*31+D512*E512*30</f>
        <v>300522.59999999998</v>
      </c>
      <c r="L512" s="125">
        <f>+D512*E512*16</f>
        <v>78825.600000000006</v>
      </c>
      <c r="M512" s="125">
        <v>0</v>
      </c>
      <c r="N512" s="125">
        <v>0</v>
      </c>
      <c r="O512" s="125">
        <v>0</v>
      </c>
      <c r="P512" s="125">
        <v>0</v>
      </c>
      <c r="Q512" s="125">
        <v>0</v>
      </c>
      <c r="R512" s="127">
        <v>0</v>
      </c>
      <c r="S512" s="128">
        <f>30+31+16</f>
        <v>77</v>
      </c>
    </row>
    <row r="513" spans="1:19" x14ac:dyDescent="0.25">
      <c r="A513" s="46"/>
      <c r="B513" s="121">
        <v>1</v>
      </c>
      <c r="C513" s="122" t="s">
        <v>31</v>
      </c>
      <c r="D513" s="123">
        <v>71.400000000000006</v>
      </c>
      <c r="E513" s="20">
        <v>2</v>
      </c>
      <c r="F513" s="124">
        <f t="shared" si="351"/>
        <v>12994.800000000001</v>
      </c>
      <c r="G513" s="125">
        <v>0</v>
      </c>
      <c r="H513" s="126">
        <v>0</v>
      </c>
      <c r="I513" s="125">
        <v>0</v>
      </c>
      <c r="J513" s="125">
        <v>0</v>
      </c>
      <c r="K513" s="125">
        <f>+D513*E513*31+D513*E513*30</f>
        <v>8710.7999999999993</v>
      </c>
      <c r="L513" s="125">
        <f>+D513*E513*30</f>
        <v>4284</v>
      </c>
      <c r="M513" s="125">
        <v>0</v>
      </c>
      <c r="N513" s="125">
        <v>0</v>
      </c>
      <c r="O513" s="125">
        <v>0</v>
      </c>
      <c r="P513" s="125">
        <v>0</v>
      </c>
      <c r="Q513" s="125">
        <v>0</v>
      </c>
      <c r="R513" s="127">
        <v>0</v>
      </c>
      <c r="S513" s="128">
        <f>30+31+30</f>
        <v>91</v>
      </c>
    </row>
    <row r="514" spans="1:19" x14ac:dyDescent="0.25">
      <c r="A514" s="46"/>
      <c r="B514" s="121">
        <v>2</v>
      </c>
      <c r="C514" s="122" t="s">
        <v>31</v>
      </c>
      <c r="D514" s="123">
        <v>71.400000000000006</v>
      </c>
      <c r="E514" s="20">
        <v>1</v>
      </c>
      <c r="F514" s="124">
        <f t="shared" si="351"/>
        <v>0</v>
      </c>
      <c r="G514" s="125">
        <v>0</v>
      </c>
      <c r="H514" s="126">
        <v>0</v>
      </c>
      <c r="I514" s="125">
        <v>0</v>
      </c>
      <c r="J514" s="125">
        <v>0</v>
      </c>
      <c r="K514" s="125">
        <v>0</v>
      </c>
      <c r="L514" s="125">
        <v>0</v>
      </c>
      <c r="M514" s="125">
        <v>0</v>
      </c>
      <c r="N514" s="125">
        <v>0</v>
      </c>
      <c r="O514" s="125">
        <v>0</v>
      </c>
      <c r="P514" s="125">
        <v>0</v>
      </c>
      <c r="Q514" s="125">
        <v>0</v>
      </c>
      <c r="R514" s="127">
        <v>0</v>
      </c>
      <c r="S514" s="128">
        <v>0</v>
      </c>
    </row>
    <row r="515" spans="1:19" s="5" customFormat="1" x14ac:dyDescent="0.25">
      <c r="A515" s="115"/>
      <c r="B515" s="116">
        <v>3</v>
      </c>
      <c r="C515" s="18" t="s">
        <v>81</v>
      </c>
      <c r="D515" s="19">
        <v>71.400000000000006</v>
      </c>
      <c r="E515" s="21">
        <v>1</v>
      </c>
      <c r="F515" s="117">
        <f t="shared" si="351"/>
        <v>6568.8</v>
      </c>
      <c r="G515" s="35">
        <v>0</v>
      </c>
      <c r="H515" s="118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f>+D515*E515*61</f>
        <v>4355.4000000000005</v>
      </c>
      <c r="N515" s="35">
        <f>+D515*E515*31</f>
        <v>2213.4</v>
      </c>
      <c r="O515" s="35">
        <v>0</v>
      </c>
      <c r="P515" s="35">
        <v>0</v>
      </c>
      <c r="Q515" s="35">
        <v>0</v>
      </c>
      <c r="R515" s="119">
        <v>0</v>
      </c>
      <c r="S515" s="120">
        <f>30+31+31</f>
        <v>92</v>
      </c>
    </row>
    <row r="516" spans="1:19" s="5" customFormat="1" x14ac:dyDescent="0.25">
      <c r="A516" s="115"/>
      <c r="B516" s="116">
        <v>4</v>
      </c>
      <c r="C516" s="18" t="s">
        <v>81</v>
      </c>
      <c r="D516" s="19">
        <v>71.400000000000006</v>
      </c>
      <c r="E516" s="21">
        <v>1</v>
      </c>
      <c r="F516" s="117">
        <f t="shared" si="351"/>
        <v>13137.6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f t="shared" ref="M516:M517" si="352">E516*D516*31</f>
        <v>2213.4</v>
      </c>
      <c r="N516" s="35">
        <f t="shared" ref="N516:N517" si="353">E516*D516*31</f>
        <v>2213.4</v>
      </c>
      <c r="O516" s="35">
        <f t="shared" ref="O516:O517" si="354">E516*D516*30</f>
        <v>2142</v>
      </c>
      <c r="P516" s="35">
        <f t="shared" ref="P516:P517" si="355">E516*D516*31</f>
        <v>2213.4</v>
      </c>
      <c r="Q516" s="35">
        <f t="shared" ref="Q516:Q517" si="356">E516*D516*30</f>
        <v>2142</v>
      </c>
      <c r="R516" s="119">
        <f t="shared" ref="R516:R517" si="357">E516*D516*31</f>
        <v>2213.4</v>
      </c>
      <c r="S516" s="120">
        <f>31+31+30+31+30+31</f>
        <v>184</v>
      </c>
    </row>
    <row r="517" spans="1:19" s="5" customFormat="1" x14ac:dyDescent="0.25">
      <c r="A517" s="115"/>
      <c r="B517" s="116">
        <v>5</v>
      </c>
      <c r="C517" s="18" t="s">
        <v>53</v>
      </c>
      <c r="D517" s="19">
        <v>71.400000000000006</v>
      </c>
      <c r="E517" s="21">
        <v>2</v>
      </c>
      <c r="F517" s="117">
        <f>+E517*S517*D517</f>
        <v>26275.200000000001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f t="shared" si="352"/>
        <v>4426.8</v>
      </c>
      <c r="N517" s="35">
        <f t="shared" si="353"/>
        <v>4426.8</v>
      </c>
      <c r="O517" s="35">
        <f t="shared" si="354"/>
        <v>4284</v>
      </c>
      <c r="P517" s="35">
        <f t="shared" si="355"/>
        <v>4426.8</v>
      </c>
      <c r="Q517" s="35">
        <f t="shared" si="356"/>
        <v>4284</v>
      </c>
      <c r="R517" s="119">
        <f t="shared" si="357"/>
        <v>4426.8</v>
      </c>
      <c r="S517" s="120">
        <f t="shared" ref="S517" si="358">31+31+30+31+30+31</f>
        <v>184</v>
      </c>
    </row>
    <row r="518" spans="1:19" s="5" customFormat="1" x14ac:dyDescent="0.25">
      <c r="A518" s="115"/>
      <c r="B518" s="207"/>
      <c r="C518" s="322" t="s">
        <v>43</v>
      </c>
      <c r="D518" s="245">
        <v>72.540000000000006</v>
      </c>
      <c r="E518" s="22">
        <v>16</v>
      </c>
      <c r="F518" s="247">
        <f t="shared" ref="F518:F533" si="359">+E518*S518*D518</f>
        <v>70799.040000000008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f t="shared" ref="N518:N529" si="360">+D518*E518*31</f>
        <v>35979.840000000004</v>
      </c>
      <c r="O518" s="35">
        <f t="shared" ref="O518:O529" si="361">+D518*E518*30</f>
        <v>34819.200000000004</v>
      </c>
      <c r="P518" s="35">
        <v>0</v>
      </c>
      <c r="Q518" s="35">
        <v>0</v>
      </c>
      <c r="R518" s="119">
        <v>0</v>
      </c>
      <c r="S518" s="120">
        <f>31+30</f>
        <v>61</v>
      </c>
    </row>
    <row r="519" spans="1:19" s="5" customFormat="1" x14ac:dyDescent="0.25">
      <c r="A519" s="115"/>
      <c r="B519" s="116"/>
      <c r="C519" s="323" t="s">
        <v>71</v>
      </c>
      <c r="D519" s="19">
        <v>71.400000000000006</v>
      </c>
      <c r="E519" s="21">
        <v>15</v>
      </c>
      <c r="F519" s="117">
        <f t="shared" si="359"/>
        <v>65331.000000000007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  <c r="M519" s="35">
        <v>0</v>
      </c>
      <c r="N519" s="35">
        <f t="shared" si="360"/>
        <v>33201</v>
      </c>
      <c r="O519" s="35">
        <f t="shared" si="361"/>
        <v>32130</v>
      </c>
      <c r="P519" s="35">
        <v>0</v>
      </c>
      <c r="Q519" s="35">
        <v>0</v>
      </c>
      <c r="R519" s="119">
        <v>0</v>
      </c>
      <c r="S519" s="120">
        <f t="shared" ref="S519:S533" si="362">31+30</f>
        <v>61</v>
      </c>
    </row>
    <row r="520" spans="1:19" s="5" customFormat="1" x14ac:dyDescent="0.25">
      <c r="A520" s="115"/>
      <c r="B520" s="207"/>
      <c r="C520" s="324" t="s">
        <v>47</v>
      </c>
      <c r="D520" s="19">
        <v>71.400000000000006</v>
      </c>
      <c r="E520" s="21">
        <v>1</v>
      </c>
      <c r="F520" s="117">
        <f t="shared" si="359"/>
        <v>4355.4000000000005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  <c r="M520" s="35">
        <v>0</v>
      </c>
      <c r="N520" s="35">
        <f t="shared" si="360"/>
        <v>2213.4</v>
      </c>
      <c r="O520" s="35">
        <f t="shared" si="361"/>
        <v>2142</v>
      </c>
      <c r="P520" s="35">
        <v>0</v>
      </c>
      <c r="Q520" s="35">
        <v>0</v>
      </c>
      <c r="R520" s="119">
        <v>0</v>
      </c>
      <c r="S520" s="120">
        <f t="shared" si="362"/>
        <v>61</v>
      </c>
    </row>
    <row r="521" spans="1:19" s="5" customFormat="1" x14ac:dyDescent="0.25">
      <c r="A521" s="115"/>
      <c r="B521" s="207"/>
      <c r="C521" s="324" t="s">
        <v>89</v>
      </c>
      <c r="D521" s="19">
        <v>71.400000000000006</v>
      </c>
      <c r="E521" s="21">
        <v>2</v>
      </c>
      <c r="F521" s="117">
        <f t="shared" si="359"/>
        <v>8710.8000000000011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f t="shared" si="360"/>
        <v>4426.8</v>
      </c>
      <c r="O521" s="35">
        <f t="shared" si="361"/>
        <v>4284</v>
      </c>
      <c r="P521" s="35">
        <v>0</v>
      </c>
      <c r="Q521" s="35">
        <v>0</v>
      </c>
      <c r="R521" s="119">
        <v>0</v>
      </c>
      <c r="S521" s="120">
        <f t="shared" si="362"/>
        <v>61</v>
      </c>
    </row>
    <row r="522" spans="1:19" s="5" customFormat="1" ht="15.75" customHeight="1" x14ac:dyDescent="0.25">
      <c r="A522" s="115"/>
      <c r="B522" s="116"/>
      <c r="C522" s="323" t="s">
        <v>90</v>
      </c>
      <c r="D522" s="19">
        <v>75.64</v>
      </c>
      <c r="E522" s="23">
        <v>1</v>
      </c>
      <c r="F522" s="117">
        <f t="shared" si="359"/>
        <v>4614.04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  <c r="M522" s="35">
        <v>0</v>
      </c>
      <c r="N522" s="35">
        <f t="shared" si="360"/>
        <v>2344.84</v>
      </c>
      <c r="O522" s="35">
        <f t="shared" si="361"/>
        <v>2269.1999999999998</v>
      </c>
      <c r="P522" s="35">
        <v>0</v>
      </c>
      <c r="Q522" s="35">
        <v>0</v>
      </c>
      <c r="R522" s="119">
        <v>0</v>
      </c>
      <c r="S522" s="120">
        <f t="shared" si="362"/>
        <v>61</v>
      </c>
    </row>
    <row r="523" spans="1:19" s="5" customFormat="1" x14ac:dyDescent="0.25">
      <c r="A523" s="115"/>
      <c r="B523" s="207"/>
      <c r="C523" s="323" t="s">
        <v>34</v>
      </c>
      <c r="D523" s="19">
        <v>71.400000000000006</v>
      </c>
      <c r="E523" s="21">
        <v>16</v>
      </c>
      <c r="F523" s="117">
        <f t="shared" si="359"/>
        <v>69686.400000000009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  <c r="M523" s="35">
        <v>0</v>
      </c>
      <c r="N523" s="35">
        <f t="shared" si="360"/>
        <v>35414.400000000001</v>
      </c>
      <c r="O523" s="35">
        <f t="shared" si="361"/>
        <v>34272</v>
      </c>
      <c r="P523" s="35">
        <v>0</v>
      </c>
      <c r="Q523" s="35">
        <v>0</v>
      </c>
      <c r="R523" s="119">
        <v>0</v>
      </c>
      <c r="S523" s="120">
        <f t="shared" si="362"/>
        <v>61</v>
      </c>
    </row>
    <row r="524" spans="1:19" s="5" customFormat="1" x14ac:dyDescent="0.25">
      <c r="A524" s="115"/>
      <c r="B524" s="207"/>
      <c r="C524" s="323" t="s">
        <v>84</v>
      </c>
      <c r="D524" s="19">
        <v>76.59</v>
      </c>
      <c r="E524" s="21">
        <v>1</v>
      </c>
      <c r="F524" s="117">
        <f t="shared" si="359"/>
        <v>4671.99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  <c r="M524" s="35">
        <v>0</v>
      </c>
      <c r="N524" s="35">
        <f t="shared" si="360"/>
        <v>2374.29</v>
      </c>
      <c r="O524" s="35">
        <f t="shared" si="361"/>
        <v>2297.7000000000003</v>
      </c>
      <c r="P524" s="35">
        <v>0</v>
      </c>
      <c r="Q524" s="35">
        <v>0</v>
      </c>
      <c r="R524" s="119">
        <v>0</v>
      </c>
      <c r="S524" s="120">
        <f t="shared" si="362"/>
        <v>61</v>
      </c>
    </row>
    <row r="525" spans="1:19" s="5" customFormat="1" x14ac:dyDescent="0.25">
      <c r="A525" s="115"/>
      <c r="B525" s="207"/>
      <c r="C525" s="323" t="s">
        <v>76</v>
      </c>
      <c r="D525" s="19">
        <v>72.540000000000006</v>
      </c>
      <c r="E525" s="21">
        <v>1</v>
      </c>
      <c r="F525" s="117">
        <f t="shared" si="359"/>
        <v>4424.9400000000005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  <c r="M525" s="35">
        <v>0</v>
      </c>
      <c r="N525" s="35">
        <f t="shared" si="360"/>
        <v>2248.7400000000002</v>
      </c>
      <c r="O525" s="35">
        <f t="shared" si="361"/>
        <v>2176.2000000000003</v>
      </c>
      <c r="P525" s="35">
        <v>0</v>
      </c>
      <c r="Q525" s="35">
        <v>0</v>
      </c>
      <c r="R525" s="119">
        <v>0</v>
      </c>
      <c r="S525" s="120">
        <f t="shared" si="362"/>
        <v>61</v>
      </c>
    </row>
    <row r="526" spans="1:19" s="5" customFormat="1" x14ac:dyDescent="0.25">
      <c r="A526" s="115"/>
      <c r="B526" s="207"/>
      <c r="C526" s="323" t="s">
        <v>35</v>
      </c>
      <c r="D526" s="19">
        <v>72.540000000000006</v>
      </c>
      <c r="E526" s="21">
        <v>1</v>
      </c>
      <c r="F526" s="117">
        <f t="shared" si="359"/>
        <v>4424.9400000000005</v>
      </c>
      <c r="G526" s="35">
        <v>0</v>
      </c>
      <c r="H526" s="35">
        <v>0</v>
      </c>
      <c r="I526" s="35">
        <v>0</v>
      </c>
      <c r="J526" s="35">
        <v>0</v>
      </c>
      <c r="K526" s="35">
        <v>0</v>
      </c>
      <c r="L526" s="35">
        <v>0</v>
      </c>
      <c r="M526" s="35">
        <v>0</v>
      </c>
      <c r="N526" s="35">
        <f t="shared" si="360"/>
        <v>2248.7400000000002</v>
      </c>
      <c r="O526" s="35">
        <f t="shared" si="361"/>
        <v>2176.2000000000003</v>
      </c>
      <c r="P526" s="35">
        <v>0</v>
      </c>
      <c r="Q526" s="35">
        <v>0</v>
      </c>
      <c r="R526" s="119">
        <v>0</v>
      </c>
      <c r="S526" s="120">
        <f t="shared" si="362"/>
        <v>61</v>
      </c>
    </row>
    <row r="527" spans="1:19" s="5" customFormat="1" x14ac:dyDescent="0.25">
      <c r="A527" s="115"/>
      <c r="B527" s="116"/>
      <c r="C527" s="323" t="s">
        <v>38</v>
      </c>
      <c r="D527" s="19">
        <v>78.25</v>
      </c>
      <c r="E527" s="21">
        <v>4</v>
      </c>
      <c r="F527" s="117">
        <f t="shared" si="359"/>
        <v>19093</v>
      </c>
      <c r="G527" s="35">
        <v>0</v>
      </c>
      <c r="H527" s="35">
        <v>0</v>
      </c>
      <c r="I527" s="35">
        <v>0</v>
      </c>
      <c r="J527" s="35">
        <v>0</v>
      </c>
      <c r="K527" s="35">
        <v>0</v>
      </c>
      <c r="L527" s="35">
        <v>0</v>
      </c>
      <c r="M527" s="35">
        <v>0</v>
      </c>
      <c r="N527" s="35">
        <f t="shared" si="360"/>
        <v>9703</v>
      </c>
      <c r="O527" s="35">
        <f t="shared" si="361"/>
        <v>9390</v>
      </c>
      <c r="P527" s="35">
        <v>0</v>
      </c>
      <c r="Q527" s="35">
        <v>0</v>
      </c>
      <c r="R527" s="119">
        <v>0</v>
      </c>
      <c r="S527" s="120">
        <f t="shared" si="362"/>
        <v>61</v>
      </c>
    </row>
    <row r="528" spans="1:19" s="5" customFormat="1" x14ac:dyDescent="0.25">
      <c r="A528" s="115"/>
      <c r="B528" s="116"/>
      <c r="C528" s="18" t="s">
        <v>31</v>
      </c>
      <c r="D528" s="19">
        <v>71.400000000000006</v>
      </c>
      <c r="E528" s="21">
        <v>123</v>
      </c>
      <c r="F528" s="117">
        <f t="shared" si="359"/>
        <v>535714.20000000007</v>
      </c>
      <c r="G528" s="35">
        <v>0</v>
      </c>
      <c r="H528" s="35">
        <v>0</v>
      </c>
      <c r="I528" s="35">
        <v>0</v>
      </c>
      <c r="J528" s="35">
        <v>0</v>
      </c>
      <c r="K528" s="35">
        <v>0</v>
      </c>
      <c r="L528" s="35">
        <v>0</v>
      </c>
      <c r="M528" s="35">
        <v>0</v>
      </c>
      <c r="N528" s="35">
        <f t="shared" si="360"/>
        <v>272248.2</v>
      </c>
      <c r="O528" s="35">
        <f t="shared" si="361"/>
        <v>263466</v>
      </c>
      <c r="P528" s="35">
        <v>0</v>
      </c>
      <c r="Q528" s="35">
        <v>0</v>
      </c>
      <c r="R528" s="119">
        <v>0</v>
      </c>
      <c r="S528" s="120">
        <f t="shared" si="362"/>
        <v>61</v>
      </c>
    </row>
    <row r="529" spans="1:20" s="259" customFormat="1" x14ac:dyDescent="0.25">
      <c r="A529" s="254"/>
      <c r="B529" s="255"/>
      <c r="C529" s="256" t="s">
        <v>53</v>
      </c>
      <c r="D529" s="257">
        <v>71.400000000000006</v>
      </c>
      <c r="E529" s="24">
        <v>20</v>
      </c>
      <c r="F529" s="222">
        <f t="shared" si="359"/>
        <v>87108</v>
      </c>
      <c r="G529" s="35">
        <v>0</v>
      </c>
      <c r="H529" s="35">
        <v>0</v>
      </c>
      <c r="I529" s="35">
        <v>0</v>
      </c>
      <c r="J529" s="35">
        <v>0</v>
      </c>
      <c r="K529" s="35">
        <v>0</v>
      </c>
      <c r="L529" s="35">
        <v>0</v>
      </c>
      <c r="M529" s="35">
        <v>0</v>
      </c>
      <c r="N529" s="35">
        <f t="shared" si="360"/>
        <v>44268</v>
      </c>
      <c r="O529" s="35">
        <f t="shared" si="361"/>
        <v>42840</v>
      </c>
      <c r="P529" s="35">
        <v>0</v>
      </c>
      <c r="Q529" s="35">
        <v>0</v>
      </c>
      <c r="R529" s="119">
        <v>0</v>
      </c>
      <c r="S529" s="120">
        <f t="shared" si="362"/>
        <v>61</v>
      </c>
      <c r="T529" s="5"/>
    </row>
    <row r="530" spans="1:20" s="259" customFormat="1" x14ac:dyDescent="0.25">
      <c r="A530" s="254"/>
      <c r="B530" s="255"/>
      <c r="C530" s="256" t="s">
        <v>53</v>
      </c>
      <c r="D530" s="257">
        <v>71.400000000000006</v>
      </c>
      <c r="E530" s="24">
        <v>1</v>
      </c>
      <c r="F530" s="222">
        <f t="shared" si="359"/>
        <v>0</v>
      </c>
      <c r="G530" s="35">
        <v>0</v>
      </c>
      <c r="H530" s="35">
        <v>0</v>
      </c>
      <c r="I530" s="35">
        <v>0</v>
      </c>
      <c r="J530" s="35">
        <v>0</v>
      </c>
      <c r="K530" s="35">
        <v>0</v>
      </c>
      <c r="L530" s="35">
        <v>0</v>
      </c>
      <c r="M530" s="35">
        <v>0</v>
      </c>
      <c r="N530" s="35">
        <v>0</v>
      </c>
      <c r="O530" s="35">
        <v>0</v>
      </c>
      <c r="P530" s="35">
        <v>0</v>
      </c>
      <c r="Q530" s="35">
        <v>0</v>
      </c>
      <c r="R530" s="119">
        <v>0</v>
      </c>
      <c r="S530" s="120">
        <v>0</v>
      </c>
      <c r="T530" s="5"/>
    </row>
    <row r="531" spans="1:20" s="5" customFormat="1" x14ac:dyDescent="0.25">
      <c r="A531" s="115"/>
      <c r="B531" s="207"/>
      <c r="C531" s="323" t="s">
        <v>82</v>
      </c>
      <c r="D531" s="19">
        <v>71.400000000000006</v>
      </c>
      <c r="E531" s="21">
        <v>1</v>
      </c>
      <c r="F531" s="117">
        <f t="shared" si="359"/>
        <v>6568.8</v>
      </c>
      <c r="G531" s="35">
        <v>0</v>
      </c>
      <c r="H531" s="35">
        <v>0</v>
      </c>
      <c r="I531" s="35">
        <v>0</v>
      </c>
      <c r="J531" s="35">
        <v>0</v>
      </c>
      <c r="K531" s="35">
        <v>0</v>
      </c>
      <c r="L531" s="35">
        <v>0</v>
      </c>
      <c r="M531" s="35">
        <v>0</v>
      </c>
      <c r="N531" s="35">
        <f>+D531*E531*62</f>
        <v>4426.8</v>
      </c>
      <c r="O531" s="35">
        <f t="shared" ref="O531" si="363">+D531*E531*30</f>
        <v>2142</v>
      </c>
      <c r="P531" s="35">
        <v>0</v>
      </c>
      <c r="Q531" s="35">
        <v>0</v>
      </c>
      <c r="R531" s="119">
        <v>0</v>
      </c>
      <c r="S531" s="120">
        <f>31+31+30</f>
        <v>92</v>
      </c>
    </row>
    <row r="532" spans="1:20" s="259" customFormat="1" x14ac:dyDescent="0.25">
      <c r="A532" s="254"/>
      <c r="B532" s="255"/>
      <c r="C532" s="256"/>
      <c r="D532" s="257"/>
      <c r="E532" s="24"/>
      <c r="F532" s="222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119"/>
      <c r="S532" s="120"/>
      <c r="T532" s="5"/>
    </row>
    <row r="533" spans="1:20" s="5" customFormat="1" ht="15" customHeight="1" x14ac:dyDescent="0.25">
      <c r="A533" s="115"/>
      <c r="B533" s="116"/>
      <c r="C533" s="18" t="s">
        <v>85</v>
      </c>
      <c r="D533" s="19">
        <v>78.25</v>
      </c>
      <c r="E533" s="21">
        <v>1</v>
      </c>
      <c r="F533" s="117">
        <f t="shared" si="359"/>
        <v>4773.25</v>
      </c>
      <c r="G533" s="35">
        <v>0</v>
      </c>
      <c r="H533" s="35">
        <v>0</v>
      </c>
      <c r="I533" s="35">
        <v>0</v>
      </c>
      <c r="J533" s="35">
        <v>0</v>
      </c>
      <c r="K533" s="35">
        <v>0</v>
      </c>
      <c r="L533" s="35">
        <v>0</v>
      </c>
      <c r="M533" s="35">
        <v>0</v>
      </c>
      <c r="N533" s="35">
        <f t="shared" ref="N533" si="364">+D533*E533*31</f>
        <v>2425.75</v>
      </c>
      <c r="O533" s="35">
        <f t="shared" ref="O533" si="365">+D533*E533*30</f>
        <v>2347.5</v>
      </c>
      <c r="P533" s="35">
        <v>0</v>
      </c>
      <c r="Q533" s="35">
        <v>0</v>
      </c>
      <c r="R533" s="119">
        <v>0</v>
      </c>
      <c r="S533" s="120">
        <f t="shared" si="362"/>
        <v>61</v>
      </c>
    </row>
    <row r="534" spans="1:20" ht="15.75" thickBot="1" x14ac:dyDescent="0.3">
      <c r="A534" s="46"/>
      <c r="B534" s="121"/>
      <c r="C534" s="122" t="s">
        <v>123</v>
      </c>
      <c r="D534" s="123"/>
      <c r="E534" s="20"/>
      <c r="F534" s="124">
        <f xml:space="preserve"> 5903573-SUM(F512:F533)-1607939-1250000-1100000+767216</f>
        <v>1384249.5999999996</v>
      </c>
      <c r="G534" s="141"/>
      <c r="H534" s="126"/>
      <c r="I534" s="125"/>
      <c r="J534" s="125"/>
      <c r="K534" s="125"/>
      <c r="L534" s="125"/>
      <c r="M534" s="125"/>
      <c r="N534" s="125"/>
      <c r="O534" s="125"/>
      <c r="P534" s="125"/>
      <c r="Q534" s="125"/>
      <c r="R534" s="127">
        <f>F534</f>
        <v>1384249.5999999996</v>
      </c>
      <c r="T534" s="16"/>
    </row>
    <row r="535" spans="1:20" ht="15.75" thickBot="1" x14ac:dyDescent="0.3">
      <c r="A535" s="46"/>
      <c r="B535" s="339"/>
      <c r="C535" s="340" t="s">
        <v>79</v>
      </c>
      <c r="D535" s="341"/>
      <c r="E535" s="342">
        <f t="shared" ref="E535:R535" si="366">E537+E550</f>
        <v>251</v>
      </c>
      <c r="F535" s="343">
        <f t="shared" si="366"/>
        <v>3735740</v>
      </c>
      <c r="G535" s="344">
        <f t="shared" si="366"/>
        <v>547085.21000000008</v>
      </c>
      <c r="H535" s="344">
        <f t="shared" si="366"/>
        <v>497211.68000000005</v>
      </c>
      <c r="I535" s="344">
        <f t="shared" si="366"/>
        <v>547801.06000000006</v>
      </c>
      <c r="J535" s="344">
        <f t="shared" si="366"/>
        <v>524947.80000000005</v>
      </c>
      <c r="K535" s="344">
        <f t="shared" si="366"/>
        <v>548800.66000000015</v>
      </c>
      <c r="L535" s="344">
        <f t="shared" si="366"/>
        <v>522805.8</v>
      </c>
      <c r="M535" s="344">
        <f t="shared" si="366"/>
        <v>535805.8600000001</v>
      </c>
      <c r="N535" s="344">
        <f t="shared" si="366"/>
        <v>0</v>
      </c>
      <c r="O535" s="344">
        <f t="shared" si="366"/>
        <v>0</v>
      </c>
      <c r="P535" s="344">
        <f t="shared" si="366"/>
        <v>0</v>
      </c>
      <c r="Q535" s="344">
        <f t="shared" si="366"/>
        <v>0</v>
      </c>
      <c r="R535" s="345">
        <f t="shared" si="366"/>
        <v>11281.930000000051</v>
      </c>
      <c r="S535" s="16">
        <f>F535-SUM(G535:R535)</f>
        <v>0</v>
      </c>
    </row>
    <row r="536" spans="1:20" x14ac:dyDescent="0.25">
      <c r="A536" s="46"/>
      <c r="B536" s="260"/>
      <c r="C536" s="603" t="s">
        <v>44</v>
      </c>
      <c r="D536" s="604"/>
      <c r="E536" s="360"/>
      <c r="F536" s="361"/>
      <c r="G536" s="362"/>
      <c r="H536" s="362"/>
      <c r="I536" s="362"/>
      <c r="J536" s="362"/>
      <c r="K536" s="362"/>
      <c r="L536" s="362"/>
      <c r="M536" s="362"/>
      <c r="N536" s="362"/>
      <c r="O536" s="362"/>
      <c r="P536" s="362"/>
      <c r="Q536" s="362"/>
      <c r="R536" s="363"/>
    </row>
    <row r="537" spans="1:20" ht="31.5" customHeight="1" x14ac:dyDescent="0.25">
      <c r="A537" s="46"/>
      <c r="B537" s="48"/>
      <c r="C537" s="602" t="s">
        <v>144</v>
      </c>
      <c r="D537" s="602"/>
      <c r="E537" s="370">
        <f>SUM(E540:E547)</f>
        <v>38</v>
      </c>
      <c r="F537" s="376">
        <f t="shared" ref="F537:R537" si="367">SUM(F540:F548)</f>
        <v>577840</v>
      </c>
      <c r="G537" s="377">
        <f t="shared" si="367"/>
        <v>82282.060000000012</v>
      </c>
      <c r="H537" s="377">
        <f t="shared" si="367"/>
        <v>74319.28</v>
      </c>
      <c r="I537" s="377">
        <f t="shared" si="367"/>
        <v>82282.060000000012</v>
      </c>
      <c r="J537" s="377">
        <f t="shared" si="367"/>
        <v>79627.8</v>
      </c>
      <c r="K537" s="377">
        <f t="shared" si="367"/>
        <v>93063.460000000021</v>
      </c>
      <c r="L537" s="377">
        <f t="shared" si="367"/>
        <v>81769.8</v>
      </c>
      <c r="M537" s="377">
        <f t="shared" si="367"/>
        <v>84495.460000000021</v>
      </c>
      <c r="N537" s="377">
        <f t="shared" si="367"/>
        <v>0</v>
      </c>
      <c r="O537" s="377">
        <f t="shared" si="367"/>
        <v>0</v>
      </c>
      <c r="P537" s="377">
        <f t="shared" si="367"/>
        <v>0</v>
      </c>
      <c r="Q537" s="377">
        <f t="shared" si="367"/>
        <v>0</v>
      </c>
      <c r="R537" s="378">
        <f t="shared" si="367"/>
        <v>7.9999999958090484E-2</v>
      </c>
      <c r="S537" s="16">
        <f>F537-SUM(G537:R537)</f>
        <v>0</v>
      </c>
    </row>
    <row r="538" spans="1:20" x14ac:dyDescent="0.25">
      <c r="A538" s="46"/>
      <c r="B538" s="192"/>
      <c r="C538" s="380"/>
      <c r="D538" s="379"/>
      <c r="E538" s="310"/>
      <c r="F538" s="311">
        <f>SUM(F540:F547)</f>
        <v>577839.92000000004</v>
      </c>
      <c r="G538" s="312"/>
      <c r="H538" s="312"/>
      <c r="I538" s="312"/>
      <c r="J538" s="312"/>
      <c r="K538" s="312"/>
      <c r="L538" s="312"/>
      <c r="M538" s="312"/>
      <c r="N538" s="312"/>
      <c r="O538" s="312"/>
      <c r="P538" s="312"/>
      <c r="Q538" s="312"/>
      <c r="R538" s="313"/>
    </row>
    <row r="539" spans="1:20" x14ac:dyDescent="0.25">
      <c r="A539" s="46"/>
      <c r="B539" s="121"/>
      <c r="D539" s="371"/>
      <c r="E539" s="303" t="s">
        <v>122</v>
      </c>
      <c r="F539" s="372">
        <v>0</v>
      </c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3"/>
    </row>
    <row r="540" spans="1:20" x14ac:dyDescent="0.25">
      <c r="A540" s="46"/>
      <c r="B540" s="121">
        <v>1</v>
      </c>
      <c r="C540" s="122" t="s">
        <v>43</v>
      </c>
      <c r="D540" s="123">
        <v>72.540000000000006</v>
      </c>
      <c r="E540" s="20">
        <v>3</v>
      </c>
      <c r="F540" s="124">
        <f t="shared" ref="F540:F547" si="368">+E540*S540*D540</f>
        <v>46135.44</v>
      </c>
      <c r="G540" s="125">
        <f t="shared" ref="G540:G547" si="369">E540*D540*31</f>
        <v>6746.22</v>
      </c>
      <c r="H540" s="126">
        <f t="shared" ref="H540:H547" si="370">E540*D540*28</f>
        <v>6093.3600000000006</v>
      </c>
      <c r="I540" s="125">
        <f t="shared" ref="I540:I547" si="371">E540*D540*31</f>
        <v>6746.22</v>
      </c>
      <c r="J540" s="125">
        <f>E540*D540*30</f>
        <v>6528.6</v>
      </c>
      <c r="K540" s="125">
        <f>E540*D540*31</f>
        <v>6746.22</v>
      </c>
      <c r="L540" s="125">
        <f>E540*D540*30</f>
        <v>6528.6</v>
      </c>
      <c r="M540" s="125">
        <f t="shared" ref="M540:M547" si="372">E540*D540*31</f>
        <v>6746.22</v>
      </c>
      <c r="N540" s="125">
        <v>0</v>
      </c>
      <c r="O540" s="125">
        <v>0</v>
      </c>
      <c r="P540" s="125">
        <v>0</v>
      </c>
      <c r="Q540" s="125">
        <v>0</v>
      </c>
      <c r="R540" s="127">
        <v>0</v>
      </c>
      <c r="S540" s="128">
        <v>212</v>
      </c>
    </row>
    <row r="541" spans="1:20" x14ac:dyDescent="0.25">
      <c r="A541" s="46"/>
      <c r="B541" s="121">
        <v>2</v>
      </c>
      <c r="C541" s="122" t="s">
        <v>71</v>
      </c>
      <c r="D541" s="123">
        <v>71.400000000000006</v>
      </c>
      <c r="E541" s="20">
        <v>7</v>
      </c>
      <c r="F541" s="124">
        <f t="shared" si="368"/>
        <v>105957.6</v>
      </c>
      <c r="G541" s="125">
        <f t="shared" si="369"/>
        <v>15493.800000000003</v>
      </c>
      <c r="H541" s="126">
        <f t="shared" si="370"/>
        <v>13994.400000000001</v>
      </c>
      <c r="I541" s="125">
        <f t="shared" si="371"/>
        <v>15493.800000000003</v>
      </c>
      <c r="J541" s="125">
        <f t="shared" ref="J541:J547" si="373">E541*D541*30</f>
        <v>14994.000000000002</v>
      </c>
      <c r="K541" s="125">
        <f t="shared" ref="K541:K547" si="374">E541*D541*31</f>
        <v>15493.800000000003</v>
      </c>
      <c r="L541" s="125">
        <f t="shared" ref="L541:L547" si="375">E541*D541*30</f>
        <v>14994.000000000002</v>
      </c>
      <c r="M541" s="125">
        <f t="shared" si="372"/>
        <v>15493.800000000003</v>
      </c>
      <c r="N541" s="125">
        <v>0</v>
      </c>
      <c r="O541" s="125">
        <v>0</v>
      </c>
      <c r="P541" s="125">
        <v>0</v>
      </c>
      <c r="Q541" s="125">
        <v>0</v>
      </c>
      <c r="R541" s="127">
        <v>0</v>
      </c>
      <c r="S541" s="128">
        <v>212</v>
      </c>
    </row>
    <row r="542" spans="1:20" x14ac:dyDescent="0.25">
      <c r="A542" s="46"/>
      <c r="B542" s="121">
        <v>3</v>
      </c>
      <c r="C542" s="122" t="s">
        <v>34</v>
      </c>
      <c r="D542" s="123">
        <v>71.400000000000006</v>
      </c>
      <c r="E542" s="20">
        <v>3</v>
      </c>
      <c r="F542" s="124">
        <f t="shared" si="368"/>
        <v>45410.400000000001</v>
      </c>
      <c r="G542" s="125">
        <f t="shared" si="369"/>
        <v>6640.2000000000007</v>
      </c>
      <c r="H542" s="126">
        <f t="shared" si="370"/>
        <v>5997.6</v>
      </c>
      <c r="I542" s="125">
        <f t="shared" si="371"/>
        <v>6640.2000000000007</v>
      </c>
      <c r="J542" s="125">
        <f t="shared" si="373"/>
        <v>6426.0000000000009</v>
      </c>
      <c r="K542" s="125">
        <f t="shared" si="374"/>
        <v>6640.2000000000007</v>
      </c>
      <c r="L542" s="125">
        <f t="shared" si="375"/>
        <v>6426.0000000000009</v>
      </c>
      <c r="M542" s="125">
        <f t="shared" si="372"/>
        <v>6640.2000000000007</v>
      </c>
      <c r="N542" s="125">
        <v>0</v>
      </c>
      <c r="O542" s="125">
        <v>0</v>
      </c>
      <c r="P542" s="125">
        <v>0</v>
      </c>
      <c r="Q542" s="125">
        <v>0</v>
      </c>
      <c r="R542" s="127">
        <v>0</v>
      </c>
      <c r="S542" s="128">
        <v>212</v>
      </c>
    </row>
    <row r="543" spans="1:20" x14ac:dyDescent="0.25">
      <c r="A543" s="46"/>
      <c r="B543" s="121">
        <v>4</v>
      </c>
      <c r="C543" s="122" t="s">
        <v>66</v>
      </c>
      <c r="D543" s="123">
        <v>73.59</v>
      </c>
      <c r="E543" s="20">
        <v>1</v>
      </c>
      <c r="F543" s="124">
        <f t="shared" si="368"/>
        <v>15601.08</v>
      </c>
      <c r="G543" s="125">
        <f t="shared" si="369"/>
        <v>2281.29</v>
      </c>
      <c r="H543" s="126">
        <f t="shared" si="370"/>
        <v>2060.52</v>
      </c>
      <c r="I543" s="125">
        <f t="shared" si="371"/>
        <v>2281.29</v>
      </c>
      <c r="J543" s="125">
        <f t="shared" si="373"/>
        <v>2207.7000000000003</v>
      </c>
      <c r="K543" s="125">
        <f t="shared" si="374"/>
        <v>2281.29</v>
      </c>
      <c r="L543" s="125">
        <f t="shared" si="375"/>
        <v>2207.7000000000003</v>
      </c>
      <c r="M543" s="125">
        <f t="shared" si="372"/>
        <v>2281.29</v>
      </c>
      <c r="N543" s="125">
        <v>0</v>
      </c>
      <c r="O543" s="125">
        <v>0</v>
      </c>
      <c r="P543" s="125">
        <v>0</v>
      </c>
      <c r="Q543" s="125">
        <v>0</v>
      </c>
      <c r="R543" s="127">
        <v>0</v>
      </c>
      <c r="S543" s="128">
        <v>212</v>
      </c>
    </row>
    <row r="544" spans="1:20" x14ac:dyDescent="0.25">
      <c r="A544" s="46"/>
      <c r="B544" s="121">
        <v>5</v>
      </c>
      <c r="C544" s="122" t="s">
        <v>38</v>
      </c>
      <c r="D544" s="123">
        <v>78.25</v>
      </c>
      <c r="E544" s="20">
        <v>1</v>
      </c>
      <c r="F544" s="124">
        <f t="shared" si="368"/>
        <v>16589</v>
      </c>
      <c r="G544" s="125">
        <f t="shared" si="369"/>
        <v>2425.75</v>
      </c>
      <c r="H544" s="126">
        <f t="shared" si="370"/>
        <v>2191</v>
      </c>
      <c r="I544" s="125">
        <f t="shared" si="371"/>
        <v>2425.75</v>
      </c>
      <c r="J544" s="125">
        <f t="shared" si="373"/>
        <v>2347.5</v>
      </c>
      <c r="K544" s="125">
        <f t="shared" si="374"/>
        <v>2425.75</v>
      </c>
      <c r="L544" s="125">
        <f t="shared" si="375"/>
        <v>2347.5</v>
      </c>
      <c r="M544" s="125">
        <f t="shared" si="372"/>
        <v>2425.75</v>
      </c>
      <c r="N544" s="125">
        <v>0</v>
      </c>
      <c r="O544" s="125">
        <v>0</v>
      </c>
      <c r="P544" s="125">
        <v>0</v>
      </c>
      <c r="Q544" s="125">
        <v>0</v>
      </c>
      <c r="R544" s="127">
        <v>0</v>
      </c>
      <c r="S544" s="128">
        <v>212</v>
      </c>
    </row>
    <row r="545" spans="1:19" x14ac:dyDescent="0.25">
      <c r="A545" s="46"/>
      <c r="B545" s="121">
        <v>6</v>
      </c>
      <c r="C545" s="122" t="s">
        <v>31</v>
      </c>
      <c r="D545" s="123">
        <v>71.400000000000006</v>
      </c>
      <c r="E545" s="20">
        <v>7</v>
      </c>
      <c r="F545" s="124">
        <f t="shared" si="368"/>
        <v>105957.6</v>
      </c>
      <c r="G545" s="125">
        <f t="shared" si="369"/>
        <v>15493.800000000003</v>
      </c>
      <c r="H545" s="126">
        <f t="shared" si="370"/>
        <v>13994.400000000001</v>
      </c>
      <c r="I545" s="125">
        <f t="shared" si="371"/>
        <v>15493.800000000003</v>
      </c>
      <c r="J545" s="125">
        <f t="shared" si="373"/>
        <v>14994.000000000002</v>
      </c>
      <c r="K545" s="125">
        <f t="shared" si="374"/>
        <v>15493.800000000003</v>
      </c>
      <c r="L545" s="125">
        <f t="shared" si="375"/>
        <v>14994.000000000002</v>
      </c>
      <c r="M545" s="125">
        <f t="shared" si="372"/>
        <v>15493.800000000003</v>
      </c>
      <c r="N545" s="125">
        <v>0</v>
      </c>
      <c r="O545" s="125">
        <v>0</v>
      </c>
      <c r="P545" s="125">
        <v>0</v>
      </c>
      <c r="Q545" s="125">
        <v>0</v>
      </c>
      <c r="R545" s="127">
        <v>0</v>
      </c>
      <c r="S545" s="128">
        <v>212</v>
      </c>
    </row>
    <row r="546" spans="1:19" x14ac:dyDescent="0.25">
      <c r="A546" s="46"/>
      <c r="B546" s="121">
        <v>6</v>
      </c>
      <c r="C546" s="122" t="s">
        <v>31</v>
      </c>
      <c r="D546" s="123">
        <v>71.400000000000006</v>
      </c>
      <c r="E546" s="20">
        <v>1</v>
      </c>
      <c r="F546" s="124">
        <f t="shared" si="368"/>
        <v>15136.800000000001</v>
      </c>
      <c r="G546" s="125">
        <v>0</v>
      </c>
      <c r="H546" s="126">
        <v>0</v>
      </c>
      <c r="I546" s="125">
        <v>0</v>
      </c>
      <c r="J546" s="125">
        <v>0</v>
      </c>
      <c r="K546" s="125">
        <f>E546*D546*151</f>
        <v>10781.400000000001</v>
      </c>
      <c r="L546" s="125">
        <f t="shared" si="375"/>
        <v>2142</v>
      </c>
      <c r="M546" s="125">
        <f t="shared" si="372"/>
        <v>2213.4</v>
      </c>
      <c r="N546" s="125">
        <v>0</v>
      </c>
      <c r="O546" s="125">
        <v>0</v>
      </c>
      <c r="P546" s="125">
        <v>0</v>
      </c>
      <c r="Q546" s="125">
        <v>0</v>
      </c>
      <c r="R546" s="127">
        <v>0</v>
      </c>
      <c r="S546" s="128">
        <f>212-31-28-31-30+120</f>
        <v>212</v>
      </c>
    </row>
    <row r="547" spans="1:19" x14ac:dyDescent="0.25">
      <c r="A547" s="46"/>
      <c r="B547" s="121">
        <v>7</v>
      </c>
      <c r="C547" s="122" t="s">
        <v>53</v>
      </c>
      <c r="D547" s="123">
        <v>71.400000000000006</v>
      </c>
      <c r="E547" s="20">
        <v>15</v>
      </c>
      <c r="F547" s="124">
        <f t="shared" si="368"/>
        <v>227052.00000000003</v>
      </c>
      <c r="G547" s="125">
        <f t="shared" si="369"/>
        <v>33201</v>
      </c>
      <c r="H547" s="126">
        <f t="shared" si="370"/>
        <v>29988</v>
      </c>
      <c r="I547" s="125">
        <f t="shared" si="371"/>
        <v>33201</v>
      </c>
      <c r="J547" s="125">
        <f t="shared" si="373"/>
        <v>32130</v>
      </c>
      <c r="K547" s="125">
        <f t="shared" si="374"/>
        <v>33201</v>
      </c>
      <c r="L547" s="125">
        <f t="shared" si="375"/>
        <v>32130</v>
      </c>
      <c r="M547" s="125">
        <f t="shared" si="372"/>
        <v>33201</v>
      </c>
      <c r="N547" s="125">
        <v>0</v>
      </c>
      <c r="O547" s="125">
        <v>0</v>
      </c>
      <c r="P547" s="125">
        <v>0</v>
      </c>
      <c r="Q547" s="125">
        <v>0</v>
      </c>
      <c r="R547" s="127">
        <v>0</v>
      </c>
      <c r="S547" s="128">
        <v>212</v>
      </c>
    </row>
    <row r="548" spans="1:19" ht="15.75" thickBot="1" x14ac:dyDescent="0.3">
      <c r="A548" s="46"/>
      <c r="B548" s="176"/>
      <c r="C548" s="291" t="s">
        <v>123</v>
      </c>
      <c r="D548" s="177"/>
      <c r="E548" s="178"/>
      <c r="F548" s="179">
        <f xml:space="preserve"> 577840-SUM(F540:F547)</f>
        <v>7.9999999958090484E-2</v>
      </c>
      <c r="G548" s="180"/>
      <c r="H548" s="181"/>
      <c r="I548" s="182"/>
      <c r="J548" s="182"/>
      <c r="K548" s="182"/>
      <c r="L548" s="182"/>
      <c r="M548" s="182"/>
      <c r="N548" s="182"/>
      <c r="O548" s="182"/>
      <c r="P548" s="182"/>
      <c r="Q548" s="182"/>
      <c r="R548" s="186">
        <f>F548</f>
        <v>7.9999999958090484E-2</v>
      </c>
      <c r="S548" s="128"/>
    </row>
    <row r="549" spans="1:19" ht="26.25" x14ac:dyDescent="0.25">
      <c r="A549" s="46"/>
      <c r="B549" s="309"/>
      <c r="C549" s="381" t="s">
        <v>80</v>
      </c>
      <c r="D549" s="292"/>
      <c r="E549" s="292"/>
      <c r="F549" s="293"/>
      <c r="G549" s="295"/>
      <c r="H549" s="295"/>
      <c r="I549" s="294"/>
      <c r="J549" s="294"/>
      <c r="K549" s="294"/>
      <c r="L549" s="294"/>
      <c r="M549" s="294"/>
      <c r="N549" s="294"/>
      <c r="O549" s="294"/>
      <c r="P549" s="294"/>
      <c r="Q549" s="294"/>
      <c r="R549" s="296"/>
    </row>
    <row r="550" spans="1:19" ht="30" customHeight="1" x14ac:dyDescent="0.25">
      <c r="A550" s="46"/>
      <c r="B550" s="48"/>
      <c r="C550" s="605" t="s">
        <v>145</v>
      </c>
      <c r="D550" s="605"/>
      <c r="E550" s="310">
        <f>SUM(E553:E573)</f>
        <v>213</v>
      </c>
      <c r="F550" s="311">
        <f>SUM(F553:F574)</f>
        <v>3157900</v>
      </c>
      <c r="G550" s="312">
        <f t="shared" ref="G550:Q550" si="376">SUM(G553:G573)</f>
        <v>464803.15</v>
      </c>
      <c r="H550" s="312">
        <f t="shared" si="376"/>
        <v>422892.40000000008</v>
      </c>
      <c r="I550" s="312">
        <f t="shared" si="376"/>
        <v>465519.00000000006</v>
      </c>
      <c r="J550" s="312">
        <f t="shared" si="376"/>
        <v>445320</v>
      </c>
      <c r="K550" s="312">
        <f t="shared" si="376"/>
        <v>455737.20000000013</v>
      </c>
      <c r="L550" s="312">
        <f t="shared" si="376"/>
        <v>441036</v>
      </c>
      <c r="M550" s="312">
        <f t="shared" si="376"/>
        <v>451310.40000000008</v>
      </c>
      <c r="N550" s="312">
        <f t="shared" si="376"/>
        <v>0</v>
      </c>
      <c r="O550" s="312">
        <f t="shared" si="376"/>
        <v>0</v>
      </c>
      <c r="P550" s="312">
        <f t="shared" si="376"/>
        <v>0</v>
      </c>
      <c r="Q550" s="312">
        <f t="shared" si="376"/>
        <v>0</v>
      </c>
      <c r="R550" s="313">
        <f>SUM(R553:R574)</f>
        <v>11281.850000000093</v>
      </c>
      <c r="S550" s="16">
        <f>F550-SUM(G550:R550)</f>
        <v>0</v>
      </c>
    </row>
    <row r="551" spans="1:19" x14ac:dyDescent="0.25">
      <c r="A551" s="46"/>
      <c r="B551" s="192"/>
      <c r="C551" s="314"/>
      <c r="D551" s="314"/>
      <c r="E551" s="315"/>
      <c r="F551" s="311">
        <f>SUM(F553:F573)</f>
        <v>3146618.15</v>
      </c>
      <c r="G551" s="316"/>
      <c r="H551" s="316"/>
      <c r="I551" s="316"/>
      <c r="J551" s="316"/>
      <c r="K551" s="316"/>
      <c r="L551" s="316"/>
      <c r="M551" s="316"/>
      <c r="N551" s="316"/>
      <c r="O551" s="316"/>
      <c r="P551" s="316"/>
      <c r="Q551" s="316"/>
      <c r="R551" s="317"/>
    </row>
    <row r="552" spans="1:19" x14ac:dyDescent="0.25">
      <c r="A552" s="46"/>
      <c r="B552" s="121"/>
      <c r="C552" s="110"/>
      <c r="D552" s="110"/>
      <c r="E552" s="211" t="s">
        <v>122</v>
      </c>
      <c r="F552" s="201">
        <v>0</v>
      </c>
      <c r="G552" s="213"/>
      <c r="H552" s="213"/>
      <c r="I552" s="213"/>
      <c r="J552" s="213"/>
      <c r="K552" s="213"/>
      <c r="L552" s="213"/>
      <c r="M552" s="125"/>
      <c r="N552" s="213"/>
      <c r="O552" s="213"/>
      <c r="P552" s="213"/>
      <c r="Q552" s="213"/>
      <c r="R552" s="215"/>
    </row>
    <row r="553" spans="1:19" s="5" customFormat="1" x14ac:dyDescent="0.25">
      <c r="A553" s="115"/>
      <c r="B553" s="116">
        <v>1</v>
      </c>
      <c r="C553" s="18" t="s">
        <v>43</v>
      </c>
      <c r="D553" s="19">
        <v>72.540000000000006</v>
      </c>
      <c r="E553" s="21">
        <v>16</v>
      </c>
      <c r="F553" s="117">
        <f t="shared" ref="F553:F573" si="377">+E553*S553*D553</f>
        <v>246055.68000000002</v>
      </c>
      <c r="G553" s="35">
        <f t="shared" ref="G553:G573" si="378">E553*D553*31</f>
        <v>35979.840000000004</v>
      </c>
      <c r="H553" s="118">
        <f t="shared" ref="H553:H573" si="379">E553*D553*28</f>
        <v>32497.920000000002</v>
      </c>
      <c r="I553" s="35">
        <f t="shared" ref="I553:I573" si="380">E553*D553*31</f>
        <v>35979.840000000004</v>
      </c>
      <c r="J553" s="35">
        <f t="shared" ref="J553:J573" si="381">E553*D553*30</f>
        <v>34819.200000000004</v>
      </c>
      <c r="K553" s="35">
        <f t="shared" ref="K553:K573" si="382">E553*D553*31</f>
        <v>35979.840000000004</v>
      </c>
      <c r="L553" s="35">
        <f t="shared" ref="L553:L573" si="383">E553*D553*30</f>
        <v>34819.200000000004</v>
      </c>
      <c r="M553" s="35">
        <f>E553*D553*31</f>
        <v>35979.840000000004</v>
      </c>
      <c r="N553" s="35">
        <v>0</v>
      </c>
      <c r="O553" s="35">
        <v>0</v>
      </c>
      <c r="P553" s="35">
        <v>0</v>
      </c>
      <c r="Q553" s="35">
        <v>0</v>
      </c>
      <c r="R553" s="119">
        <v>0</v>
      </c>
      <c r="S553" s="120">
        <v>212</v>
      </c>
    </row>
    <row r="554" spans="1:19" s="5" customFormat="1" x14ac:dyDescent="0.25">
      <c r="A554" s="115"/>
      <c r="B554" s="116">
        <v>2</v>
      </c>
      <c r="C554" s="18" t="s">
        <v>71</v>
      </c>
      <c r="D554" s="19">
        <v>71.400000000000006</v>
      </c>
      <c r="E554" s="21">
        <v>15</v>
      </c>
      <c r="F554" s="117">
        <f t="shared" si="377"/>
        <v>227052.00000000003</v>
      </c>
      <c r="G554" s="35">
        <f t="shared" si="378"/>
        <v>33201</v>
      </c>
      <c r="H554" s="118">
        <f t="shared" si="379"/>
        <v>29988</v>
      </c>
      <c r="I554" s="35">
        <f t="shared" si="380"/>
        <v>33201</v>
      </c>
      <c r="J554" s="35">
        <f t="shared" si="381"/>
        <v>32130</v>
      </c>
      <c r="K554" s="35">
        <f t="shared" si="382"/>
        <v>33201</v>
      </c>
      <c r="L554" s="35">
        <f t="shared" si="383"/>
        <v>32130</v>
      </c>
      <c r="M554" s="35">
        <f t="shared" ref="M554:M573" si="384">E554*D554*31</f>
        <v>33201</v>
      </c>
      <c r="N554" s="35">
        <v>0</v>
      </c>
      <c r="O554" s="35">
        <v>0</v>
      </c>
      <c r="P554" s="35">
        <v>0</v>
      </c>
      <c r="Q554" s="35">
        <v>0</v>
      </c>
      <c r="R554" s="119">
        <v>0</v>
      </c>
      <c r="S554" s="120">
        <v>212</v>
      </c>
    </row>
    <row r="555" spans="1:19" s="5" customFormat="1" x14ac:dyDescent="0.25">
      <c r="A555" s="115"/>
      <c r="B555" s="116">
        <v>16</v>
      </c>
      <c r="C555" s="18" t="s">
        <v>71</v>
      </c>
      <c r="D555" s="19">
        <v>71.400000000000006</v>
      </c>
      <c r="E555" s="21">
        <v>1</v>
      </c>
      <c r="F555" s="117">
        <f t="shared" si="377"/>
        <v>4212.6000000000004</v>
      </c>
      <c r="G555" s="35">
        <f t="shared" si="378"/>
        <v>2213.4</v>
      </c>
      <c r="H555" s="118">
        <f t="shared" si="379"/>
        <v>1999.2000000000003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0</v>
      </c>
      <c r="O555" s="35">
        <v>0</v>
      </c>
      <c r="P555" s="35">
        <v>0</v>
      </c>
      <c r="Q555" s="35">
        <v>0</v>
      </c>
      <c r="R555" s="119">
        <v>0</v>
      </c>
      <c r="S555" s="120">
        <f>31+28</f>
        <v>59</v>
      </c>
    </row>
    <row r="556" spans="1:19" s="5" customFormat="1" x14ac:dyDescent="0.25">
      <c r="A556" s="115"/>
      <c r="B556" s="116">
        <v>3</v>
      </c>
      <c r="C556" s="18" t="s">
        <v>82</v>
      </c>
      <c r="D556" s="19">
        <v>71.400000000000006</v>
      </c>
      <c r="E556" s="21">
        <v>2</v>
      </c>
      <c r="F556" s="117">
        <f t="shared" si="377"/>
        <v>30273.600000000002</v>
      </c>
      <c r="G556" s="35">
        <f t="shared" si="378"/>
        <v>4426.8</v>
      </c>
      <c r="H556" s="118">
        <f t="shared" si="379"/>
        <v>3998.4000000000005</v>
      </c>
      <c r="I556" s="35">
        <f t="shared" si="380"/>
        <v>4426.8</v>
      </c>
      <c r="J556" s="35">
        <f t="shared" si="381"/>
        <v>4284</v>
      </c>
      <c r="K556" s="35">
        <f t="shared" si="382"/>
        <v>4426.8</v>
      </c>
      <c r="L556" s="35">
        <f t="shared" si="383"/>
        <v>4284</v>
      </c>
      <c r="M556" s="35">
        <f t="shared" si="384"/>
        <v>4426.8</v>
      </c>
      <c r="N556" s="35">
        <v>0</v>
      </c>
      <c r="O556" s="35">
        <v>0</v>
      </c>
      <c r="P556" s="35">
        <v>0</v>
      </c>
      <c r="Q556" s="35">
        <v>0</v>
      </c>
      <c r="R556" s="119">
        <v>0</v>
      </c>
      <c r="S556" s="120">
        <v>212</v>
      </c>
    </row>
    <row r="557" spans="1:19" s="5" customFormat="1" ht="15.75" customHeight="1" x14ac:dyDescent="0.25">
      <c r="A557" s="115"/>
      <c r="B557" s="116">
        <v>4</v>
      </c>
      <c r="C557" s="18" t="s">
        <v>83</v>
      </c>
      <c r="D557" s="19">
        <v>75.64</v>
      </c>
      <c r="E557" s="23">
        <v>1</v>
      </c>
      <c r="F557" s="117">
        <f t="shared" si="377"/>
        <v>16035.68</v>
      </c>
      <c r="G557" s="35">
        <f t="shared" si="378"/>
        <v>2344.84</v>
      </c>
      <c r="H557" s="118">
        <f t="shared" si="379"/>
        <v>2117.92</v>
      </c>
      <c r="I557" s="35">
        <f t="shared" si="380"/>
        <v>2344.84</v>
      </c>
      <c r="J557" s="35">
        <f t="shared" si="381"/>
        <v>2269.1999999999998</v>
      </c>
      <c r="K557" s="35">
        <f t="shared" si="382"/>
        <v>2344.84</v>
      </c>
      <c r="L557" s="35">
        <f t="shared" si="383"/>
        <v>2269.1999999999998</v>
      </c>
      <c r="M557" s="35">
        <f t="shared" si="384"/>
        <v>2344.84</v>
      </c>
      <c r="N557" s="35">
        <v>0</v>
      </c>
      <c r="O557" s="35">
        <v>0</v>
      </c>
      <c r="P557" s="35">
        <v>0</v>
      </c>
      <c r="Q557" s="35">
        <v>0</v>
      </c>
      <c r="R557" s="119">
        <v>0</v>
      </c>
      <c r="S557" s="382">
        <v>212</v>
      </c>
    </row>
    <row r="558" spans="1:19" s="5" customFormat="1" x14ac:dyDescent="0.25">
      <c r="A558" s="115"/>
      <c r="B558" s="116">
        <v>5</v>
      </c>
      <c r="C558" s="18" t="s">
        <v>34</v>
      </c>
      <c r="D558" s="19">
        <v>71.400000000000006</v>
      </c>
      <c r="E558" s="21">
        <v>16</v>
      </c>
      <c r="F558" s="117">
        <f t="shared" si="377"/>
        <v>242188.80000000002</v>
      </c>
      <c r="G558" s="35">
        <f t="shared" si="378"/>
        <v>35414.400000000001</v>
      </c>
      <c r="H558" s="118">
        <f t="shared" si="379"/>
        <v>31987.200000000004</v>
      </c>
      <c r="I558" s="35">
        <f t="shared" si="380"/>
        <v>35414.400000000001</v>
      </c>
      <c r="J558" s="35">
        <f t="shared" si="381"/>
        <v>34272</v>
      </c>
      <c r="K558" s="35">
        <f t="shared" si="382"/>
        <v>35414.400000000001</v>
      </c>
      <c r="L558" s="35">
        <f t="shared" si="383"/>
        <v>34272</v>
      </c>
      <c r="M558" s="35">
        <f t="shared" si="384"/>
        <v>35414.400000000001</v>
      </c>
      <c r="N558" s="35">
        <v>0</v>
      </c>
      <c r="O558" s="35">
        <v>0</v>
      </c>
      <c r="P558" s="35">
        <v>0</v>
      </c>
      <c r="Q558" s="35">
        <v>0</v>
      </c>
      <c r="R558" s="119">
        <v>0</v>
      </c>
      <c r="S558" s="120">
        <v>212</v>
      </c>
    </row>
    <row r="559" spans="1:19" s="5" customFormat="1" x14ac:dyDescent="0.25">
      <c r="A559" s="115"/>
      <c r="B559" s="116">
        <v>6</v>
      </c>
      <c r="C559" s="18" t="s">
        <v>84</v>
      </c>
      <c r="D559" s="19">
        <v>76.59</v>
      </c>
      <c r="E559" s="21">
        <v>1</v>
      </c>
      <c r="F559" s="117">
        <f t="shared" si="377"/>
        <v>16237.08</v>
      </c>
      <c r="G559" s="35">
        <f t="shared" si="378"/>
        <v>2374.29</v>
      </c>
      <c r="H559" s="118">
        <f t="shared" si="379"/>
        <v>2144.52</v>
      </c>
      <c r="I559" s="35">
        <f t="shared" si="380"/>
        <v>2374.29</v>
      </c>
      <c r="J559" s="35">
        <f t="shared" si="381"/>
        <v>2297.7000000000003</v>
      </c>
      <c r="K559" s="35">
        <f t="shared" si="382"/>
        <v>2374.29</v>
      </c>
      <c r="L559" s="35">
        <f t="shared" si="383"/>
        <v>2297.7000000000003</v>
      </c>
      <c r="M559" s="35">
        <f t="shared" si="384"/>
        <v>2374.29</v>
      </c>
      <c r="N559" s="35">
        <v>0</v>
      </c>
      <c r="O559" s="35">
        <v>0</v>
      </c>
      <c r="P559" s="35">
        <v>0</v>
      </c>
      <c r="Q559" s="35">
        <v>0</v>
      </c>
      <c r="R559" s="119">
        <v>0</v>
      </c>
      <c r="S559" s="120">
        <v>212</v>
      </c>
    </row>
    <row r="560" spans="1:19" s="5" customFormat="1" x14ac:dyDescent="0.25">
      <c r="A560" s="115"/>
      <c r="B560" s="116">
        <v>7</v>
      </c>
      <c r="C560" s="18" t="s">
        <v>76</v>
      </c>
      <c r="D560" s="19">
        <v>72.540000000000006</v>
      </c>
      <c r="E560" s="21">
        <v>1</v>
      </c>
      <c r="F560" s="117">
        <f t="shared" si="377"/>
        <v>15378.480000000001</v>
      </c>
      <c r="G560" s="35">
        <f t="shared" si="378"/>
        <v>2248.7400000000002</v>
      </c>
      <c r="H560" s="118">
        <f t="shared" si="379"/>
        <v>2031.1200000000001</v>
      </c>
      <c r="I560" s="35">
        <f t="shared" si="380"/>
        <v>2248.7400000000002</v>
      </c>
      <c r="J560" s="35">
        <f t="shared" si="381"/>
        <v>2176.2000000000003</v>
      </c>
      <c r="K560" s="35">
        <f t="shared" si="382"/>
        <v>2248.7400000000002</v>
      </c>
      <c r="L560" s="35">
        <f t="shared" si="383"/>
        <v>2176.2000000000003</v>
      </c>
      <c r="M560" s="35">
        <f t="shared" si="384"/>
        <v>2248.7400000000002</v>
      </c>
      <c r="N560" s="35">
        <v>0</v>
      </c>
      <c r="O560" s="35">
        <v>0</v>
      </c>
      <c r="P560" s="35">
        <v>0</v>
      </c>
      <c r="Q560" s="35">
        <v>0</v>
      </c>
      <c r="R560" s="119">
        <v>0</v>
      </c>
      <c r="S560" s="120">
        <v>212</v>
      </c>
    </row>
    <row r="561" spans="1:20" s="5" customFormat="1" ht="15.75" customHeight="1" x14ac:dyDescent="0.25">
      <c r="A561" s="115"/>
      <c r="B561" s="116">
        <v>8</v>
      </c>
      <c r="C561" s="383" t="s">
        <v>35</v>
      </c>
      <c r="D561" s="19">
        <v>72.540000000000006</v>
      </c>
      <c r="E561" s="21">
        <v>1</v>
      </c>
      <c r="F561" s="117">
        <f t="shared" si="377"/>
        <v>15378.480000000001</v>
      </c>
      <c r="G561" s="35">
        <f t="shared" si="378"/>
        <v>2248.7400000000002</v>
      </c>
      <c r="H561" s="118">
        <f t="shared" si="379"/>
        <v>2031.1200000000001</v>
      </c>
      <c r="I561" s="35">
        <f t="shared" si="380"/>
        <v>2248.7400000000002</v>
      </c>
      <c r="J561" s="35">
        <f t="shared" si="381"/>
        <v>2176.2000000000003</v>
      </c>
      <c r="K561" s="35">
        <f t="shared" si="382"/>
        <v>2248.7400000000002</v>
      </c>
      <c r="L561" s="35">
        <f t="shared" si="383"/>
        <v>2176.2000000000003</v>
      </c>
      <c r="M561" s="35">
        <f t="shared" si="384"/>
        <v>2248.7400000000002</v>
      </c>
      <c r="N561" s="35">
        <v>0</v>
      </c>
      <c r="O561" s="35">
        <v>0</v>
      </c>
      <c r="P561" s="35">
        <v>0</v>
      </c>
      <c r="Q561" s="35">
        <v>0</v>
      </c>
      <c r="R561" s="119">
        <v>0</v>
      </c>
      <c r="S561" s="120">
        <v>212</v>
      </c>
    </row>
    <row r="562" spans="1:20" s="5" customFormat="1" x14ac:dyDescent="0.25">
      <c r="A562" s="115"/>
      <c r="B562" s="116">
        <v>9</v>
      </c>
      <c r="C562" s="18" t="s">
        <v>38</v>
      </c>
      <c r="D562" s="19">
        <v>78.25</v>
      </c>
      <c r="E562" s="21">
        <v>4</v>
      </c>
      <c r="F562" s="117">
        <f t="shared" si="377"/>
        <v>66356</v>
      </c>
      <c r="G562" s="35">
        <f t="shared" si="378"/>
        <v>9703</v>
      </c>
      <c r="H562" s="118">
        <f t="shared" si="379"/>
        <v>8764</v>
      </c>
      <c r="I562" s="35">
        <f t="shared" si="380"/>
        <v>9703</v>
      </c>
      <c r="J562" s="35">
        <f t="shared" si="381"/>
        <v>9390</v>
      </c>
      <c r="K562" s="35">
        <f t="shared" si="382"/>
        <v>9703</v>
      </c>
      <c r="L562" s="35">
        <f t="shared" si="383"/>
        <v>9390</v>
      </c>
      <c r="M562" s="35">
        <f t="shared" si="384"/>
        <v>9703</v>
      </c>
      <c r="N562" s="35">
        <v>0</v>
      </c>
      <c r="O562" s="35">
        <v>0</v>
      </c>
      <c r="P562" s="35">
        <v>0</v>
      </c>
      <c r="Q562" s="35">
        <v>0</v>
      </c>
      <c r="R562" s="119">
        <v>0</v>
      </c>
      <c r="S562" s="120">
        <v>212</v>
      </c>
    </row>
    <row r="563" spans="1:20" x14ac:dyDescent="0.25">
      <c r="A563" s="46"/>
      <c r="B563" s="121">
        <v>9</v>
      </c>
      <c r="C563" s="122" t="s">
        <v>38</v>
      </c>
      <c r="D563" s="123">
        <v>78.25</v>
      </c>
      <c r="E563" s="20">
        <v>1</v>
      </c>
      <c r="F563" s="124">
        <f t="shared" si="377"/>
        <v>4616.75</v>
      </c>
      <c r="G563" s="125">
        <f t="shared" si="378"/>
        <v>2425.75</v>
      </c>
      <c r="H563" s="126">
        <f t="shared" si="379"/>
        <v>2191</v>
      </c>
      <c r="I563" s="125">
        <v>0</v>
      </c>
      <c r="J563" s="125">
        <v>0</v>
      </c>
      <c r="K563" s="125">
        <v>0</v>
      </c>
      <c r="L563" s="125">
        <v>0</v>
      </c>
      <c r="M563" s="125">
        <v>0</v>
      </c>
      <c r="N563" s="125">
        <v>0</v>
      </c>
      <c r="O563" s="125">
        <v>0</v>
      </c>
      <c r="P563" s="125">
        <v>0</v>
      </c>
      <c r="Q563" s="125">
        <v>0</v>
      </c>
      <c r="R563" s="127">
        <v>0</v>
      </c>
      <c r="S563" s="128">
        <f>31+28</f>
        <v>59</v>
      </c>
    </row>
    <row r="564" spans="1:20" s="5" customFormat="1" x14ac:dyDescent="0.25">
      <c r="A564" s="115"/>
      <c r="B564" s="116">
        <v>10</v>
      </c>
      <c r="C564" s="18" t="s">
        <v>31</v>
      </c>
      <c r="D564" s="19">
        <v>71.400000000000006</v>
      </c>
      <c r="E564" s="21">
        <v>123</v>
      </c>
      <c r="F564" s="117">
        <f t="shared" si="377"/>
        <v>1861826.4000000001</v>
      </c>
      <c r="G564" s="35">
        <f t="shared" si="378"/>
        <v>272248.2</v>
      </c>
      <c r="H564" s="118">
        <f t="shared" si="379"/>
        <v>245901.60000000003</v>
      </c>
      <c r="I564" s="35">
        <f t="shared" si="380"/>
        <v>272248.2</v>
      </c>
      <c r="J564" s="35">
        <f t="shared" si="381"/>
        <v>263466</v>
      </c>
      <c r="K564" s="35">
        <f t="shared" si="382"/>
        <v>272248.2</v>
      </c>
      <c r="L564" s="35">
        <f t="shared" si="383"/>
        <v>263466</v>
      </c>
      <c r="M564" s="35">
        <f t="shared" si="384"/>
        <v>272248.2</v>
      </c>
      <c r="N564" s="35">
        <v>0</v>
      </c>
      <c r="O564" s="35">
        <v>0</v>
      </c>
      <c r="P564" s="35">
        <v>0</v>
      </c>
      <c r="Q564" s="35">
        <v>0</v>
      </c>
      <c r="R564" s="119">
        <v>0</v>
      </c>
      <c r="S564" s="120">
        <v>212</v>
      </c>
    </row>
    <row r="565" spans="1:20" s="5" customFormat="1" x14ac:dyDescent="0.25">
      <c r="A565" s="115"/>
      <c r="B565" s="116">
        <v>20</v>
      </c>
      <c r="C565" s="18" t="s">
        <v>31</v>
      </c>
      <c r="D565" s="19">
        <v>71.400000000000006</v>
      </c>
      <c r="E565" s="21">
        <v>1</v>
      </c>
      <c r="F565" s="117">
        <f t="shared" si="377"/>
        <v>12923.400000000001</v>
      </c>
      <c r="G565" s="35">
        <f t="shared" si="378"/>
        <v>2213.4</v>
      </c>
      <c r="H565" s="118">
        <f t="shared" si="379"/>
        <v>1999.2000000000003</v>
      </c>
      <c r="I565" s="35">
        <f t="shared" si="380"/>
        <v>2213.4</v>
      </c>
      <c r="J565" s="35">
        <f t="shared" si="381"/>
        <v>2142</v>
      </c>
      <c r="K565" s="35">
        <f t="shared" si="382"/>
        <v>2213.4</v>
      </c>
      <c r="L565" s="35">
        <f t="shared" si="383"/>
        <v>2142</v>
      </c>
      <c r="M565" s="35">
        <v>0</v>
      </c>
      <c r="N565" s="35">
        <v>0</v>
      </c>
      <c r="O565" s="35">
        <v>0</v>
      </c>
      <c r="P565" s="35">
        <v>0</v>
      </c>
      <c r="Q565" s="35">
        <v>0</v>
      </c>
      <c r="R565" s="119">
        <v>0</v>
      </c>
      <c r="S565" s="120">
        <f>31+28+31+30+31+30</f>
        <v>181</v>
      </c>
    </row>
    <row r="566" spans="1:20" s="5" customFormat="1" x14ac:dyDescent="0.25">
      <c r="A566" s="115"/>
      <c r="B566" s="116">
        <v>19</v>
      </c>
      <c r="C566" s="18" t="s">
        <v>31</v>
      </c>
      <c r="D566" s="19">
        <v>71.400000000000006</v>
      </c>
      <c r="E566" s="21">
        <v>2</v>
      </c>
      <c r="F566" s="117">
        <f t="shared" si="377"/>
        <v>17136</v>
      </c>
      <c r="G566" s="35">
        <f t="shared" si="378"/>
        <v>4426.8</v>
      </c>
      <c r="H566" s="118">
        <f t="shared" si="379"/>
        <v>3998.4000000000005</v>
      </c>
      <c r="I566" s="35">
        <f t="shared" si="380"/>
        <v>4426.8</v>
      </c>
      <c r="J566" s="35">
        <f t="shared" si="381"/>
        <v>4284</v>
      </c>
      <c r="K566" s="35">
        <v>0</v>
      </c>
      <c r="L566" s="35">
        <v>0</v>
      </c>
      <c r="M566" s="35">
        <v>0</v>
      </c>
      <c r="N566" s="35">
        <v>0</v>
      </c>
      <c r="O566" s="35">
        <v>0</v>
      </c>
      <c r="P566" s="35">
        <v>0</v>
      </c>
      <c r="Q566" s="35">
        <v>0</v>
      </c>
      <c r="R566" s="119">
        <v>0</v>
      </c>
      <c r="S566" s="120">
        <f>31+28+31+30</f>
        <v>120</v>
      </c>
    </row>
    <row r="567" spans="1:20" s="5" customFormat="1" x14ac:dyDescent="0.25">
      <c r="A567" s="115"/>
      <c r="B567" s="116">
        <v>17</v>
      </c>
      <c r="C567" s="18" t="s">
        <v>31</v>
      </c>
      <c r="D567" s="19">
        <v>71.400000000000006</v>
      </c>
      <c r="E567" s="21">
        <v>2</v>
      </c>
      <c r="F567" s="117">
        <f t="shared" si="377"/>
        <v>12852.000000000002</v>
      </c>
      <c r="G567" s="35">
        <f t="shared" si="378"/>
        <v>4426.8</v>
      </c>
      <c r="H567" s="118">
        <f t="shared" si="379"/>
        <v>3998.4000000000005</v>
      </c>
      <c r="I567" s="35">
        <f t="shared" si="380"/>
        <v>4426.8</v>
      </c>
      <c r="J567" s="35">
        <v>0</v>
      </c>
      <c r="K567" s="35">
        <v>0</v>
      </c>
      <c r="L567" s="35">
        <v>0</v>
      </c>
      <c r="M567" s="35">
        <v>0</v>
      </c>
      <c r="N567" s="35">
        <v>0</v>
      </c>
      <c r="O567" s="35">
        <v>0</v>
      </c>
      <c r="P567" s="35">
        <v>0</v>
      </c>
      <c r="Q567" s="35">
        <v>0</v>
      </c>
      <c r="R567" s="119">
        <v>0</v>
      </c>
      <c r="S567" s="120">
        <f>31+28+31</f>
        <v>90</v>
      </c>
    </row>
    <row r="568" spans="1:20" s="259" customFormat="1" x14ac:dyDescent="0.25">
      <c r="A568" s="254"/>
      <c r="B568" s="255">
        <v>11</v>
      </c>
      <c r="C568" s="256" t="s">
        <v>53</v>
      </c>
      <c r="D568" s="257">
        <v>71.400000000000006</v>
      </c>
      <c r="E568" s="24">
        <v>21</v>
      </c>
      <c r="F568" s="222">
        <f t="shared" si="377"/>
        <v>317872.80000000005</v>
      </c>
      <c r="G568" s="35">
        <f t="shared" si="378"/>
        <v>46481.4</v>
      </c>
      <c r="H568" s="118">
        <f t="shared" si="379"/>
        <v>41983.200000000004</v>
      </c>
      <c r="I568" s="35">
        <f t="shared" si="380"/>
        <v>46481.4</v>
      </c>
      <c r="J568" s="35">
        <f t="shared" si="381"/>
        <v>44982</v>
      </c>
      <c r="K568" s="35">
        <f t="shared" si="382"/>
        <v>46481.4</v>
      </c>
      <c r="L568" s="35">
        <f t="shared" si="383"/>
        <v>44982</v>
      </c>
      <c r="M568" s="35">
        <f t="shared" si="384"/>
        <v>46481.4</v>
      </c>
      <c r="N568" s="35">
        <v>0</v>
      </c>
      <c r="O568" s="35">
        <v>0</v>
      </c>
      <c r="P568" s="35">
        <v>0</v>
      </c>
      <c r="Q568" s="35">
        <v>0</v>
      </c>
      <c r="R568" s="119">
        <v>0</v>
      </c>
      <c r="S568" s="384">
        <v>212</v>
      </c>
      <c r="T568" s="5"/>
    </row>
    <row r="569" spans="1:20" s="259" customFormat="1" x14ac:dyDescent="0.25">
      <c r="A569" s="254"/>
      <c r="B569" s="255">
        <v>13</v>
      </c>
      <c r="C569" s="256" t="s">
        <v>53</v>
      </c>
      <c r="D569" s="257">
        <v>71.400000000000006</v>
      </c>
      <c r="E569" s="24">
        <v>1</v>
      </c>
      <c r="F569" s="222">
        <f t="shared" si="377"/>
        <v>0</v>
      </c>
      <c r="G569" s="35">
        <v>0</v>
      </c>
      <c r="H569" s="118">
        <v>0</v>
      </c>
      <c r="I569" s="35">
        <v>0</v>
      </c>
      <c r="J569" s="35">
        <v>0</v>
      </c>
      <c r="K569" s="35">
        <v>0</v>
      </c>
      <c r="L569" s="35">
        <v>0</v>
      </c>
      <c r="M569" s="35">
        <v>0</v>
      </c>
      <c r="N569" s="35">
        <v>0</v>
      </c>
      <c r="O569" s="35">
        <v>0</v>
      </c>
      <c r="P569" s="35">
        <v>0</v>
      </c>
      <c r="Q569" s="35">
        <v>0</v>
      </c>
      <c r="R569" s="119">
        <v>0</v>
      </c>
      <c r="S569" s="384">
        <v>0</v>
      </c>
      <c r="T569" s="5"/>
    </row>
    <row r="570" spans="1:20" s="5" customFormat="1" x14ac:dyDescent="0.25">
      <c r="A570" s="115"/>
      <c r="B570" s="116">
        <v>14</v>
      </c>
      <c r="C570" s="18" t="s">
        <v>81</v>
      </c>
      <c r="D570" s="257">
        <v>71.400000000000006</v>
      </c>
      <c r="E570" s="21">
        <v>1</v>
      </c>
      <c r="F570" s="117">
        <f t="shared" si="377"/>
        <v>5283.6</v>
      </c>
      <c r="G570" s="35">
        <v>0</v>
      </c>
      <c r="H570" s="118">
        <f>E570*D570*28+D570*E570*15</f>
        <v>3070.2000000000003</v>
      </c>
      <c r="I570" s="35">
        <f>E570*D570*31</f>
        <v>2213.4</v>
      </c>
      <c r="J570" s="35">
        <v>0</v>
      </c>
      <c r="K570" s="35">
        <v>0</v>
      </c>
      <c r="L570" s="35">
        <v>0</v>
      </c>
      <c r="M570" s="35">
        <v>0</v>
      </c>
      <c r="N570" s="35">
        <v>0</v>
      </c>
      <c r="O570" s="35">
        <v>0</v>
      </c>
      <c r="P570" s="35">
        <v>0</v>
      </c>
      <c r="Q570" s="35">
        <v>0</v>
      </c>
      <c r="R570" s="119">
        <v>0</v>
      </c>
      <c r="S570" s="120">
        <f>15+28+31</f>
        <v>74</v>
      </c>
    </row>
    <row r="571" spans="1:20" s="5" customFormat="1" x14ac:dyDescent="0.25">
      <c r="A571" s="115"/>
      <c r="B571" s="116"/>
      <c r="C571" s="18" t="s">
        <v>81</v>
      </c>
      <c r="D571" s="257">
        <v>71.400000000000006</v>
      </c>
      <c r="E571" s="21">
        <v>1</v>
      </c>
      <c r="F571" s="117">
        <f t="shared" si="377"/>
        <v>6497.4000000000005</v>
      </c>
      <c r="G571" s="35">
        <v>0</v>
      </c>
      <c r="H571" s="118">
        <v>0</v>
      </c>
      <c r="I571" s="35">
        <v>0</v>
      </c>
      <c r="J571" s="35">
        <f>E571*D571*30</f>
        <v>2142</v>
      </c>
      <c r="K571" s="35">
        <f t="shared" ref="K571:K572" si="385">E571*D571*31</f>
        <v>2213.4</v>
      </c>
      <c r="L571" s="35">
        <f t="shared" ref="L571:L572" si="386">E571*D571*30</f>
        <v>2142</v>
      </c>
      <c r="M571" s="35">
        <v>0</v>
      </c>
      <c r="N571" s="35">
        <v>0</v>
      </c>
      <c r="O571" s="35">
        <v>0</v>
      </c>
      <c r="P571" s="35">
        <v>0</v>
      </c>
      <c r="Q571" s="35">
        <v>0</v>
      </c>
      <c r="R571" s="119">
        <v>0</v>
      </c>
      <c r="S571" s="120">
        <f>30+31+30</f>
        <v>91</v>
      </c>
    </row>
    <row r="572" spans="1:20" s="5" customFormat="1" x14ac:dyDescent="0.25">
      <c r="A572" s="115"/>
      <c r="B572" s="116">
        <v>15</v>
      </c>
      <c r="C572" s="18" t="s">
        <v>81</v>
      </c>
      <c r="D572" s="257">
        <v>71.400000000000006</v>
      </c>
      <c r="E572" s="21">
        <v>1</v>
      </c>
      <c r="F572" s="117">
        <f t="shared" si="377"/>
        <v>11852.400000000001</v>
      </c>
      <c r="G572" s="35">
        <v>0</v>
      </c>
      <c r="H572" s="118">
        <v>0</v>
      </c>
      <c r="I572" s="35">
        <f>E572*D572*31+D572*E572*13</f>
        <v>3141.6000000000004</v>
      </c>
      <c r="J572" s="35">
        <f t="shared" ref="J572" si="387">E572*D572*30</f>
        <v>2142</v>
      </c>
      <c r="K572" s="35">
        <f t="shared" si="385"/>
        <v>2213.4</v>
      </c>
      <c r="L572" s="35">
        <f t="shared" si="386"/>
        <v>2142</v>
      </c>
      <c r="M572" s="35">
        <f t="shared" ref="M572" si="388">E572*D572*31</f>
        <v>2213.4</v>
      </c>
      <c r="N572" s="35">
        <v>0</v>
      </c>
      <c r="O572" s="35">
        <v>0</v>
      </c>
      <c r="P572" s="35">
        <v>0</v>
      </c>
      <c r="Q572" s="35">
        <v>0</v>
      </c>
      <c r="R572" s="119">
        <v>0</v>
      </c>
      <c r="S572" s="120">
        <f>13+31+30+31+30+31</f>
        <v>166</v>
      </c>
    </row>
    <row r="573" spans="1:20" s="5" customFormat="1" ht="15" customHeight="1" x14ac:dyDescent="0.25">
      <c r="A573" s="115"/>
      <c r="B573" s="116">
        <v>12</v>
      </c>
      <c r="C573" s="18" t="s">
        <v>85</v>
      </c>
      <c r="D573" s="19">
        <v>78.25</v>
      </c>
      <c r="E573" s="21">
        <v>1</v>
      </c>
      <c r="F573" s="117">
        <f t="shared" si="377"/>
        <v>16589</v>
      </c>
      <c r="G573" s="35">
        <f t="shared" si="378"/>
        <v>2425.75</v>
      </c>
      <c r="H573" s="118">
        <f t="shared" si="379"/>
        <v>2191</v>
      </c>
      <c r="I573" s="35">
        <f t="shared" si="380"/>
        <v>2425.75</v>
      </c>
      <c r="J573" s="35">
        <f t="shared" si="381"/>
        <v>2347.5</v>
      </c>
      <c r="K573" s="35">
        <f t="shared" si="382"/>
        <v>2425.75</v>
      </c>
      <c r="L573" s="35">
        <f t="shared" si="383"/>
        <v>2347.5</v>
      </c>
      <c r="M573" s="35">
        <f t="shared" si="384"/>
        <v>2425.75</v>
      </c>
      <c r="N573" s="35">
        <v>0</v>
      </c>
      <c r="O573" s="35">
        <v>0</v>
      </c>
      <c r="P573" s="35">
        <v>0</v>
      </c>
      <c r="Q573" s="35">
        <v>0</v>
      </c>
      <c r="R573" s="119">
        <v>0</v>
      </c>
      <c r="S573" s="120">
        <v>212</v>
      </c>
    </row>
    <row r="574" spans="1:20" ht="15.75" thickBot="1" x14ac:dyDescent="0.3">
      <c r="A574" s="385"/>
      <c r="B574" s="176"/>
      <c r="C574" s="291" t="s">
        <v>123</v>
      </c>
      <c r="D574" s="177"/>
      <c r="E574" s="178"/>
      <c r="F574" s="179">
        <f>3224065-SUM(F553:F573)-66165</f>
        <v>11281.850000000093</v>
      </c>
      <c r="G574" s="180"/>
      <c r="H574" s="181"/>
      <c r="I574" s="182"/>
      <c r="J574" s="182"/>
      <c r="K574" s="182"/>
      <c r="L574" s="182"/>
      <c r="M574" s="182"/>
      <c r="N574" s="182"/>
      <c r="O574" s="182"/>
      <c r="P574" s="182"/>
      <c r="Q574" s="182"/>
      <c r="R574" s="186">
        <f>F574</f>
        <v>11281.850000000093</v>
      </c>
      <c r="T574" s="16"/>
    </row>
    <row r="575" spans="1:20" x14ac:dyDescent="0.25">
      <c r="K575" s="16"/>
    </row>
  </sheetData>
  <mergeCells count="34">
    <mergeCell ref="C509:D509"/>
    <mergeCell ref="C536:D536"/>
    <mergeCell ref="C537:D537"/>
    <mergeCell ref="C550:D550"/>
    <mergeCell ref="C427:D427"/>
    <mergeCell ref="C428:D428"/>
    <mergeCell ref="C475:D475"/>
    <mergeCell ref="C476:D476"/>
    <mergeCell ref="C496:D496"/>
    <mergeCell ref="C497:D497"/>
    <mergeCell ref="C357:D357"/>
    <mergeCell ref="C73:D73"/>
    <mergeCell ref="C75:D75"/>
    <mergeCell ref="C222:D222"/>
    <mergeCell ref="C223:D223"/>
    <mergeCell ref="C225:D225"/>
    <mergeCell ref="C322:D322"/>
    <mergeCell ref="C323:D323"/>
    <mergeCell ref="C351:D351"/>
    <mergeCell ref="C352:D352"/>
    <mergeCell ref="C356:D356"/>
    <mergeCell ref="C22:D22"/>
    <mergeCell ref="C54:D54"/>
    <mergeCell ref="C55:D55"/>
    <mergeCell ref="C57:D57"/>
    <mergeCell ref="C72:D72"/>
    <mergeCell ref="B3:R3"/>
    <mergeCell ref="B4:R4"/>
    <mergeCell ref="B11:R11"/>
    <mergeCell ref="C12:C13"/>
    <mergeCell ref="D12:D13"/>
    <mergeCell ref="E12:E13"/>
    <mergeCell ref="F12:F13"/>
    <mergeCell ref="G12:R12"/>
  </mergeCells>
  <pageMargins left="0.7" right="0.7" top="0.75" bottom="0.75" header="0.3" footer="0.3"/>
  <ignoredErrors>
    <ignoredError sqref="N51 F55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Literal "B" (2)</vt:lpstr>
      <vt:lpstr>Hoja1</vt:lpstr>
      <vt:lpstr>REPRO SEPTIEMBRE</vt:lpstr>
      <vt:lpstr>'Literal "B" (2)'!Área_de_impresión</vt:lpstr>
      <vt:lpstr>'Literal "B"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Yadira Lopez</cp:lastModifiedBy>
  <cp:lastPrinted>2025-02-28T22:25:15Z</cp:lastPrinted>
  <dcterms:created xsi:type="dcterms:W3CDTF">2022-03-31T18:56:32Z</dcterms:created>
  <dcterms:modified xsi:type="dcterms:W3CDTF">2025-03-06T15:58:46Z</dcterms:modified>
</cp:coreProperties>
</file>