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avasquez\Desktop\ARTÍCULO 17 TER\AÑO 2025\7. JULIO 2025\102. DIRECCIÓN GENERAL DE LAS ARTES\"/>
    </mc:Choice>
  </mc:AlternateContent>
  <xr:revisionPtr revIDLastSave="0" documentId="13_ncr:1_{F8635B1E-E80B-452D-BEA6-0889DFC90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P48" i="1" l="1"/>
  <c r="AN48" i="1"/>
  <c r="AK48" i="1"/>
  <c r="AJ48" i="1"/>
  <c r="AI48" i="1"/>
  <c r="AH48" i="1"/>
  <c r="AE48" i="1"/>
  <c r="AD48" i="1"/>
  <c r="P48" i="1"/>
  <c r="N48" i="1"/>
  <c r="L48" i="1"/>
  <c r="J48" i="1"/>
  <c r="H48" i="1"/>
  <c r="F48" i="1"/>
  <c r="E48" i="1"/>
  <c r="AP47" i="1"/>
  <c r="AN47" i="1"/>
  <c r="AL47" i="1"/>
  <c r="AL48" i="1" s="1"/>
  <c r="AK47" i="1"/>
  <c r="AI47" i="1"/>
  <c r="AG47" i="1"/>
  <c r="AB47" i="1"/>
  <c r="AB48" i="1" s="1"/>
  <c r="Z47" i="1"/>
  <c r="Z48" i="1" s="1"/>
  <c r="X47" i="1"/>
  <c r="X48" i="1" s="1"/>
  <c r="V47" i="1"/>
  <c r="V48" i="1" s="1"/>
  <c r="T47" i="1"/>
  <c r="T48" i="1" s="1"/>
  <c r="R47" i="1"/>
  <c r="AC47" i="1" s="1"/>
  <c r="AJ46" i="1"/>
  <c r="AI46" i="1"/>
  <c r="AH46" i="1"/>
  <c r="AF46" i="1"/>
  <c r="AF47" i="1" s="1"/>
  <c r="AF48" i="1" s="1"/>
  <c r="AE46" i="1"/>
  <c r="AD46" i="1"/>
  <c r="AB46" i="1"/>
  <c r="R46" i="1"/>
  <c r="E46" i="1"/>
  <c r="AP45" i="1"/>
  <c r="AN45" i="1"/>
  <c r="AJ45" i="1"/>
  <c r="AL45" i="1" s="1"/>
  <c r="AL46" i="1" s="1"/>
  <c r="AG45" i="1"/>
  <c r="AB45" i="1"/>
  <c r="Z45" i="1"/>
  <c r="X45" i="1"/>
  <c r="V45" i="1"/>
  <c r="T45" i="1"/>
  <c r="R45" i="1"/>
  <c r="P45" i="1"/>
  <c r="N45" i="1"/>
  <c r="L45" i="1"/>
  <c r="J45" i="1"/>
  <c r="H45" i="1"/>
  <c r="F45" i="1"/>
  <c r="AP44" i="1"/>
  <c r="AL44" i="1"/>
  <c r="AJ44" i="1"/>
  <c r="AK44" i="1" s="1"/>
  <c r="AM44" i="1" s="1"/>
  <c r="AG44" i="1"/>
  <c r="AB44" i="1"/>
  <c r="Z44" i="1"/>
  <c r="X44" i="1"/>
  <c r="X46" i="1" s="1"/>
  <c r="V44" i="1"/>
  <c r="T44" i="1"/>
  <c r="R44" i="1"/>
  <c r="P44" i="1"/>
  <c r="N44" i="1"/>
  <c r="N46" i="1" s="1"/>
  <c r="L44" i="1"/>
  <c r="AN44" i="1" s="1"/>
  <c r="J44" i="1"/>
  <c r="H44" i="1"/>
  <c r="H46" i="1" s="1"/>
  <c r="F44" i="1"/>
  <c r="AP43" i="1"/>
  <c r="AP46" i="1" s="1"/>
  <c r="AJ43" i="1"/>
  <c r="AI43" i="1"/>
  <c r="AG43" i="1"/>
  <c r="AB43" i="1"/>
  <c r="Z43" i="1"/>
  <c r="X43" i="1"/>
  <c r="V43" i="1"/>
  <c r="V46" i="1" s="1"/>
  <c r="T43" i="1"/>
  <c r="T46" i="1" s="1"/>
  <c r="R43" i="1"/>
  <c r="P43" i="1"/>
  <c r="N43" i="1"/>
  <c r="L43" i="1"/>
  <c r="J43" i="1"/>
  <c r="H43" i="1"/>
  <c r="F43" i="1"/>
  <c r="F46" i="1" s="1"/>
  <c r="AD42" i="1"/>
  <c r="E42" i="1"/>
  <c r="AP41" i="1"/>
  <c r="AJ41" i="1"/>
  <c r="AK41" i="1" s="1"/>
  <c r="AH41" i="1"/>
  <c r="AF41" i="1"/>
  <c r="AB41" i="1"/>
  <c r="Z41" i="1"/>
  <c r="X41" i="1"/>
  <c r="V41" i="1"/>
  <c r="T41" i="1"/>
  <c r="R41" i="1"/>
  <c r="P41" i="1"/>
  <c r="N41" i="1"/>
  <c r="AC41" i="1" s="1"/>
  <c r="L41" i="1"/>
  <c r="J41" i="1"/>
  <c r="H41" i="1"/>
  <c r="F41" i="1"/>
  <c r="AP40" i="1"/>
  <c r="AN40" i="1"/>
  <c r="AJ40" i="1"/>
  <c r="AK40" i="1" s="1"/>
  <c r="AI40" i="1"/>
  <c r="AH40" i="1"/>
  <c r="AF40" i="1"/>
  <c r="AB40" i="1"/>
  <c r="Z40" i="1"/>
  <c r="X40" i="1"/>
  <c r="V40" i="1"/>
  <c r="T40" i="1"/>
  <c r="R40" i="1"/>
  <c r="P40" i="1"/>
  <c r="N40" i="1"/>
  <c r="L40" i="1"/>
  <c r="J40" i="1"/>
  <c r="H40" i="1"/>
  <c r="F40" i="1"/>
  <c r="AP39" i="1"/>
  <c r="AL39" i="1"/>
  <c r="AK39" i="1"/>
  <c r="AI39" i="1"/>
  <c r="AM39" i="1" s="1"/>
  <c r="AG39" i="1"/>
  <c r="AE39" i="1"/>
  <c r="AB39" i="1"/>
  <c r="Z39" i="1"/>
  <c r="X39" i="1"/>
  <c r="V39" i="1"/>
  <c r="T39" i="1"/>
  <c r="R39" i="1"/>
  <c r="P39" i="1"/>
  <c r="N39" i="1"/>
  <c r="AC39" i="1" s="1"/>
  <c r="L39" i="1"/>
  <c r="AN39" i="1" s="1"/>
  <c r="J39" i="1"/>
  <c r="H39" i="1"/>
  <c r="F39" i="1"/>
  <c r="AP38" i="1"/>
  <c r="AL38" i="1"/>
  <c r="AK38" i="1"/>
  <c r="AI38" i="1"/>
  <c r="AG38" i="1"/>
  <c r="AM38" i="1" s="1"/>
  <c r="AE38" i="1"/>
  <c r="AB38" i="1"/>
  <c r="Z38" i="1"/>
  <c r="X38" i="1"/>
  <c r="V38" i="1"/>
  <c r="T38" i="1"/>
  <c r="R38" i="1"/>
  <c r="P38" i="1"/>
  <c r="N38" i="1"/>
  <c r="L38" i="1"/>
  <c r="AN38" i="1" s="1"/>
  <c r="J38" i="1"/>
  <c r="H38" i="1"/>
  <c r="F38" i="1"/>
  <c r="AP37" i="1"/>
  <c r="AJ37" i="1"/>
  <c r="AK37" i="1" s="1"/>
  <c r="AH37" i="1"/>
  <c r="AF37" i="1"/>
  <c r="AL37" i="1" s="1"/>
  <c r="AE37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AP36" i="1"/>
  <c r="AN36" i="1"/>
  <c r="AL36" i="1"/>
  <c r="AK36" i="1"/>
  <c r="AI36" i="1"/>
  <c r="AG36" i="1"/>
  <c r="AE36" i="1"/>
  <c r="X36" i="1"/>
  <c r="AC36" i="1" s="1"/>
  <c r="AP35" i="1"/>
  <c r="AL35" i="1"/>
  <c r="AK35" i="1"/>
  <c r="AH35" i="1"/>
  <c r="AI35" i="1" s="1"/>
  <c r="AG35" i="1"/>
  <c r="AM35" i="1" s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P34" i="1"/>
  <c r="AL34" i="1"/>
  <c r="AJ34" i="1"/>
  <c r="AK34" i="1" s="1"/>
  <c r="AH34" i="1"/>
  <c r="AI34" i="1" s="1"/>
  <c r="AG34" i="1"/>
  <c r="AM34" i="1" s="1"/>
  <c r="AF34" i="1"/>
  <c r="AD34" i="1"/>
  <c r="AE34" i="1" s="1"/>
  <c r="AB34" i="1"/>
  <c r="Z34" i="1"/>
  <c r="X34" i="1"/>
  <c r="V34" i="1"/>
  <c r="T34" i="1"/>
  <c r="R34" i="1"/>
  <c r="P34" i="1"/>
  <c r="N34" i="1"/>
  <c r="L34" i="1"/>
  <c r="AN34" i="1" s="1"/>
  <c r="J34" i="1"/>
  <c r="H34" i="1"/>
  <c r="F34" i="1"/>
  <c r="AB33" i="1"/>
  <c r="Z33" i="1"/>
  <c r="V33" i="1"/>
  <c r="T33" i="1"/>
  <c r="R33" i="1"/>
  <c r="P33" i="1"/>
  <c r="N33" i="1"/>
  <c r="L33" i="1"/>
  <c r="J33" i="1"/>
  <c r="H33" i="1"/>
  <c r="AC33" i="1" s="1"/>
  <c r="F33" i="1"/>
  <c r="AP32" i="1"/>
  <c r="AK32" i="1"/>
  <c r="AJ32" i="1"/>
  <c r="AH32" i="1"/>
  <c r="AI32" i="1" s="1"/>
  <c r="AF32" i="1"/>
  <c r="AE32" i="1"/>
  <c r="AB32" i="1"/>
  <c r="Z32" i="1"/>
  <c r="X32" i="1"/>
  <c r="V32" i="1"/>
  <c r="T32" i="1"/>
  <c r="R32" i="1"/>
  <c r="P32" i="1"/>
  <c r="N32" i="1"/>
  <c r="L32" i="1"/>
  <c r="AC32" i="1" s="1"/>
  <c r="J32" i="1"/>
  <c r="H32" i="1"/>
  <c r="F32" i="1"/>
  <c r="AP31" i="1"/>
  <c r="AN31" i="1"/>
  <c r="AM31" i="1"/>
  <c r="AL31" i="1"/>
  <c r="AK31" i="1"/>
  <c r="AI31" i="1"/>
  <c r="AG31" i="1"/>
  <c r="AB31" i="1"/>
  <c r="Z31" i="1"/>
  <c r="X31" i="1"/>
  <c r="V31" i="1"/>
  <c r="T31" i="1"/>
  <c r="R31" i="1"/>
  <c r="P31" i="1"/>
  <c r="N31" i="1"/>
  <c r="L31" i="1"/>
  <c r="J31" i="1"/>
  <c r="H31" i="1"/>
  <c r="AC31" i="1" s="1"/>
  <c r="F31" i="1"/>
  <c r="AP30" i="1"/>
  <c r="AN30" i="1"/>
  <c r="AK30" i="1"/>
  <c r="AJ30" i="1"/>
  <c r="AH30" i="1"/>
  <c r="AI30" i="1" s="1"/>
  <c r="AF30" i="1"/>
  <c r="AD30" i="1"/>
  <c r="AE30" i="1" s="1"/>
  <c r="AB30" i="1"/>
  <c r="Z30" i="1"/>
  <c r="X30" i="1"/>
  <c r="V30" i="1"/>
  <c r="T30" i="1"/>
  <c r="R30" i="1"/>
  <c r="P30" i="1"/>
  <c r="N30" i="1"/>
  <c r="AC30" i="1" s="1"/>
  <c r="L30" i="1"/>
  <c r="J30" i="1"/>
  <c r="H30" i="1"/>
  <c r="F30" i="1"/>
  <c r="AP29" i="1"/>
  <c r="AN29" i="1"/>
  <c r="AJ29" i="1"/>
  <c r="AK29" i="1" s="1"/>
  <c r="AI29" i="1"/>
  <c r="AH29" i="1"/>
  <c r="AF29" i="1"/>
  <c r="AD29" i="1"/>
  <c r="AE29" i="1" s="1"/>
  <c r="AB29" i="1"/>
  <c r="Z29" i="1"/>
  <c r="X29" i="1"/>
  <c r="V29" i="1"/>
  <c r="T29" i="1"/>
  <c r="R29" i="1"/>
  <c r="P29" i="1"/>
  <c r="N29" i="1"/>
  <c r="L29" i="1"/>
  <c r="J29" i="1"/>
  <c r="H29" i="1"/>
  <c r="F29" i="1"/>
  <c r="AP28" i="1"/>
  <c r="AL28" i="1"/>
  <c r="AJ28" i="1"/>
  <c r="AK28" i="1" s="1"/>
  <c r="AI28" i="1"/>
  <c r="AH28" i="1"/>
  <c r="AF28" i="1"/>
  <c r="AG28" i="1" s="1"/>
  <c r="AM28" i="1" s="1"/>
  <c r="AD28" i="1"/>
  <c r="AE28" i="1" s="1"/>
  <c r="AE42" i="1" s="1"/>
  <c r="AB28" i="1"/>
  <c r="Z28" i="1"/>
  <c r="Z42" i="1" s="1"/>
  <c r="X28" i="1"/>
  <c r="V28" i="1"/>
  <c r="T28" i="1"/>
  <c r="R28" i="1"/>
  <c r="P28" i="1"/>
  <c r="P42" i="1" s="1"/>
  <c r="N28" i="1"/>
  <c r="L28" i="1"/>
  <c r="AN28" i="1" s="1"/>
  <c r="J28" i="1"/>
  <c r="J42" i="1" s="1"/>
  <c r="H28" i="1"/>
  <c r="F28" i="1"/>
  <c r="AP27" i="1"/>
  <c r="AL27" i="1"/>
  <c r="AJ27" i="1"/>
  <c r="AK27" i="1" s="1"/>
  <c r="AH27" i="1"/>
  <c r="AH42" i="1" s="1"/>
  <c r="AG27" i="1"/>
  <c r="AF27" i="1"/>
  <c r="AB27" i="1"/>
  <c r="Z27" i="1"/>
  <c r="X27" i="1"/>
  <c r="V27" i="1"/>
  <c r="V42" i="1" s="1"/>
  <c r="T27" i="1"/>
  <c r="R27" i="1"/>
  <c r="P27" i="1"/>
  <c r="N27" i="1"/>
  <c r="L27" i="1"/>
  <c r="J27" i="1"/>
  <c r="H27" i="1"/>
  <c r="F27" i="1"/>
  <c r="F42" i="1" s="1"/>
  <c r="AP26" i="1"/>
  <c r="AP42" i="1" s="1"/>
  <c r="AJ26" i="1"/>
  <c r="AK26" i="1" s="1"/>
  <c r="AH26" i="1"/>
  <c r="AF26" i="1"/>
  <c r="AE26" i="1"/>
  <c r="AD26" i="1"/>
  <c r="AB26" i="1"/>
  <c r="Z26" i="1"/>
  <c r="X26" i="1"/>
  <c r="X42" i="1" s="1"/>
  <c r="V26" i="1"/>
  <c r="T26" i="1"/>
  <c r="T42" i="1" s="1"/>
  <c r="R26" i="1"/>
  <c r="P26" i="1"/>
  <c r="N26" i="1"/>
  <c r="L26" i="1"/>
  <c r="J26" i="1"/>
  <c r="H26" i="1"/>
  <c r="F26" i="1"/>
  <c r="AP25" i="1"/>
  <c r="AH25" i="1"/>
  <c r="AF25" i="1"/>
  <c r="Z25" i="1"/>
  <c r="X25" i="1"/>
  <c r="T25" i="1"/>
  <c r="P25" i="1"/>
  <c r="N25" i="1"/>
  <c r="J25" i="1"/>
  <c r="E25" i="1"/>
  <c r="E49" i="1" s="1"/>
  <c r="AP24" i="1"/>
  <c r="AJ24" i="1"/>
  <c r="AK24" i="1" s="1"/>
  <c r="AK25" i="1" s="1"/>
  <c r="AH24" i="1"/>
  <c r="AI24" i="1" s="1"/>
  <c r="AI25" i="1" s="1"/>
  <c r="AG24" i="1"/>
  <c r="AF24" i="1"/>
  <c r="AD24" i="1"/>
  <c r="AB24" i="1"/>
  <c r="AB25" i="1" s="1"/>
  <c r="Z24" i="1"/>
  <c r="X24" i="1"/>
  <c r="V24" i="1"/>
  <c r="V25" i="1" s="1"/>
  <c r="T24" i="1"/>
  <c r="R24" i="1"/>
  <c r="R25" i="1" s="1"/>
  <c r="P24" i="1"/>
  <c r="N24" i="1"/>
  <c r="L24" i="1"/>
  <c r="L25" i="1" s="1"/>
  <c r="J24" i="1"/>
  <c r="H24" i="1"/>
  <c r="H25" i="1" s="1"/>
  <c r="F24" i="1"/>
  <c r="AJ23" i="1"/>
  <c r="AD23" i="1"/>
  <c r="V23" i="1"/>
  <c r="V49" i="1" s="1"/>
  <c r="E23" i="1"/>
  <c r="AP22" i="1"/>
  <c r="AN22" i="1"/>
  <c r="AK22" i="1"/>
  <c r="AJ22" i="1"/>
  <c r="AI22" i="1"/>
  <c r="AF22" i="1"/>
  <c r="AB22" i="1"/>
  <c r="Z22" i="1"/>
  <c r="X22" i="1"/>
  <c r="V22" i="1"/>
  <c r="T22" i="1"/>
  <c r="R22" i="1"/>
  <c r="P22" i="1"/>
  <c r="N22" i="1"/>
  <c r="L22" i="1"/>
  <c r="J22" i="1"/>
  <c r="AC22" i="1" s="1"/>
  <c r="H22" i="1"/>
  <c r="F22" i="1"/>
  <c r="AP21" i="1"/>
  <c r="AL21" i="1"/>
  <c r="AK21" i="1"/>
  <c r="AJ21" i="1"/>
  <c r="AH21" i="1"/>
  <c r="AI21" i="1" s="1"/>
  <c r="AG21" i="1"/>
  <c r="AM21" i="1" s="1"/>
  <c r="AF21" i="1"/>
  <c r="AE21" i="1"/>
  <c r="AB21" i="1"/>
  <c r="Z21" i="1"/>
  <c r="X21" i="1"/>
  <c r="V21" i="1"/>
  <c r="T21" i="1"/>
  <c r="R21" i="1"/>
  <c r="P21" i="1"/>
  <c r="N21" i="1"/>
  <c r="L21" i="1"/>
  <c r="AN21" i="1" s="1"/>
  <c r="J21" i="1"/>
  <c r="H21" i="1"/>
  <c r="F21" i="1"/>
  <c r="AP20" i="1"/>
  <c r="AJ20" i="1"/>
  <c r="AK20" i="1" s="1"/>
  <c r="AH20" i="1"/>
  <c r="AN20" i="1" s="1"/>
  <c r="AF20" i="1"/>
  <c r="AE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AP19" i="1"/>
  <c r="AL19" i="1"/>
  <c r="AK19" i="1"/>
  <c r="AK23" i="1" s="1"/>
  <c r="AJ19" i="1"/>
  <c r="AH19" i="1"/>
  <c r="AF19" i="1"/>
  <c r="AF23" i="1" s="1"/>
  <c r="AE19" i="1"/>
  <c r="AB19" i="1"/>
  <c r="AB23" i="1" s="1"/>
  <c r="Z19" i="1"/>
  <c r="X19" i="1"/>
  <c r="V19" i="1"/>
  <c r="T19" i="1"/>
  <c r="R19" i="1"/>
  <c r="R23" i="1" s="1"/>
  <c r="P19" i="1"/>
  <c r="P23" i="1" s="1"/>
  <c r="N19" i="1"/>
  <c r="N23" i="1" s="1"/>
  <c r="L19" i="1"/>
  <c r="AN19" i="1" s="1"/>
  <c r="J19" i="1"/>
  <c r="H19" i="1"/>
  <c r="F19" i="1"/>
  <c r="F23" i="1" s="1"/>
  <c r="AO30" i="1" l="1"/>
  <c r="AQ22" i="1"/>
  <c r="AO22" i="1"/>
  <c r="AQ39" i="1"/>
  <c r="AO39" i="1"/>
  <c r="AO31" i="1"/>
  <c r="AQ31" i="1" s="1"/>
  <c r="AI26" i="1"/>
  <c r="AN26" i="1"/>
  <c r="AL29" i="1"/>
  <c r="AL42" i="1" s="1"/>
  <c r="AG29" i="1"/>
  <c r="AM29" i="1" s="1"/>
  <c r="AN32" i="1"/>
  <c r="AI41" i="1"/>
  <c r="AO41" i="1" s="1"/>
  <c r="AN41" i="1"/>
  <c r="AQ41" i="1" s="1"/>
  <c r="L46" i="1"/>
  <c r="AM47" i="1"/>
  <c r="AM48" i="1" s="1"/>
  <c r="AG48" i="1"/>
  <c r="AC19" i="1"/>
  <c r="AP23" i="1"/>
  <c r="AP49" i="1" s="1"/>
  <c r="AL20" i="1"/>
  <c r="AG20" i="1"/>
  <c r="AL24" i="1"/>
  <c r="AL25" i="1" s="1"/>
  <c r="AC35" i="1"/>
  <c r="P46" i="1"/>
  <c r="P49" i="1" s="1"/>
  <c r="AC38" i="1"/>
  <c r="AG46" i="1"/>
  <c r="AK42" i="1"/>
  <c r="AK49" i="1" s="1"/>
  <c r="AC29" i="1"/>
  <c r="AI37" i="1"/>
  <c r="AN37" i="1"/>
  <c r="AL40" i="1"/>
  <c r="AG40" i="1"/>
  <c r="AM40" i="1" s="1"/>
  <c r="AE23" i="1"/>
  <c r="AE49" i="1" s="1"/>
  <c r="AH23" i="1"/>
  <c r="AH49" i="1" s="1"/>
  <c r="AB42" i="1"/>
  <c r="AB49" i="1" s="1"/>
  <c r="AG32" i="1"/>
  <c r="AM32" i="1" s="1"/>
  <c r="AL32" i="1"/>
  <c r="AO36" i="1"/>
  <c r="AQ36" i="1"/>
  <c r="AL43" i="1"/>
  <c r="AK43" i="1"/>
  <c r="AM43" i="1" s="1"/>
  <c r="AC20" i="1"/>
  <c r="AI19" i="1"/>
  <c r="AC21" i="1"/>
  <c r="AG22" i="1"/>
  <c r="AM22" i="1" s="1"/>
  <c r="AL22" i="1"/>
  <c r="AL23" i="1" s="1"/>
  <c r="AL49" i="1" s="1"/>
  <c r="N42" i="1"/>
  <c r="N49" i="1" s="1"/>
  <c r="AG30" i="1"/>
  <c r="AM30" i="1" s="1"/>
  <c r="AL30" i="1"/>
  <c r="AC34" i="1"/>
  <c r="AC37" i="1"/>
  <c r="AC44" i="1"/>
  <c r="F25" i="1"/>
  <c r="F49" i="1" s="1"/>
  <c r="AC24" i="1"/>
  <c r="H42" i="1"/>
  <c r="AC26" i="1"/>
  <c r="AI20" i="1"/>
  <c r="AD25" i="1"/>
  <c r="AD49" i="1" s="1"/>
  <c r="AE24" i="1"/>
  <c r="AE25" i="1" s="1"/>
  <c r="H23" i="1"/>
  <c r="X23" i="1"/>
  <c r="X49" i="1" s="1"/>
  <c r="L23" i="1"/>
  <c r="AG25" i="1"/>
  <c r="AM24" i="1"/>
  <c r="AM25" i="1" s="1"/>
  <c r="AM36" i="1"/>
  <c r="J46" i="1"/>
  <c r="Z46" i="1"/>
  <c r="AC45" i="1"/>
  <c r="R48" i="1"/>
  <c r="AN23" i="1"/>
  <c r="AO32" i="1"/>
  <c r="AQ32" i="1" s="1"/>
  <c r="AC48" i="1"/>
  <c r="AO47" i="1"/>
  <c r="AO48" i="1" s="1"/>
  <c r="AF49" i="1"/>
  <c r="T23" i="1"/>
  <c r="T49" i="1" s="1"/>
  <c r="L42" i="1"/>
  <c r="J23" i="1"/>
  <c r="J49" i="1" s="1"/>
  <c r="Z23" i="1"/>
  <c r="Z49" i="1" s="1"/>
  <c r="R42" i="1"/>
  <c r="R49" i="1" s="1"/>
  <c r="AL26" i="1"/>
  <c r="AN27" i="1"/>
  <c r="AC27" i="1"/>
  <c r="AC28" i="1"/>
  <c r="AC40" i="1"/>
  <c r="AL41" i="1"/>
  <c r="AN43" i="1"/>
  <c r="AN46" i="1" s="1"/>
  <c r="AJ42" i="1"/>
  <c r="AN24" i="1"/>
  <c r="AN25" i="1" s="1"/>
  <c r="AJ25" i="1"/>
  <c r="AJ49" i="1" s="1"/>
  <c r="AG26" i="1"/>
  <c r="AM26" i="1" s="1"/>
  <c r="AG37" i="1"/>
  <c r="AM37" i="1" s="1"/>
  <c r="AG41" i="1"/>
  <c r="AM41" i="1" s="1"/>
  <c r="AF42" i="1"/>
  <c r="AC43" i="1"/>
  <c r="AK45" i="1"/>
  <c r="AK46" i="1" s="1"/>
  <c r="AI27" i="1"/>
  <c r="AI42" i="1" s="1"/>
  <c r="AG19" i="1"/>
  <c r="AM45" i="1" l="1"/>
  <c r="AM46" i="1" s="1"/>
  <c r="AM20" i="1"/>
  <c r="L49" i="1"/>
  <c r="AO24" i="1"/>
  <c r="AO25" i="1" s="1"/>
  <c r="AC25" i="1"/>
  <c r="AO38" i="1"/>
  <c r="AQ38" i="1" s="1"/>
  <c r="AO40" i="1"/>
  <c r="AQ40" i="1"/>
  <c r="AQ47" i="1"/>
  <c r="AQ48" i="1" s="1"/>
  <c r="AO28" i="1"/>
  <c r="AQ28" i="1"/>
  <c r="AO45" i="1"/>
  <c r="AQ45" i="1"/>
  <c r="H49" i="1"/>
  <c r="AO44" i="1"/>
  <c r="AQ44" i="1" s="1"/>
  <c r="AO19" i="1"/>
  <c r="AC23" i="1"/>
  <c r="AC49" i="1" s="1"/>
  <c r="AQ19" i="1"/>
  <c r="AO43" i="1"/>
  <c r="AO46" i="1" s="1"/>
  <c r="AC46" i="1"/>
  <c r="AO27" i="1"/>
  <c r="AO21" i="1"/>
  <c r="AQ21" i="1" s="1"/>
  <c r="AQ26" i="1"/>
  <c r="AC42" i="1"/>
  <c r="AO26" i="1"/>
  <c r="AO37" i="1"/>
  <c r="AQ37" i="1" s="1"/>
  <c r="AO35" i="1"/>
  <c r="AQ35" i="1" s="1"/>
  <c r="AM19" i="1"/>
  <c r="AM23" i="1" s="1"/>
  <c r="AG23" i="1"/>
  <c r="AN42" i="1"/>
  <c r="AN49" i="1" s="1"/>
  <c r="AQ34" i="1"/>
  <c r="AO34" i="1"/>
  <c r="AI23" i="1"/>
  <c r="AI49" i="1" s="1"/>
  <c r="AO29" i="1"/>
  <c r="AQ29" i="1"/>
  <c r="AM27" i="1"/>
  <c r="AM42" i="1" s="1"/>
  <c r="AO20" i="1"/>
  <c r="AQ20" i="1" s="1"/>
  <c r="AG42" i="1"/>
  <c r="AQ30" i="1"/>
  <c r="AQ43" i="1" l="1"/>
  <c r="AQ46" i="1" s="1"/>
  <c r="AO23" i="1"/>
  <c r="AO49" i="1" s="1"/>
  <c r="AG49" i="1"/>
  <c r="AO42" i="1"/>
  <c r="AQ23" i="1"/>
  <c r="AM49" i="1"/>
  <c r="AQ27" i="1"/>
  <c r="AQ42" i="1" s="1"/>
  <c r="AQ24" i="1"/>
  <c r="AQ25" i="1" s="1"/>
  <c r="AQ49" i="1" l="1"/>
</calcChain>
</file>

<file path=xl/sharedStrings.xml><?xml version="1.0" encoding="utf-8"?>
<sst xmlns="http://schemas.openxmlformats.org/spreadsheetml/2006/main" count="143" uniqueCount="70">
  <si>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</si>
  <si>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</si>
  <si>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</si>
  <si>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</si>
  <si>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</si>
  <si>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</si>
  <si>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</si>
  <si>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</si>
  <si>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</si>
  <si>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</si>
  <si>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</si>
  <si>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</si>
  <si>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</si>
  <si>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</si>
  <si>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</si>
  <si>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</si>
  <si>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</si>
  <si>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</si>
  <si>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</si>
  <si>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</si>
  <si>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</si>
  <si>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</si>
  <si>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</si>
  <si>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</si>
  <si>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</si>
  <si>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</si>
  <si>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</si>
  <si>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</si>
  <si>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</si>
  <si>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</si>
  <si>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</si>
  <si>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</si>
  <si>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</si>
  <si>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</si>
  <si>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</si>
  <si>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</si>
  <si>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</si>
  <si>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</si>
  <si>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</si>
  <si>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</si>
  <si>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</si>
  <si>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</si>
  <si>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</si>
  <si>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</si>
  <si>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</si>
  <si>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</si>
  <si>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</si>
  <si>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</si>
  <si>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</si>
  <si>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</si>
  <si>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</si>
  <si>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</si>
  <si>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</si>
  <si>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</si>
  <si>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</si>
  <si>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</si>
  <si>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</si>
  <si>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</si>
  <si>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</si>
  <si>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</si>
  <si>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</si>
  <si>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</si>
  <si>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</si>
  <si>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</si>
  <si>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28</t>
  </si>
  <si>
    <t>ELECTRICISTA III</t>
  </si>
  <si>
    <t>TRABAJADOR VIVANDERA</t>
  </si>
  <si>
    <t>PEÓN VIGILANTE IV</t>
  </si>
  <si>
    <t>TEATRO DE BELLAS ARTES</t>
  </si>
  <si>
    <t>Mes/ año: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</si>
</sst>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0" fillId="0" borderId="0" xfId="1" applyFont="1" applyFill="1"/>
    <xf numFmtId="164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/>
    </xf>
    <xf numFmtId="164" fontId="10" fillId="9" borderId="5" xfId="2" applyNumberFormat="1" applyFont="1" applyFill="1" applyBorder="1" applyAlignment="1">
      <alignment horizontal="center"/>
    </xf>
    <xf numFmtId="0" fontId="13" fillId="2" borderId="5" xfId="2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666750</xdr:colOff>
      <xdr:row>1</xdr:row>
      <xdr:rowOff>81643</xdr:rowOff>
    </xdr:from>
    <xdr:to>
      <xdr:col>21</xdr:col>
      <xdr:colOff>1129393</xdr:colOff>
      <xdr:row>6</xdr:row>
      <xdr:rowOff>173449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0" y="272143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1"/>
  <sheetViews>
    <sheetView showGridLines="0" tabSelected="1" zoomScale="55" zoomScaleNormal="55" zoomScaleSheetLayoutView="70" zoomScalePageLayoutView="85" workbookViewId="0">
      <pane ySplit="18" topLeftCell="A19" activePane="bottomLeft" state="frozen"/>
      <selection pane="bottomLeft" activeCell="A53" sqref="A53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D7" s="55"/>
    </row>
    <row r="8" spans="1:43" ht="18.75" customHeight="1" x14ac:dyDescent="0.25">
      <c r="A8" s="95" t="s">
        <v>19</v>
      </c>
      <c r="B8" s="95"/>
      <c r="C8" s="95"/>
      <c r="D8" s="95"/>
      <c r="E8" s="95"/>
      <c r="F8" s="95"/>
      <c r="G8" s="95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96" t="s">
        <v>50</v>
      </c>
      <c r="B10" s="96"/>
      <c r="C10" s="96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51</v>
      </c>
      <c r="B11" s="12"/>
      <c r="C11" s="12"/>
      <c r="D11"/>
      <c r="E11"/>
      <c r="F11"/>
      <c r="G11"/>
      <c r="K11" s="110"/>
      <c r="L11" s="111"/>
      <c r="M11" s="56"/>
      <c r="N11" s="56"/>
      <c r="O11" s="56"/>
      <c r="P11" s="56"/>
      <c r="Q11" s="56"/>
      <c r="R11" s="56"/>
      <c r="S11" s="56"/>
      <c r="T11" s="56"/>
      <c r="U11" s="56"/>
      <c r="V11" s="69"/>
      <c r="W11" s="56"/>
      <c r="X11" s="56"/>
      <c r="Y11" s="56"/>
      <c r="Z11" s="56"/>
      <c r="AA11" s="56"/>
      <c r="AB11" s="56"/>
      <c r="AC11" s="50"/>
      <c r="AE11" s="23"/>
      <c r="AF11" s="23"/>
      <c r="AG11" s="23"/>
      <c r="AH11" s="23"/>
      <c r="AI11" s="23"/>
      <c r="AJ11" s="23"/>
      <c r="AK11" s="23"/>
      <c r="AL11" s="23"/>
    </row>
    <row r="12" spans="1:43" s="63" customFormat="1" ht="23.25" x14ac:dyDescent="0.35">
      <c r="A12" s="97" t="s">
        <v>69</v>
      </c>
      <c r="B12" s="97"/>
      <c r="C12" s="97"/>
      <c r="H12" s="64"/>
      <c r="I12" s="65"/>
      <c r="J12" s="64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9"/>
      <c r="W12" s="67"/>
      <c r="X12" s="67"/>
      <c r="Y12" s="67"/>
      <c r="Z12" s="67"/>
      <c r="AA12" s="67"/>
      <c r="AB12" s="67"/>
      <c r="AC12" s="67"/>
      <c r="AE12" s="68"/>
      <c r="AF12" s="68"/>
      <c r="AG12" s="68"/>
      <c r="AH12" s="68"/>
      <c r="AI12" s="68"/>
      <c r="AJ12" s="68"/>
      <c r="AK12" s="68"/>
      <c r="AN12" s="64"/>
      <c r="AO12" s="64"/>
      <c r="AP12" s="64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7" customFormat="1" ht="15.75" thickBot="1" x14ac:dyDescent="0.3">
      <c r="C14" s="18"/>
      <c r="D14" s="58"/>
      <c r="F14" s="58">
        <v>31</v>
      </c>
      <c r="H14" s="58" t="s">
        <v>64</v>
      </c>
      <c r="I14" s="58"/>
      <c r="J14" s="58" t="s">
        <v>26</v>
      </c>
      <c r="L14" s="58" t="s">
        <v>27</v>
      </c>
      <c r="M14" s="58"/>
      <c r="N14" s="58" t="s">
        <v>26</v>
      </c>
      <c r="O14" s="58"/>
      <c r="P14" s="58" t="s">
        <v>27</v>
      </c>
      <c r="Q14" s="58"/>
      <c r="R14" s="58" t="s">
        <v>26</v>
      </c>
      <c r="S14" s="58"/>
      <c r="T14" s="58" t="s">
        <v>26</v>
      </c>
      <c r="U14" s="58"/>
      <c r="V14" s="58" t="s">
        <v>27</v>
      </c>
      <c r="W14" s="58"/>
      <c r="X14" s="58" t="s">
        <v>26</v>
      </c>
      <c r="Y14" s="58"/>
      <c r="Z14" s="58" t="s">
        <v>27</v>
      </c>
      <c r="AA14" s="58"/>
      <c r="AB14" s="58" t="s">
        <v>26</v>
      </c>
      <c r="AC14" s="58"/>
      <c r="AD14" s="59"/>
      <c r="AN14" s="58"/>
      <c r="AO14" s="58"/>
      <c r="AP14" s="58"/>
    </row>
    <row r="15" spans="1:43" s="13" customFormat="1" ht="21.6" customHeight="1" x14ac:dyDescent="0.25">
      <c r="A15" s="98" t="s">
        <v>0</v>
      </c>
      <c r="B15" s="100" t="s">
        <v>1</v>
      </c>
      <c r="C15" s="101" t="s">
        <v>2</v>
      </c>
      <c r="D15" s="103" t="s">
        <v>3</v>
      </c>
      <c r="E15" s="106" t="s">
        <v>4</v>
      </c>
      <c r="F15" s="106"/>
      <c r="G15" s="106"/>
      <c r="H15" s="106"/>
      <c r="I15" s="106"/>
      <c r="J15" s="106"/>
      <c r="K15" s="106"/>
      <c r="L15" s="106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48"/>
      <c r="AD15" s="93" t="s">
        <v>5</v>
      </c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89" t="s">
        <v>6</v>
      </c>
    </row>
    <row r="16" spans="1:43" s="13" customFormat="1" ht="25.9" customHeight="1" x14ac:dyDescent="0.25">
      <c r="A16" s="99"/>
      <c r="B16" s="94"/>
      <c r="C16" s="102"/>
      <c r="D16" s="104"/>
      <c r="E16" s="108"/>
      <c r="F16" s="108"/>
      <c r="G16" s="108"/>
      <c r="H16" s="108"/>
      <c r="I16" s="108"/>
      <c r="J16" s="108"/>
      <c r="K16" s="108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49"/>
      <c r="AD16" s="91" t="s">
        <v>7</v>
      </c>
      <c r="AE16" s="91"/>
      <c r="AF16" s="91" t="s">
        <v>8</v>
      </c>
      <c r="AG16" s="91"/>
      <c r="AH16" s="91" t="s">
        <v>8</v>
      </c>
      <c r="AI16" s="91"/>
      <c r="AJ16" s="91" t="s">
        <v>8</v>
      </c>
      <c r="AK16" s="91"/>
      <c r="AL16" s="91" t="s">
        <v>47</v>
      </c>
      <c r="AM16" s="91"/>
      <c r="AN16" s="92" t="s">
        <v>9</v>
      </c>
      <c r="AO16" s="92" t="s">
        <v>10</v>
      </c>
      <c r="AP16" s="92" t="s">
        <v>11</v>
      </c>
      <c r="AQ16" s="90"/>
    </row>
    <row r="17" spans="1:43" s="13" customFormat="1" ht="35.1" customHeight="1" x14ac:dyDescent="0.25">
      <c r="A17" s="99"/>
      <c r="B17" s="94"/>
      <c r="C17" s="102"/>
      <c r="D17" s="104"/>
      <c r="E17" s="105" t="s">
        <v>12</v>
      </c>
      <c r="F17" s="105"/>
      <c r="G17" s="105" t="s">
        <v>13</v>
      </c>
      <c r="H17" s="105"/>
      <c r="I17" s="105" t="s">
        <v>14</v>
      </c>
      <c r="J17" s="105"/>
      <c r="K17" s="105" t="s">
        <v>15</v>
      </c>
      <c r="L17" s="105"/>
      <c r="M17" s="105" t="s">
        <v>52</v>
      </c>
      <c r="N17" s="105"/>
      <c r="O17" s="105" t="s">
        <v>53</v>
      </c>
      <c r="P17" s="105"/>
      <c r="Q17" s="105" t="s">
        <v>54</v>
      </c>
      <c r="R17" s="105"/>
      <c r="S17" s="105" t="s">
        <v>55</v>
      </c>
      <c r="T17" s="105"/>
      <c r="U17" s="105" t="s">
        <v>56</v>
      </c>
      <c r="V17" s="105"/>
      <c r="W17" s="105" t="s">
        <v>61</v>
      </c>
      <c r="X17" s="105"/>
      <c r="Y17" s="105" t="s">
        <v>62</v>
      </c>
      <c r="Z17" s="105"/>
      <c r="AA17" s="105" t="s">
        <v>63</v>
      </c>
      <c r="AB17" s="105"/>
      <c r="AC17" s="78" t="s">
        <v>49</v>
      </c>
      <c r="AD17" s="94" t="s">
        <v>42</v>
      </c>
      <c r="AE17" s="94" t="s">
        <v>43</v>
      </c>
      <c r="AF17" s="78" t="s">
        <v>42</v>
      </c>
      <c r="AG17" s="78" t="s">
        <v>43</v>
      </c>
      <c r="AH17" s="78" t="s">
        <v>42</v>
      </c>
      <c r="AI17" s="78" t="s">
        <v>43</v>
      </c>
      <c r="AJ17" s="78" t="s">
        <v>42</v>
      </c>
      <c r="AK17" s="78" t="s">
        <v>43</v>
      </c>
      <c r="AL17" s="78" t="s">
        <v>42</v>
      </c>
      <c r="AM17" s="78" t="s">
        <v>43</v>
      </c>
      <c r="AN17" s="92"/>
      <c r="AO17" s="92"/>
      <c r="AP17" s="92"/>
      <c r="AQ17" s="90"/>
    </row>
    <row r="18" spans="1:43" s="13" customFormat="1" ht="48" customHeight="1" x14ac:dyDescent="0.25">
      <c r="A18" s="99"/>
      <c r="B18" s="94"/>
      <c r="C18" s="102"/>
      <c r="D18" s="104"/>
      <c r="E18" s="79" t="s">
        <v>16</v>
      </c>
      <c r="F18" s="77" t="s">
        <v>6</v>
      </c>
      <c r="G18" s="79" t="s">
        <v>16</v>
      </c>
      <c r="H18" s="77" t="s">
        <v>6</v>
      </c>
      <c r="I18" s="29" t="s">
        <v>16</v>
      </c>
      <c r="J18" s="77" t="s">
        <v>6</v>
      </c>
      <c r="K18" s="79" t="s">
        <v>16</v>
      </c>
      <c r="L18" s="77" t="s">
        <v>6</v>
      </c>
      <c r="M18" s="79" t="s">
        <v>16</v>
      </c>
      <c r="N18" s="77" t="s">
        <v>6</v>
      </c>
      <c r="O18" s="79" t="s">
        <v>16</v>
      </c>
      <c r="P18" s="77" t="s">
        <v>6</v>
      </c>
      <c r="Q18" s="79" t="s">
        <v>16</v>
      </c>
      <c r="R18" s="77" t="s">
        <v>6</v>
      </c>
      <c r="S18" s="79" t="s">
        <v>16</v>
      </c>
      <c r="T18" s="77" t="s">
        <v>6</v>
      </c>
      <c r="U18" s="79" t="s">
        <v>16</v>
      </c>
      <c r="V18" s="77" t="s">
        <v>6</v>
      </c>
      <c r="W18" s="79" t="s">
        <v>16</v>
      </c>
      <c r="X18" s="77" t="s">
        <v>6</v>
      </c>
      <c r="Y18" s="79" t="s">
        <v>16</v>
      </c>
      <c r="Z18" s="77" t="s">
        <v>6</v>
      </c>
      <c r="AA18" s="79" t="s">
        <v>16</v>
      </c>
      <c r="AB18" s="77" t="s">
        <v>6</v>
      </c>
      <c r="AC18" s="78" t="s">
        <v>41</v>
      </c>
      <c r="AD18" s="94"/>
      <c r="AE18" s="94"/>
      <c r="AF18" s="78" t="s">
        <v>44</v>
      </c>
      <c r="AG18" s="78" t="s">
        <v>44</v>
      </c>
      <c r="AH18" s="78" t="s">
        <v>45</v>
      </c>
      <c r="AI18" s="78" t="s">
        <v>45</v>
      </c>
      <c r="AJ18" s="78" t="s">
        <v>46</v>
      </c>
      <c r="AK18" s="78" t="s">
        <v>46</v>
      </c>
      <c r="AL18" s="78" t="s">
        <v>42</v>
      </c>
      <c r="AM18" s="78" t="s">
        <v>43</v>
      </c>
      <c r="AN18" s="92"/>
      <c r="AO18" s="92"/>
      <c r="AP18" s="92"/>
      <c r="AQ18" s="90"/>
    </row>
    <row r="19" spans="1:43" s="6" customFormat="1" ht="54.95" customHeight="1" x14ac:dyDescent="0.25">
      <c r="A19" s="36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7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>D20*3*31+D20*7</f>
        <v>7564</v>
      </c>
      <c r="K20" s="28">
        <v>4</v>
      </c>
      <c r="L20" s="26">
        <f>D20*3*30</f>
        <v>6807.6</v>
      </c>
      <c r="M20" s="28">
        <v>4</v>
      </c>
      <c r="N20" s="26">
        <f>D20*3*31</f>
        <v>7034.52</v>
      </c>
      <c r="O20" s="28">
        <v>4</v>
      </c>
      <c r="P20" s="26">
        <f>D20*3*30</f>
        <v>6807.6</v>
      </c>
      <c r="Q20" s="28">
        <v>4</v>
      </c>
      <c r="R20" s="26">
        <f>D20*3*31</f>
        <v>7034.52</v>
      </c>
      <c r="S20" s="28">
        <v>4</v>
      </c>
      <c r="T20" s="26">
        <f t="shared" ref="T20" si="1">D20*E20*31</f>
        <v>9379.36</v>
      </c>
      <c r="U20" s="28">
        <v>4</v>
      </c>
      <c r="V20" s="26">
        <f t="shared" ref="V20:V22" si="2">D20*E20*30</f>
        <v>9076.7999999999993</v>
      </c>
      <c r="W20" s="28">
        <v>4</v>
      </c>
      <c r="X20" s="26">
        <f t="shared" ref="X20:X22" si="3">D20*E20*31</f>
        <v>9379.36</v>
      </c>
      <c r="Y20" s="28">
        <v>4</v>
      </c>
      <c r="Z20" s="26">
        <f t="shared" ref="Z20:Z22" si="4">D20*E20*30</f>
        <v>9076.7999999999993</v>
      </c>
      <c r="AA20" s="28">
        <v>4</v>
      </c>
      <c r="AB20" s="26">
        <f t="shared" ref="AB20:AB22" si="5">D20*E20*31</f>
        <v>9379.36</v>
      </c>
      <c r="AC20" s="26">
        <f t="shared" ref="AC20:AC21" si="6">F20+H20+J20+L20+N20+P20+R20+T20+V20+X20+Z20+AB20</f>
        <v>99390.96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7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8">AJ20*4</f>
        <v>24000</v>
      </c>
      <c r="AL20" s="26">
        <f t="shared" ref="AL20:AM21" si="9">AF20+AH20+AJ20</f>
        <v>9000</v>
      </c>
      <c r="AM20" s="26">
        <f t="shared" si="9"/>
        <v>36000</v>
      </c>
      <c r="AN20" s="26">
        <f>(((L20+AD20+AH20+AJ20)/366)*182)</f>
        <v>7415.56</v>
      </c>
      <c r="AO20" s="26">
        <f t="shared" ref="AO20:AO22" si="10">(((AC20+AE20+AI20+AK20)/12))</f>
        <v>11054.25</v>
      </c>
      <c r="AP20" s="31">
        <f t="shared" ref="AP20:AP21" si="11">(((200/366)*182))*2</f>
        <v>198.91</v>
      </c>
      <c r="AQ20" s="37">
        <f t="shared" ref="AQ20:AQ22" si="12">AC20+AE20+AG20+AI20+AK20+AN20+AO20+AP20</f>
        <v>155319.67999999999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ref="J21" si="13">D21*E21*31</f>
        <v>13280.4</v>
      </c>
      <c r="K21" s="28">
        <v>6</v>
      </c>
      <c r="L21" s="26">
        <f t="shared" ref="L21:L22" si="14">D21*E21*30</f>
        <v>12852</v>
      </c>
      <c r="M21" s="28">
        <v>6</v>
      </c>
      <c r="N21" s="26">
        <f>D21*5*31</f>
        <v>11067</v>
      </c>
      <c r="O21" s="28">
        <v>6</v>
      </c>
      <c r="P21" s="26">
        <f>D21*4*30+D21*15</f>
        <v>9639</v>
      </c>
      <c r="Q21" s="28">
        <v>6</v>
      </c>
      <c r="R21" s="26">
        <f>D21*5*31+1071</f>
        <v>12138</v>
      </c>
      <c r="S21" s="28">
        <v>6</v>
      </c>
      <c r="T21" s="26">
        <f>D21*3*31+10067.4</f>
        <v>16707.599999999999</v>
      </c>
      <c r="U21" s="28">
        <v>6</v>
      </c>
      <c r="V21" s="26">
        <f t="shared" si="2"/>
        <v>12852</v>
      </c>
      <c r="W21" s="28">
        <v>6</v>
      </c>
      <c r="X21" s="26">
        <f t="shared" si="3"/>
        <v>13280.4</v>
      </c>
      <c r="Y21" s="28">
        <v>6</v>
      </c>
      <c r="Z21" s="26">
        <f t="shared" si="4"/>
        <v>12852</v>
      </c>
      <c r="AA21" s="28">
        <v>6</v>
      </c>
      <c r="AB21" s="26">
        <f t="shared" si="5"/>
        <v>13280.4</v>
      </c>
      <c r="AC21" s="26">
        <f t="shared" si="6"/>
        <v>153224.4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7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8"/>
        <v>36000</v>
      </c>
      <c r="AL21" s="26">
        <f t="shared" si="9"/>
        <v>13505</v>
      </c>
      <c r="AM21" s="26">
        <f t="shared" si="9"/>
        <v>54020</v>
      </c>
      <c r="AN21" s="26">
        <f t="shared" ref="AN21:AN22" si="15">(((L21+AD21+AH21+AJ21)/366)*182)</f>
        <v>12377.99</v>
      </c>
      <c r="AO21" s="26">
        <f t="shared" si="10"/>
        <v>16805.37</v>
      </c>
      <c r="AP21" s="31">
        <f t="shared" si="11"/>
        <v>198.91</v>
      </c>
      <c r="AQ21" s="37">
        <f t="shared" si="12"/>
        <v>237046.67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6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14"/>
        <v>4695</v>
      </c>
      <c r="M22" s="28">
        <v>2</v>
      </c>
      <c r="N22" s="26">
        <f t="shared" ref="N22" si="17">D22*E22*31</f>
        <v>4851.5</v>
      </c>
      <c r="O22" s="28">
        <v>2</v>
      </c>
      <c r="P22" s="26">
        <f t="shared" ref="P22" si="18">D22*E22*30</f>
        <v>4695</v>
      </c>
      <c r="Q22" s="28">
        <v>2</v>
      </c>
      <c r="R22" s="26">
        <f t="shared" ref="R22" si="19">D22*E22*31</f>
        <v>4851.5</v>
      </c>
      <c r="S22" s="28">
        <v>2</v>
      </c>
      <c r="T22" s="26">
        <f>D22*E22*31</f>
        <v>4851.5</v>
      </c>
      <c r="U22" s="28">
        <v>2</v>
      </c>
      <c r="V22" s="26">
        <f t="shared" si="2"/>
        <v>4695</v>
      </c>
      <c r="W22" s="28">
        <v>2</v>
      </c>
      <c r="X22" s="26">
        <f t="shared" si="3"/>
        <v>4851.5</v>
      </c>
      <c r="Y22" s="28">
        <v>2</v>
      </c>
      <c r="Z22" s="26">
        <f t="shared" si="4"/>
        <v>4695</v>
      </c>
      <c r="AA22" s="28">
        <v>2</v>
      </c>
      <c r="AB22" s="26">
        <f t="shared" si="5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7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8"/>
        <v>12000</v>
      </c>
      <c r="AL22" s="26">
        <f>AF22+AH22+AJ22</f>
        <v>3895</v>
      </c>
      <c r="AM22" s="26">
        <f>AG22+AI22+AK22</f>
        <v>15580</v>
      </c>
      <c r="AN22" s="26">
        <f t="shared" si="15"/>
        <v>4022.9</v>
      </c>
      <c r="AO22" s="26">
        <f t="shared" si="10"/>
        <v>5891.88</v>
      </c>
      <c r="AP22" s="31">
        <f>(((200/366)*182))*2</f>
        <v>198.91</v>
      </c>
      <c r="AQ22" s="37">
        <f t="shared" si="12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2">
        <f>SUM(E19:E22)</f>
        <v>14</v>
      </c>
      <c r="F23" s="54">
        <f>SUM(F19:F22)</f>
        <v>32138.32</v>
      </c>
      <c r="G23" s="28"/>
      <c r="H23" s="20">
        <f>SUM(H19:H22)</f>
        <v>29028.16</v>
      </c>
      <c r="I23" s="28"/>
      <c r="J23" s="54">
        <f>SUM(J19:J22)</f>
        <v>30322.959999999999</v>
      </c>
      <c r="K23" s="28"/>
      <c r="L23" s="54">
        <f>SUM(L19:L22)</f>
        <v>28832.400000000001</v>
      </c>
      <c r="M23" s="28"/>
      <c r="N23" s="54">
        <f>SUM(N19:N22)</f>
        <v>27580.080000000002</v>
      </c>
      <c r="O23" s="28"/>
      <c r="P23" s="54">
        <f>SUM(P19:P22)</f>
        <v>25619.4</v>
      </c>
      <c r="Q23" s="28"/>
      <c r="R23" s="54">
        <f>SUM(R19:R22)</f>
        <v>28651.08</v>
      </c>
      <c r="S23" s="28"/>
      <c r="T23" s="54">
        <f>SUM(T19:T22)</f>
        <v>35565.519999999997</v>
      </c>
      <c r="U23" s="28"/>
      <c r="V23" s="54">
        <f>SUM(V19:V22)</f>
        <v>27892.51</v>
      </c>
      <c r="W23" s="28"/>
      <c r="X23" s="54">
        <f>SUM(X19:X22)</f>
        <v>29824.79</v>
      </c>
      <c r="Y23" s="28"/>
      <c r="Z23" s="54">
        <f>SUM(Z19:Z22)</f>
        <v>30877.71</v>
      </c>
      <c r="AA23" s="28"/>
      <c r="AB23" s="54">
        <f>SUM(AB19:AB22)</f>
        <v>32138.32</v>
      </c>
      <c r="AC23" s="20">
        <f>SUM(AC19:AC22)</f>
        <v>358471.25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28061.03</v>
      </c>
      <c r="AO23" s="17">
        <f>SUM(AO19:AO22)</f>
        <v>39198.620000000003</v>
      </c>
      <c r="AP23" s="17">
        <f>SUM(AP19:AP22)</f>
        <v>795.64</v>
      </c>
      <c r="AQ23" s="24">
        <f>SUM(AQ19:AQ22)</f>
        <v>552438.54</v>
      </c>
    </row>
    <row r="24" spans="1:43" ht="54.95" customHeight="1" x14ac:dyDescent="0.25">
      <c r="A24" s="7">
        <v>1</v>
      </c>
      <c r="B24" s="16" t="s">
        <v>28</v>
      </c>
      <c r="C24" s="83" t="s">
        <v>67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7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2">
        <f>SUM(E24:E24)</f>
        <v>3</v>
      </c>
      <c r="F25" s="54">
        <f>SUM(F24:F24)</f>
        <v>6940.59</v>
      </c>
      <c r="G25" s="28"/>
      <c r="H25" s="20">
        <f>SUM(H24:H24)</f>
        <v>6268.92</v>
      </c>
      <c r="I25" s="28"/>
      <c r="J25" s="54">
        <f>SUM(J24:J24)</f>
        <v>6940.59</v>
      </c>
      <c r="K25" s="28"/>
      <c r="L25" s="54">
        <f>SUM(L24:L24)</f>
        <v>6716.7</v>
      </c>
      <c r="M25" s="28"/>
      <c r="N25" s="54">
        <f>SUM(N24:N24)</f>
        <v>6940.59</v>
      </c>
      <c r="O25" s="28"/>
      <c r="P25" s="54">
        <f>SUM(P24:P24)</f>
        <v>6716.7</v>
      </c>
      <c r="Q25" s="28"/>
      <c r="R25" s="54">
        <f>SUM(R24:R24)</f>
        <v>6940.59</v>
      </c>
      <c r="S25" s="28"/>
      <c r="T25" s="54">
        <f>SUM(T24:T24)</f>
        <v>6940.59</v>
      </c>
      <c r="U25" s="28"/>
      <c r="V25" s="54">
        <f>SUM(V24:V24)</f>
        <v>6716.7</v>
      </c>
      <c r="W25" s="28"/>
      <c r="X25" s="54">
        <f>SUM(X24:X24)</f>
        <v>6940.59</v>
      </c>
      <c r="Y25" s="28"/>
      <c r="Z25" s="54">
        <f>SUM(Z24:Z24)</f>
        <v>10149.68</v>
      </c>
      <c r="AA25" s="28"/>
      <c r="AB25" s="54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80">
        <v>14</v>
      </c>
      <c r="P26" s="26">
        <f>D26*13*30</f>
        <v>29499.599999999999</v>
      </c>
      <c r="Q26" s="61">
        <v>14</v>
      </c>
      <c r="R26" s="26">
        <f>D26*13*31</f>
        <v>30482.92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381906.36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41325.53</v>
      </c>
      <c r="AP26" s="31">
        <f>(((200/365)*120))*14</f>
        <v>920.55</v>
      </c>
      <c r="AQ26" s="37">
        <f>AC26+AE26+AG26+AI26+AK26+AN26+AO26+AP26</f>
        <v>582122.17000000004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>D27*E27*31+D27*29</f>
        <v>6791.33</v>
      </c>
      <c r="K27" s="80">
        <v>2</v>
      </c>
      <c r="L27" s="26">
        <f>D27*3*30</f>
        <v>6716.7</v>
      </c>
      <c r="M27" s="80">
        <v>2</v>
      </c>
      <c r="N27" s="26">
        <f>D27*3*31</f>
        <v>6940.59</v>
      </c>
      <c r="O27" s="80">
        <v>2</v>
      </c>
      <c r="P27" s="26">
        <f>D27*3*30</f>
        <v>6716.7</v>
      </c>
      <c r="Q27" s="61">
        <v>2</v>
      </c>
      <c r="R27" s="26">
        <f>D27*E27*31+2313.53</f>
        <v>6940.59</v>
      </c>
      <c r="S27" s="28">
        <v>2</v>
      </c>
      <c r="T27" s="26">
        <f t="shared" ref="T27:T45" si="27">D27*E27*31</f>
        <v>4627.0600000000004</v>
      </c>
      <c r="U27" s="28">
        <v>2</v>
      </c>
      <c r="V27" s="26">
        <f t="shared" ref="V27:V45" si="28">D27*E27*30</f>
        <v>4477.8</v>
      </c>
      <c r="W27" s="28">
        <v>2</v>
      </c>
      <c r="X27" s="26">
        <f t="shared" ref="X27:X45" si="29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0">D27*E27*31</f>
        <v>4627.0600000000004</v>
      </c>
      <c r="AC27" s="26">
        <f t="shared" ref="AC27:AC41" si="31">F27+H27+J27+L27+N27+P27+R27+T27+V27+X27+Z27+AB27</f>
        <v>67987.929999999993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2">AH27*4</f>
        <v>6048</v>
      </c>
      <c r="AJ27" s="25">
        <f>1500*3</f>
        <v>4500</v>
      </c>
      <c r="AK27" s="25">
        <f t="shared" ref="AK27:AK41" si="33">AJ27*4</f>
        <v>18000</v>
      </c>
      <c r="AL27" s="26">
        <f t="shared" ref="AL27:AM41" si="34">AF27+AH27+AJ27</f>
        <v>6762</v>
      </c>
      <c r="AM27" s="26">
        <f t="shared" si="34"/>
        <v>27048</v>
      </c>
      <c r="AN27" s="26">
        <f t="shared" si="24"/>
        <v>6329.57</v>
      </c>
      <c r="AO27" s="26">
        <f t="shared" si="25"/>
        <v>7669.66</v>
      </c>
      <c r="AP27" s="31">
        <f>(((200/365)*120))*3</f>
        <v>197.26</v>
      </c>
      <c r="AQ27" s="37">
        <f t="shared" ref="AQ27:AQ40" si="35">AC27+AE27+AG27+AI27+AK27+AN27+AO27+AP27</f>
        <v>109232.42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>D28*8*31</f>
        <v>17707.2</v>
      </c>
      <c r="K28" s="80">
        <v>7</v>
      </c>
      <c r="L28" s="26">
        <f>D28*8*30</f>
        <v>17136</v>
      </c>
      <c r="M28" s="80">
        <v>7</v>
      </c>
      <c r="N28" s="26">
        <f>D28*8*31</f>
        <v>17707.2</v>
      </c>
      <c r="O28" s="80">
        <v>7</v>
      </c>
      <c r="P28" s="26">
        <f>D28*8*30</f>
        <v>17136</v>
      </c>
      <c r="Q28" s="61">
        <v>7</v>
      </c>
      <c r="R28" s="26">
        <f>D28*E28*31+2213.4</f>
        <v>17707.2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1"/>
        <v>192918.05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2"/>
        <v>19788</v>
      </c>
      <c r="AJ28" s="25">
        <f>1500*9</f>
        <v>13500</v>
      </c>
      <c r="AK28" s="25">
        <f>AJ28*4</f>
        <v>54000</v>
      </c>
      <c r="AL28" s="26">
        <f t="shared" si="34"/>
        <v>20697</v>
      </c>
      <c r="AM28" s="26">
        <f t="shared" si="34"/>
        <v>94038</v>
      </c>
      <c r="AN28" s="26">
        <f t="shared" si="24"/>
        <v>17818.599999999999</v>
      </c>
      <c r="AO28" s="26">
        <f t="shared" si="25"/>
        <v>22308.84</v>
      </c>
      <c r="AP28" s="31">
        <f>(((200/365)*120))*9</f>
        <v>591.78</v>
      </c>
      <c r="AQ28" s="37">
        <f t="shared" si="35"/>
        <v>328675.27</v>
      </c>
    </row>
    <row r="29" spans="1:43" ht="54.95" customHeight="1" x14ac:dyDescent="0.25">
      <c r="A29" s="7"/>
      <c r="B29" s="16" t="s">
        <v>29</v>
      </c>
      <c r="C29" s="51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ref="J29:J41" si="36">D29*E29*31</f>
        <v>11243.7</v>
      </c>
      <c r="K29" s="28">
        <v>5</v>
      </c>
      <c r="L29" s="26">
        <f t="shared" ref="L29:L41" si="37">D29*E29*30</f>
        <v>10881</v>
      </c>
      <c r="M29" s="28">
        <v>5</v>
      </c>
      <c r="N29" s="26">
        <f t="shared" ref="N29:N43" si="38">D29*E29*31</f>
        <v>11243.7</v>
      </c>
      <c r="O29" s="28">
        <v>5</v>
      </c>
      <c r="P29" s="26">
        <f>D29*E29*30</f>
        <v>10881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39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1"/>
        <v>132385.5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0">AF29*4</f>
        <v>6000</v>
      </c>
      <c r="AH29" s="25">
        <f>532+567+567+567+532+567</f>
        <v>3332</v>
      </c>
      <c r="AI29" s="25">
        <f t="shared" si="32"/>
        <v>13328</v>
      </c>
      <c r="AJ29" s="25">
        <f>1500*6</f>
        <v>9000</v>
      </c>
      <c r="AK29" s="25">
        <f>AJ29*4</f>
        <v>36000</v>
      </c>
      <c r="AL29" s="26">
        <f t="shared" si="34"/>
        <v>13832</v>
      </c>
      <c r="AM29" s="26">
        <f t="shared" si="34"/>
        <v>55328</v>
      </c>
      <c r="AN29" s="26">
        <f t="shared" si="24"/>
        <v>11567.94</v>
      </c>
      <c r="AO29" s="26">
        <f t="shared" si="25"/>
        <v>15159.46</v>
      </c>
      <c r="AP29" s="31">
        <f>(((200/365)*120))*6</f>
        <v>394.52</v>
      </c>
      <c r="AQ29" s="37">
        <f t="shared" si="35"/>
        <v>215035.42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1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36"/>
        <v>8994.9599999999991</v>
      </c>
      <c r="K30" s="28">
        <v>4</v>
      </c>
      <c r="L30" s="26">
        <f t="shared" si="37"/>
        <v>8704.7999999999993</v>
      </c>
      <c r="M30" s="28">
        <v>4</v>
      </c>
      <c r="N30" s="26">
        <f t="shared" si="38"/>
        <v>8994.9599999999991</v>
      </c>
      <c r="O30" s="28">
        <v>4</v>
      </c>
      <c r="P30" s="26">
        <f t="shared" ref="P30:P40" si="42">D30*E30*30</f>
        <v>8704.7999999999993</v>
      </c>
      <c r="Q30" s="28">
        <v>4</v>
      </c>
      <c r="R30" s="26">
        <f t="shared" ref="R30:R39" si="43">D30*E30*31</f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39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1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0"/>
        <v>4000</v>
      </c>
      <c r="AH30" s="25">
        <f>532+567+567+567</f>
        <v>2233</v>
      </c>
      <c r="AI30" s="25">
        <f t="shared" si="32"/>
        <v>8932</v>
      </c>
      <c r="AJ30" s="25">
        <f>1500*4</f>
        <v>6000</v>
      </c>
      <c r="AK30" s="25">
        <f>AJ30*4</f>
        <v>24000</v>
      </c>
      <c r="AL30" s="26">
        <f t="shared" si="34"/>
        <v>9233</v>
      </c>
      <c r="AM30" s="26">
        <f t="shared" si="34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7">
        <f t="shared" si="35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1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36"/>
        <v>2213.4</v>
      </c>
      <c r="K31" s="28">
        <v>1</v>
      </c>
      <c r="L31" s="26">
        <f t="shared" si="37"/>
        <v>2142</v>
      </c>
      <c r="M31" s="28">
        <v>1</v>
      </c>
      <c r="N31" s="26">
        <f t="shared" si="38"/>
        <v>2213.4</v>
      </c>
      <c r="O31" s="28">
        <v>1</v>
      </c>
      <c r="P31" s="26">
        <f t="shared" si="42"/>
        <v>2142</v>
      </c>
      <c r="Q31" s="28">
        <v>1</v>
      </c>
      <c r="R31" s="26">
        <f t="shared" si="43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39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1"/>
        <v>26061</v>
      </c>
      <c r="AD31" s="25">
        <v>0</v>
      </c>
      <c r="AE31" s="25">
        <v>0</v>
      </c>
      <c r="AF31" s="25">
        <v>250</v>
      </c>
      <c r="AG31" s="25">
        <f t="shared" si="40"/>
        <v>1000</v>
      </c>
      <c r="AH31" s="25">
        <v>601</v>
      </c>
      <c r="AI31" s="25">
        <f t="shared" si="32"/>
        <v>2404</v>
      </c>
      <c r="AJ31" s="25">
        <v>1500</v>
      </c>
      <c r="AK31" s="25">
        <f>1500*4</f>
        <v>6000</v>
      </c>
      <c r="AL31" s="26">
        <f t="shared" si="34"/>
        <v>2351</v>
      </c>
      <c r="AM31" s="26">
        <f t="shared" si="34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7">
        <f t="shared" si="35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36"/>
        <v>4627.0600000000004</v>
      </c>
      <c r="K32" s="80">
        <v>2</v>
      </c>
      <c r="L32" s="26">
        <f>D32*1*30</f>
        <v>2238.9</v>
      </c>
      <c r="M32" s="80">
        <v>2</v>
      </c>
      <c r="N32" s="26">
        <f>D32*1*31</f>
        <v>2313.5300000000002</v>
      </c>
      <c r="O32" s="80">
        <v>2</v>
      </c>
      <c r="P32" s="26">
        <f>D32*1*30</f>
        <v>2238.9</v>
      </c>
      <c r="Q32" s="61">
        <v>2</v>
      </c>
      <c r="R32" s="26">
        <f>D32*1*31</f>
        <v>2313.5300000000002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39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1"/>
        <v>45375.040000000001</v>
      </c>
      <c r="AD32" s="25">
        <v>50</v>
      </c>
      <c r="AE32" s="25">
        <f>AD32*4</f>
        <v>200</v>
      </c>
      <c r="AF32" s="25">
        <f>250*2</f>
        <v>500</v>
      </c>
      <c r="AG32" s="25">
        <f t="shared" si="40"/>
        <v>2000</v>
      </c>
      <c r="AH32" s="25">
        <f>504+500</f>
        <v>1004</v>
      </c>
      <c r="AI32" s="25">
        <f t="shared" si="32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4"/>
        <v>4504</v>
      </c>
      <c r="AM32" s="26">
        <f t="shared" si="34"/>
        <v>18016</v>
      </c>
      <c r="AN32" s="26">
        <f t="shared" si="24"/>
        <v>3129.26</v>
      </c>
      <c r="AO32" s="26">
        <f t="shared" si="25"/>
        <v>5132.59</v>
      </c>
      <c r="AP32" s="31">
        <f>(((200/365)*120))*2</f>
        <v>131.51</v>
      </c>
      <c r="AQ32" s="37">
        <f t="shared" si="35"/>
        <v>71984.399999999994</v>
      </c>
    </row>
    <row r="33" spans="1:43" ht="54.95" customHeight="1" x14ac:dyDescent="0.25">
      <c r="A33" s="7"/>
      <c r="B33" s="16" t="s">
        <v>29</v>
      </c>
      <c r="C33" s="14" t="s">
        <v>65</v>
      </c>
      <c r="D33" s="70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36"/>
        <v>2344.84</v>
      </c>
      <c r="K33" s="28">
        <v>1</v>
      </c>
      <c r="L33" s="26">
        <f t="shared" si="37"/>
        <v>2269.1999999999998</v>
      </c>
      <c r="M33" s="28">
        <v>1</v>
      </c>
      <c r="N33" s="26">
        <f t="shared" si="38"/>
        <v>2344.84</v>
      </c>
      <c r="O33" s="28">
        <v>1</v>
      </c>
      <c r="P33" s="26">
        <f>D33*O33*30</f>
        <v>2269.1999999999998</v>
      </c>
      <c r="Q33" s="28">
        <v>1</v>
      </c>
      <c r="R33" s="26">
        <f t="shared" si="43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1"/>
        <v>25263.759999999998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7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1"/>
        <v>4748.58</v>
      </c>
      <c r="G34" s="28">
        <v>2</v>
      </c>
      <c r="H34" s="26">
        <f>D34*1*28</f>
        <v>2144.52</v>
      </c>
      <c r="I34" s="28">
        <v>2</v>
      </c>
      <c r="J34" s="26">
        <f>D34*1*31</f>
        <v>2374.29</v>
      </c>
      <c r="K34" s="28">
        <v>2</v>
      </c>
      <c r="L34" s="26">
        <f>D34*1*30</f>
        <v>2297.6999999999998</v>
      </c>
      <c r="M34" s="28">
        <v>2</v>
      </c>
      <c r="N34" s="26">
        <f>D34*1*31</f>
        <v>2374.29</v>
      </c>
      <c r="O34" s="80">
        <v>2</v>
      </c>
      <c r="P34" s="26">
        <f>D34*1*30</f>
        <v>2297.6999999999998</v>
      </c>
      <c r="Q34" s="61">
        <v>2</v>
      </c>
      <c r="R34" s="26">
        <f>D34*1*31</f>
        <v>2374.29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39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1"/>
        <v>42047.91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0"/>
        <v>2000</v>
      </c>
      <c r="AH34" s="25">
        <f>500+500</f>
        <v>1000</v>
      </c>
      <c r="AI34" s="25">
        <f t="shared" si="32"/>
        <v>4000</v>
      </c>
      <c r="AJ34" s="25">
        <f>1500*2</f>
        <v>3000</v>
      </c>
      <c r="AK34" s="25">
        <f t="shared" si="47"/>
        <v>12000</v>
      </c>
      <c r="AL34" s="26">
        <f t="shared" si="34"/>
        <v>4500</v>
      </c>
      <c r="AM34" s="26">
        <f t="shared" si="34"/>
        <v>18000</v>
      </c>
      <c r="AN34" s="26">
        <f t="shared" si="24"/>
        <v>3156.51</v>
      </c>
      <c r="AO34" s="26">
        <f t="shared" si="25"/>
        <v>4853.99</v>
      </c>
      <c r="AP34" s="31">
        <f>(((200/365)*120))*2</f>
        <v>131.51</v>
      </c>
      <c r="AQ34" s="37">
        <f t="shared" si="35"/>
        <v>68389.919999999998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1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36"/>
        <v>2281.29</v>
      </c>
      <c r="K35" s="28">
        <v>1</v>
      </c>
      <c r="L35" s="26">
        <f>D35*1*30</f>
        <v>2207.6999999999998</v>
      </c>
      <c r="M35" s="28">
        <v>1</v>
      </c>
      <c r="N35" s="26">
        <f t="shared" si="38"/>
        <v>2281.29</v>
      </c>
      <c r="O35" s="28">
        <v>1</v>
      </c>
      <c r="P35" s="26">
        <f t="shared" si="42"/>
        <v>2207.6999999999998</v>
      </c>
      <c r="Q35" s="28">
        <v>1</v>
      </c>
      <c r="R35" s="26">
        <f t="shared" si="43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39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1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0"/>
        <v>1000</v>
      </c>
      <c r="AH35" s="25">
        <f>500</f>
        <v>500</v>
      </c>
      <c r="AI35" s="25">
        <f t="shared" si="32"/>
        <v>2000</v>
      </c>
      <c r="AJ35" s="25">
        <v>1500</v>
      </c>
      <c r="AK35" s="25">
        <f t="shared" si="47"/>
        <v>6000</v>
      </c>
      <c r="AL35" s="26">
        <f t="shared" si="34"/>
        <v>2250</v>
      </c>
      <c r="AM35" s="26">
        <f t="shared" si="34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7">
        <f t="shared" si="35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80">
        <v>1</v>
      </c>
      <c r="F36" s="26">
        <v>0</v>
      </c>
      <c r="G36" s="28">
        <v>1</v>
      </c>
      <c r="H36" s="26">
        <v>0</v>
      </c>
      <c r="I36" s="28">
        <v>1</v>
      </c>
      <c r="J36" s="26">
        <v>0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61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39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1"/>
        <v>2313.5300000000002</v>
      </c>
      <c r="AD36" s="25">
        <v>75</v>
      </c>
      <c r="AE36" s="25">
        <f>AD36*4</f>
        <v>300</v>
      </c>
      <c r="AF36" s="25">
        <v>250</v>
      </c>
      <c r="AG36" s="25">
        <f t="shared" si="40"/>
        <v>1000</v>
      </c>
      <c r="AH36" s="25">
        <v>500</v>
      </c>
      <c r="AI36" s="25">
        <f t="shared" si="32"/>
        <v>2000</v>
      </c>
      <c r="AJ36" s="25">
        <v>1500</v>
      </c>
      <c r="AK36" s="25">
        <f t="shared" si="47"/>
        <v>6000</v>
      </c>
      <c r="AL36" s="26">
        <f t="shared" si="34"/>
        <v>2250</v>
      </c>
      <c r="AM36" s="26">
        <f t="shared" si="34"/>
        <v>9000</v>
      </c>
      <c r="AN36" s="26">
        <f t="shared" si="24"/>
        <v>1031.83</v>
      </c>
      <c r="AO36" s="26">
        <f t="shared" si="25"/>
        <v>884.46</v>
      </c>
      <c r="AP36" s="31">
        <f>(((200/365)*120))*1</f>
        <v>65.75</v>
      </c>
      <c r="AQ36" s="37">
        <f t="shared" si="35"/>
        <v>13595.57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1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36"/>
        <v>4851.5</v>
      </c>
      <c r="K37" s="28">
        <v>2</v>
      </c>
      <c r="L37" s="26">
        <f t="shared" si="37"/>
        <v>4695</v>
      </c>
      <c r="M37" s="28">
        <v>2</v>
      </c>
      <c r="N37" s="26">
        <f t="shared" si="38"/>
        <v>4851.5</v>
      </c>
      <c r="O37" s="80">
        <v>2</v>
      </c>
      <c r="P37" s="26">
        <f>D37*2*30</f>
        <v>4695</v>
      </c>
      <c r="Q37" s="61">
        <v>2</v>
      </c>
      <c r="R37" s="26">
        <f>D37*2*31</f>
        <v>4851.5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39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1"/>
        <v>57122.5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0"/>
        <v>2000</v>
      </c>
      <c r="AH37" s="25">
        <f>500*2</f>
        <v>1000</v>
      </c>
      <c r="AI37" s="25">
        <f t="shared" si="32"/>
        <v>4000</v>
      </c>
      <c r="AJ37" s="25">
        <f>1500*2</f>
        <v>3000</v>
      </c>
      <c r="AK37" s="25">
        <f t="shared" si="47"/>
        <v>12000</v>
      </c>
      <c r="AL37" s="26">
        <f t="shared" si="34"/>
        <v>4500</v>
      </c>
      <c r="AM37" s="26">
        <f t="shared" si="34"/>
        <v>18000</v>
      </c>
      <c r="AN37" s="26">
        <f t="shared" si="24"/>
        <v>4323.74</v>
      </c>
      <c r="AO37" s="26">
        <f t="shared" si="25"/>
        <v>6093.54</v>
      </c>
      <c r="AP37" s="31">
        <f>(((200/365)*120))*2</f>
        <v>131.51</v>
      </c>
      <c r="AQ37" s="37">
        <f t="shared" si="35"/>
        <v>85671.29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1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36"/>
        <v>2281.29</v>
      </c>
      <c r="K38" s="28">
        <v>1</v>
      </c>
      <c r="L38" s="26">
        <f t="shared" si="37"/>
        <v>2207.6999999999998</v>
      </c>
      <c r="M38" s="28">
        <v>1</v>
      </c>
      <c r="N38" s="26">
        <f t="shared" si="38"/>
        <v>2281.29</v>
      </c>
      <c r="O38" s="28">
        <v>1</v>
      </c>
      <c r="P38" s="26">
        <f t="shared" si="42"/>
        <v>2207.6999999999998</v>
      </c>
      <c r="Q38" s="28">
        <v>1</v>
      </c>
      <c r="R38" s="26">
        <f t="shared" si="43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39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1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0"/>
        <v>1000</v>
      </c>
      <c r="AH38" s="25">
        <v>500</v>
      </c>
      <c r="AI38" s="25">
        <f t="shared" si="32"/>
        <v>2000</v>
      </c>
      <c r="AJ38" s="25">
        <v>1500</v>
      </c>
      <c r="AK38" s="25">
        <f t="shared" si="47"/>
        <v>6000</v>
      </c>
      <c r="AL38" s="26">
        <f t="shared" si="34"/>
        <v>2250</v>
      </c>
      <c r="AM38" s="26">
        <f t="shared" si="34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7">
        <f t="shared" si="35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1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36"/>
        <v>2344.84</v>
      </c>
      <c r="K39" s="28">
        <v>1</v>
      </c>
      <c r="L39" s="26">
        <f t="shared" si="37"/>
        <v>2269.1999999999998</v>
      </c>
      <c r="M39" s="28">
        <v>1</v>
      </c>
      <c r="N39" s="26">
        <f t="shared" si="38"/>
        <v>2344.84</v>
      </c>
      <c r="O39" s="28">
        <v>1</v>
      </c>
      <c r="P39" s="26">
        <f t="shared" si="42"/>
        <v>2269.1999999999998</v>
      </c>
      <c r="Q39" s="28">
        <v>1</v>
      </c>
      <c r="R39" s="26">
        <f t="shared" si="43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39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1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0"/>
        <v>1000</v>
      </c>
      <c r="AH39" s="25">
        <v>500</v>
      </c>
      <c r="AI39" s="25">
        <f t="shared" si="32"/>
        <v>2000</v>
      </c>
      <c r="AJ39" s="25">
        <v>1500</v>
      </c>
      <c r="AK39" s="25">
        <f t="shared" si="47"/>
        <v>6000</v>
      </c>
      <c r="AL39" s="26">
        <f t="shared" si="34"/>
        <v>2250</v>
      </c>
      <c r="AM39" s="26">
        <f t="shared" si="34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7">
        <f t="shared" si="35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1"/>
        <v>2425.75</v>
      </c>
      <c r="G40" s="28">
        <v>1</v>
      </c>
      <c r="H40" s="26">
        <f>D40*E40*28</f>
        <v>2191</v>
      </c>
      <c r="I40" s="28">
        <v>1</v>
      </c>
      <c r="J40" s="26">
        <f t="shared" si="36"/>
        <v>2425.75</v>
      </c>
      <c r="K40" s="28">
        <v>1</v>
      </c>
      <c r="L40" s="26">
        <f t="shared" si="37"/>
        <v>2347.5</v>
      </c>
      <c r="M40" s="28">
        <v>1</v>
      </c>
      <c r="N40" s="26">
        <f t="shared" si="38"/>
        <v>2425.75</v>
      </c>
      <c r="O40" s="28">
        <v>1</v>
      </c>
      <c r="P40" s="26">
        <f t="shared" si="42"/>
        <v>2347.5</v>
      </c>
      <c r="Q40" s="28">
        <v>1</v>
      </c>
      <c r="R40" s="26">
        <f>D40*E40*31+3599.5</f>
        <v>6025.25</v>
      </c>
      <c r="S40" s="28">
        <v>1</v>
      </c>
      <c r="T40" s="26">
        <f t="shared" si="27"/>
        <v>2425.75</v>
      </c>
      <c r="U40" s="28">
        <v>1</v>
      </c>
      <c r="V40" s="26">
        <f t="shared" si="28"/>
        <v>2347.5</v>
      </c>
      <c r="W40" s="28">
        <v>1</v>
      </c>
      <c r="X40" s="26">
        <f t="shared" si="29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0"/>
        <v>2425.75</v>
      </c>
      <c r="AC40" s="26">
        <f t="shared" si="31"/>
        <v>32160.75</v>
      </c>
      <c r="AD40" s="25">
        <v>0</v>
      </c>
      <c r="AE40" s="25">
        <v>0</v>
      </c>
      <c r="AF40" s="25">
        <f>250</f>
        <v>250</v>
      </c>
      <c r="AG40" s="25">
        <f t="shared" si="40"/>
        <v>1000</v>
      </c>
      <c r="AH40" s="25">
        <f>500</f>
        <v>500</v>
      </c>
      <c r="AI40" s="25">
        <f t="shared" si="32"/>
        <v>2000</v>
      </c>
      <c r="AJ40" s="25">
        <f>1500</f>
        <v>1500</v>
      </c>
      <c r="AK40" s="25">
        <f t="shared" si="33"/>
        <v>6000</v>
      </c>
      <c r="AL40" s="26">
        <f t="shared" si="34"/>
        <v>2250</v>
      </c>
      <c r="AM40" s="26">
        <f t="shared" si="34"/>
        <v>9000</v>
      </c>
      <c r="AN40" s="26">
        <f t="shared" si="24"/>
        <v>2161.87</v>
      </c>
      <c r="AO40" s="26">
        <f t="shared" si="25"/>
        <v>3346.73</v>
      </c>
      <c r="AP40" s="31">
        <f>(((200/365)*120))*1</f>
        <v>65.75</v>
      </c>
      <c r="AQ40" s="37">
        <f t="shared" si="35"/>
        <v>46735.1</v>
      </c>
    </row>
    <row r="41" spans="1:43" ht="54.95" customHeight="1" x14ac:dyDescent="0.25">
      <c r="A41" s="7"/>
      <c r="B41" s="16" t="s">
        <v>29</v>
      </c>
      <c r="C41" s="71" t="s">
        <v>66</v>
      </c>
      <c r="D41" s="72">
        <v>72.540000000000006</v>
      </c>
      <c r="E41" s="28">
        <v>1</v>
      </c>
      <c r="F41" s="26">
        <f t="shared" si="41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36"/>
        <v>2248.7399999999998</v>
      </c>
      <c r="K41" s="28">
        <v>1</v>
      </c>
      <c r="L41" s="26">
        <f t="shared" si="37"/>
        <v>2176.1999999999998</v>
      </c>
      <c r="M41" s="28">
        <v>1</v>
      </c>
      <c r="N41" s="26">
        <f t="shared" si="38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28"/>
        <v>2176.1999999999998</v>
      </c>
      <c r="W41" s="28">
        <v>1</v>
      </c>
      <c r="X41" s="26">
        <f t="shared" si="29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0"/>
        <v>2248.7399999999998</v>
      </c>
      <c r="AC41" s="26">
        <f t="shared" si="31"/>
        <v>26477.1</v>
      </c>
      <c r="AD41" s="25">
        <v>0</v>
      </c>
      <c r="AE41" s="25">
        <v>0</v>
      </c>
      <c r="AF41" s="25">
        <f>250</f>
        <v>250</v>
      </c>
      <c r="AG41" s="25">
        <f t="shared" si="40"/>
        <v>1000</v>
      </c>
      <c r="AH41" s="25">
        <f>500</f>
        <v>500</v>
      </c>
      <c r="AI41" s="25">
        <f t="shared" si="32"/>
        <v>2000</v>
      </c>
      <c r="AJ41" s="25">
        <f>1500</f>
        <v>1500</v>
      </c>
      <c r="AK41" s="25">
        <f t="shared" si="33"/>
        <v>6000</v>
      </c>
      <c r="AL41" s="26">
        <f t="shared" si="34"/>
        <v>2250</v>
      </c>
      <c r="AM41" s="26">
        <f t="shared" si="34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7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73"/>
      <c r="D42" s="27"/>
      <c r="E42" s="52">
        <f>SUM(E26:E41)</f>
        <v>46</v>
      </c>
      <c r="F42" s="54">
        <f>SUM(F26:F41)</f>
        <v>103554.57</v>
      </c>
      <c r="G42" s="28"/>
      <c r="H42" s="54">
        <f>SUM(H26:H41)</f>
        <v>93245.04</v>
      </c>
      <c r="I42" s="28"/>
      <c r="J42" s="54">
        <f>SUM(J26:J41)</f>
        <v>105557.95</v>
      </c>
      <c r="K42" s="28"/>
      <c r="L42" s="54">
        <f>SUM(L26:L41)</f>
        <v>100058.4</v>
      </c>
      <c r="M42" s="28"/>
      <c r="N42" s="54">
        <f>SUM(N26:N41)</f>
        <v>103393.68</v>
      </c>
      <c r="O42" s="28"/>
      <c r="P42" s="54">
        <f>SUM(P26:P41)</f>
        <v>97789.2</v>
      </c>
      <c r="Q42" s="28"/>
      <c r="R42" s="54">
        <f>SUM(R26:R41)</f>
        <v>104648.34</v>
      </c>
      <c r="S42" s="28"/>
      <c r="T42" s="54">
        <f>SUM(T26:T41)</f>
        <v>103554.57</v>
      </c>
      <c r="U42" s="28"/>
      <c r="V42" s="54">
        <f>SUM(V26:V41)</f>
        <v>98072.1</v>
      </c>
      <c r="W42" s="74"/>
      <c r="X42" s="54">
        <f>SUM(X26:X41)</f>
        <v>103589.91</v>
      </c>
      <c r="Y42" s="28"/>
      <c r="Z42" s="54">
        <f>SUM(Z26:Z41)</f>
        <v>102238.8</v>
      </c>
      <c r="AA42" s="28"/>
      <c r="AB42" s="54">
        <f>SUM(AB26:AB41)</f>
        <v>103554.57</v>
      </c>
      <c r="AC42" s="54">
        <f>SUM(AC26:AC41)</f>
        <v>1219257.1299999999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68560.509999999995</v>
      </c>
      <c r="AO42" s="17">
        <f t="shared" si="49"/>
        <v>91625.25</v>
      </c>
      <c r="AP42" s="17">
        <f>SUM(AP26:AP41)</f>
        <v>3221.9</v>
      </c>
      <c r="AQ42" s="24">
        <f>SUM(AQ27:AQ41)</f>
        <v>1308240.1200000001</v>
      </c>
    </row>
    <row r="43" spans="1:43" ht="54.95" customHeight="1" x14ac:dyDescent="0.25">
      <c r="A43" s="7"/>
      <c r="B43" s="16" t="s">
        <v>57</v>
      </c>
      <c r="C43" s="14" t="s">
        <v>60</v>
      </c>
      <c r="D43" s="60">
        <v>80.86</v>
      </c>
      <c r="E43" s="62">
        <v>5</v>
      </c>
      <c r="F43" s="26">
        <f>D43*E43*31</f>
        <v>12533.3</v>
      </c>
      <c r="G43" s="62">
        <v>5</v>
      </c>
      <c r="H43" s="26">
        <f>D43*E43*28</f>
        <v>11320.4</v>
      </c>
      <c r="I43" s="62">
        <v>5</v>
      </c>
      <c r="J43" s="26">
        <f>D43*E43*31</f>
        <v>12533.3</v>
      </c>
      <c r="K43" s="62">
        <v>5</v>
      </c>
      <c r="L43" s="26">
        <f>D43*E43*30</f>
        <v>12129</v>
      </c>
      <c r="M43" s="62">
        <v>5</v>
      </c>
      <c r="N43" s="26">
        <f t="shared" si="38"/>
        <v>12533.3</v>
      </c>
      <c r="O43" s="62">
        <v>5</v>
      </c>
      <c r="P43" s="26">
        <f>D43*E43*30</f>
        <v>12129</v>
      </c>
      <c r="Q43" s="62">
        <v>5</v>
      </c>
      <c r="R43" s="26">
        <f>D43*2*31+D43*3*15</f>
        <v>8652.02</v>
      </c>
      <c r="S43" s="62">
        <v>5</v>
      </c>
      <c r="T43" s="26">
        <f t="shared" si="27"/>
        <v>12533.3</v>
      </c>
      <c r="U43" s="62">
        <v>5</v>
      </c>
      <c r="V43" s="26">
        <f t="shared" si="28"/>
        <v>12129</v>
      </c>
      <c r="W43" s="62">
        <v>5</v>
      </c>
      <c r="X43" s="26">
        <f t="shared" si="29"/>
        <v>12533.3</v>
      </c>
      <c r="Y43" s="62">
        <v>5</v>
      </c>
      <c r="Z43" s="26">
        <f>D43*E43*30</f>
        <v>12129</v>
      </c>
      <c r="AA43" s="62">
        <v>5</v>
      </c>
      <c r="AB43" s="26">
        <f t="shared" si="30"/>
        <v>12533.3</v>
      </c>
      <c r="AC43" s="26">
        <f>F43+H43+J43+L43+N43+P43+R43+T43+V43+X43+Z43+AB43</f>
        <v>143688.22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12599.02</v>
      </c>
      <c r="AP43" s="31">
        <f t="shared" ref="AP43:AP44" si="53">(((200/366)*182))*2</f>
        <v>198.91</v>
      </c>
      <c r="AQ43" s="37">
        <f>AC43+AE43+AG43+AI43+AK43+AN43+AO43+AP43</f>
        <v>172013.41</v>
      </c>
    </row>
    <row r="44" spans="1:43" ht="54.95" customHeight="1" x14ac:dyDescent="0.25">
      <c r="A44" s="7"/>
      <c r="B44" s="16" t="s">
        <v>57</v>
      </c>
      <c r="C44" s="14" t="s">
        <v>59</v>
      </c>
      <c r="D44" s="60">
        <v>71.400000000000006</v>
      </c>
      <c r="E44" s="62">
        <v>1</v>
      </c>
      <c r="F44" s="26">
        <f>D44*1*31</f>
        <v>2213.4</v>
      </c>
      <c r="G44" s="62">
        <v>2</v>
      </c>
      <c r="H44" s="26">
        <f t="shared" ref="H44:H45" si="54">D44*E44*28</f>
        <v>1999.2</v>
      </c>
      <c r="I44" s="62">
        <v>2</v>
      </c>
      <c r="J44" s="26">
        <f>D44*E44*31</f>
        <v>2213.4</v>
      </c>
      <c r="K44" s="81">
        <v>2</v>
      </c>
      <c r="L44" s="26">
        <f>D44*1*30</f>
        <v>2142</v>
      </c>
      <c r="M44" s="81">
        <v>2</v>
      </c>
      <c r="N44" s="26">
        <f>D44*E44*31</f>
        <v>2213.4</v>
      </c>
      <c r="O44" s="62">
        <v>2</v>
      </c>
      <c r="P44" s="26">
        <f>D44*1*30</f>
        <v>2142</v>
      </c>
      <c r="Q44" s="75">
        <v>2</v>
      </c>
      <c r="R44" s="26">
        <f>D44*1*31+D44*1*16</f>
        <v>3355.8</v>
      </c>
      <c r="S44" s="62">
        <v>2</v>
      </c>
      <c r="T44" s="26">
        <f t="shared" si="27"/>
        <v>2213.4</v>
      </c>
      <c r="U44" s="62">
        <v>2</v>
      </c>
      <c r="V44" s="26">
        <f t="shared" si="28"/>
        <v>2142</v>
      </c>
      <c r="W44" s="62">
        <v>2</v>
      </c>
      <c r="X44" s="26">
        <f t="shared" si="29"/>
        <v>2213.4</v>
      </c>
      <c r="Y44" s="62">
        <v>2</v>
      </c>
      <c r="Z44" s="26">
        <f>D44*1*30</f>
        <v>2142</v>
      </c>
      <c r="AA44" s="62">
        <v>2</v>
      </c>
      <c r="AB44" s="26">
        <f>D44*1*31</f>
        <v>2213.4</v>
      </c>
      <c r="AC44" s="26">
        <f t="shared" ref="AC44" si="55">F44+H44+J44+L44+N44+P44+R44+T44+V44+X44+Z44+AB44</f>
        <v>27203.4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2516.9499999999998</v>
      </c>
      <c r="AP44" s="31">
        <f t="shared" si="53"/>
        <v>198.91</v>
      </c>
      <c r="AQ44" s="37">
        <f t="shared" ref="AQ44" si="57">AC44+AE44+AG44+AI44+AK44+AN44+AO44+AP44</f>
        <v>35230.31</v>
      </c>
    </row>
    <row r="45" spans="1:43" ht="54.95" customHeight="1" x14ac:dyDescent="0.25">
      <c r="A45" s="7"/>
      <c r="B45" s="16" t="s">
        <v>57</v>
      </c>
      <c r="C45" s="14" t="s">
        <v>58</v>
      </c>
      <c r="D45" s="60">
        <v>75.64</v>
      </c>
      <c r="E45" s="62">
        <v>2</v>
      </c>
      <c r="F45" s="26">
        <f>D45*E45*31</f>
        <v>4689.68</v>
      </c>
      <c r="G45" s="62">
        <v>2</v>
      </c>
      <c r="H45" s="26">
        <f t="shared" si="54"/>
        <v>4235.84</v>
      </c>
      <c r="I45" s="62">
        <v>2</v>
      </c>
      <c r="J45" s="26">
        <f>D45*2*31</f>
        <v>4689.68</v>
      </c>
      <c r="K45" s="81">
        <v>2</v>
      </c>
      <c r="L45" s="26">
        <f>D45*2*30</f>
        <v>4538.3999999999996</v>
      </c>
      <c r="M45" s="81">
        <v>2</v>
      </c>
      <c r="N45" s="26">
        <f>D45*2*31</f>
        <v>4689.68</v>
      </c>
      <c r="O45" s="62">
        <v>2</v>
      </c>
      <c r="P45" s="26">
        <f>D45*2*30</f>
        <v>4538.3999999999996</v>
      </c>
      <c r="Q45" s="75">
        <v>2</v>
      </c>
      <c r="R45" s="26">
        <f>D45*2*31</f>
        <v>4689.68</v>
      </c>
      <c r="S45" s="62">
        <v>2</v>
      </c>
      <c r="T45" s="26">
        <f t="shared" si="27"/>
        <v>4689.68</v>
      </c>
      <c r="U45" s="62">
        <v>2</v>
      </c>
      <c r="V45" s="26">
        <f t="shared" si="28"/>
        <v>4538.3999999999996</v>
      </c>
      <c r="W45" s="62">
        <v>2</v>
      </c>
      <c r="X45" s="26">
        <f t="shared" si="29"/>
        <v>4689.68</v>
      </c>
      <c r="Y45" s="62">
        <v>2</v>
      </c>
      <c r="Z45" s="26">
        <f t="shared" ref="Z45" si="58">D45*E45*30</f>
        <v>4538.3999999999996</v>
      </c>
      <c r="AA45" s="62">
        <v>2</v>
      </c>
      <c r="AB45" s="26">
        <f t="shared" si="30"/>
        <v>4689.68</v>
      </c>
      <c r="AC45" s="26">
        <f>F45+H45+J45+L45+N45+P45+R45+T45+V45+X45+Z45+AB45</f>
        <v>55217.2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>AG45+AI45+AK45</f>
        <v>3500</v>
      </c>
      <c r="AN45" s="26">
        <f t="shared" si="56"/>
        <v>3002.7</v>
      </c>
      <c r="AO45" s="26">
        <f t="shared" si="52"/>
        <v>4851.43</v>
      </c>
      <c r="AP45" s="31">
        <f>(((200/366)*182))*2</f>
        <v>198.91</v>
      </c>
      <c r="AQ45" s="37">
        <f>AC45+AE45+AG45+AI45+AK45+AN45+AO45+AP45</f>
        <v>66770.240000000005</v>
      </c>
    </row>
    <row r="46" spans="1:43" ht="54.95" customHeight="1" x14ac:dyDescent="0.25">
      <c r="A46" s="7"/>
      <c r="B46" s="16"/>
      <c r="C46" s="14"/>
      <c r="D46" s="27"/>
      <c r="E46" s="52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19436.38</v>
      </c>
      <c r="K46" s="28"/>
      <c r="L46" s="22">
        <f>SUM(L43:L45)</f>
        <v>18809.400000000001</v>
      </c>
      <c r="M46" s="28"/>
      <c r="N46" s="22">
        <f>SUM(N43:N45)</f>
        <v>19436.38</v>
      </c>
      <c r="O46" s="28"/>
      <c r="P46" s="22">
        <f>SUM(P43:P45)</f>
        <v>18809.400000000001</v>
      </c>
      <c r="Q46" s="28"/>
      <c r="R46" s="22">
        <f>SUM(R43:R45)</f>
        <v>16697.5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226108.82</v>
      </c>
      <c r="AD46" s="20">
        <f t="shared" ref="AD46:AM47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11591.01</v>
      </c>
      <c r="AO46" s="20">
        <f>SUM(AO43:AO45)</f>
        <v>19967.400000000001</v>
      </c>
      <c r="AP46" s="20">
        <f>SUM(AP43:AP45)</f>
        <v>596.73</v>
      </c>
      <c r="AQ46" s="76">
        <f>SUM(AQ43:AQ45)</f>
        <v>274013.96000000002</v>
      </c>
    </row>
    <row r="47" spans="1:43" ht="54.95" customHeight="1" x14ac:dyDescent="0.25">
      <c r="A47" s="7"/>
      <c r="B47" s="16" t="s">
        <v>68</v>
      </c>
      <c r="C47" s="84" t="s">
        <v>58</v>
      </c>
      <c r="D47" s="85">
        <v>75.64</v>
      </c>
      <c r="E47" s="86">
        <v>1</v>
      </c>
      <c r="F47" s="87">
        <v>0</v>
      </c>
      <c r="G47" s="88">
        <v>1</v>
      </c>
      <c r="H47" s="87">
        <v>0</v>
      </c>
      <c r="I47" s="88">
        <v>1</v>
      </c>
      <c r="J47" s="87">
        <v>0</v>
      </c>
      <c r="K47" s="88">
        <v>1</v>
      </c>
      <c r="L47" s="87">
        <v>0</v>
      </c>
      <c r="M47" s="88">
        <v>1</v>
      </c>
      <c r="N47" s="87">
        <v>0</v>
      </c>
      <c r="O47" s="88">
        <v>1</v>
      </c>
      <c r="P47" s="87">
        <v>0</v>
      </c>
      <c r="Q47" s="88">
        <v>1</v>
      </c>
      <c r="R47" s="87">
        <f>D47*1*31</f>
        <v>2344.84</v>
      </c>
      <c r="S47" s="88">
        <v>1</v>
      </c>
      <c r="T47" s="87">
        <f>D47*1*31</f>
        <v>2344.84</v>
      </c>
      <c r="U47" s="88">
        <v>1</v>
      </c>
      <c r="V47" s="87">
        <f>D47*1*30</f>
        <v>2269.1999999999998</v>
      </c>
      <c r="W47" s="88">
        <v>1</v>
      </c>
      <c r="X47" s="87">
        <f>D47*1*31</f>
        <v>2344.84</v>
      </c>
      <c r="Y47" s="88">
        <v>1</v>
      </c>
      <c r="Z47" s="87">
        <f>D47*1*30</f>
        <v>2269.1999999999998</v>
      </c>
      <c r="AA47" s="88">
        <v>1</v>
      </c>
      <c r="AB47" s="87">
        <f>D47*1*31</f>
        <v>2344.84</v>
      </c>
      <c r="AC47" s="26">
        <f>F47+H47+J47+L47+N47+P47+R47+T47+V47+X47+Z47+AB47</f>
        <v>13917.76</v>
      </c>
      <c r="AD47" s="26">
        <v>0</v>
      </c>
      <c r="AE47" s="26">
        <v>0</v>
      </c>
      <c r="AF47" s="26">
        <f t="shared" si="59"/>
        <v>250</v>
      </c>
      <c r="AG47" s="26">
        <f>AF47*1</f>
        <v>250</v>
      </c>
      <c r="AH47" s="26">
        <v>0</v>
      </c>
      <c r="AI47" s="26">
        <f>AH47*1</f>
        <v>0</v>
      </c>
      <c r="AJ47" s="26">
        <v>1500</v>
      </c>
      <c r="AK47" s="26">
        <f>AJ47*1</f>
        <v>1500</v>
      </c>
      <c r="AL47" s="26">
        <f>AF47+AH47+AJ47</f>
        <v>1750</v>
      </c>
      <c r="AM47" s="26">
        <f>AG47+AI47+AK47</f>
        <v>1750</v>
      </c>
      <c r="AN47" s="26">
        <f>(((L47+AD47+AH47+AJ47)/366)*182)</f>
        <v>745.9</v>
      </c>
      <c r="AO47" s="26">
        <f>(((AC47+AE47+AI47+AK47)/12))</f>
        <v>1284.81</v>
      </c>
      <c r="AP47" s="31">
        <f>(((200/366)*182))*1</f>
        <v>99.45</v>
      </c>
      <c r="AQ47" s="37">
        <f>AC47+AE47+AG47+AI47+AK47+AN47+AO47+AP47</f>
        <v>17797.919999999998</v>
      </c>
    </row>
    <row r="48" spans="1:43" ht="54.95" customHeight="1" x14ac:dyDescent="0.25">
      <c r="A48" s="7"/>
      <c r="B48" s="16"/>
      <c r="C48" s="14"/>
      <c r="D48" s="27"/>
      <c r="E48" s="52">
        <f>SUM(E47)</f>
        <v>1</v>
      </c>
      <c r="F48" s="22">
        <f>SUM(F47)</f>
        <v>0</v>
      </c>
      <c r="G48" s="28"/>
      <c r="H48" s="22">
        <f>SUM(H47)</f>
        <v>0</v>
      </c>
      <c r="I48" s="28"/>
      <c r="J48" s="22">
        <f>SUM(J47)</f>
        <v>0</v>
      </c>
      <c r="K48" s="28"/>
      <c r="L48" s="22">
        <f>SUM(L47)</f>
        <v>0</v>
      </c>
      <c r="M48" s="28"/>
      <c r="N48" s="22">
        <f>SUM(N47)</f>
        <v>0</v>
      </c>
      <c r="O48" s="28"/>
      <c r="P48" s="22">
        <f>SUM(P47)</f>
        <v>0</v>
      </c>
      <c r="Q48" s="28"/>
      <c r="R48" s="22">
        <f>SUM(R47)</f>
        <v>2344.84</v>
      </c>
      <c r="S48" s="28"/>
      <c r="T48" s="22">
        <f>SUM(T47)</f>
        <v>2344.84</v>
      </c>
      <c r="U48" s="28"/>
      <c r="V48" s="22">
        <f>SUM(V47)</f>
        <v>2269.1999999999998</v>
      </c>
      <c r="W48" s="28"/>
      <c r="X48" s="22">
        <f>SUM(X47)</f>
        <v>2344.84</v>
      </c>
      <c r="Y48" s="28"/>
      <c r="Z48" s="22">
        <f>SUM(Z47)</f>
        <v>2269.1999999999998</v>
      </c>
      <c r="AA48" s="28"/>
      <c r="AB48" s="22">
        <f t="shared" ref="AB48:AQ48" si="60">SUM(AB47)</f>
        <v>2344.84</v>
      </c>
      <c r="AC48" s="20">
        <f t="shared" si="60"/>
        <v>13917.76</v>
      </c>
      <c r="AD48" s="22">
        <f t="shared" si="60"/>
        <v>0</v>
      </c>
      <c r="AE48" s="22">
        <f t="shared" si="60"/>
        <v>0</v>
      </c>
      <c r="AF48" s="22">
        <f t="shared" si="60"/>
        <v>250</v>
      </c>
      <c r="AG48" s="22">
        <f t="shared" si="60"/>
        <v>250</v>
      </c>
      <c r="AH48" s="22">
        <f t="shared" si="60"/>
        <v>0</v>
      </c>
      <c r="AI48" s="22">
        <f t="shared" si="60"/>
        <v>0</v>
      </c>
      <c r="AJ48" s="22">
        <f t="shared" si="60"/>
        <v>1500</v>
      </c>
      <c r="AK48" s="22">
        <f t="shared" si="60"/>
        <v>1500</v>
      </c>
      <c r="AL48" s="22">
        <f t="shared" si="60"/>
        <v>1750</v>
      </c>
      <c r="AM48" s="22">
        <f t="shared" si="60"/>
        <v>1750</v>
      </c>
      <c r="AN48" s="22">
        <f t="shared" si="60"/>
        <v>745.9</v>
      </c>
      <c r="AO48" s="22">
        <f t="shared" si="60"/>
        <v>1284.81</v>
      </c>
      <c r="AP48" s="22">
        <f t="shared" si="60"/>
        <v>99.45</v>
      </c>
      <c r="AQ48" s="22">
        <f t="shared" si="60"/>
        <v>17797.919999999998</v>
      </c>
    </row>
    <row r="49" spans="1:43" ht="54.95" customHeight="1" x14ac:dyDescent="0.25">
      <c r="A49" s="7"/>
      <c r="B49" s="19"/>
      <c r="C49" s="53" t="s">
        <v>48</v>
      </c>
      <c r="D49" s="27"/>
      <c r="E49" s="28">
        <f>E23+E25+E42+E46+E48</f>
        <v>72</v>
      </c>
      <c r="F49" s="21">
        <f>F23+F25+F42+F46+F48</f>
        <v>162069.85999999999</v>
      </c>
      <c r="G49" s="21"/>
      <c r="H49" s="21">
        <f>H23+H25+H42+H46+H48</f>
        <v>146097.56</v>
      </c>
      <c r="I49" s="21"/>
      <c r="J49" s="21">
        <f>J23+J25+J42+J46+J48</f>
        <v>162257.88</v>
      </c>
      <c r="K49" s="21"/>
      <c r="L49" s="21">
        <f>L23+L25+L42+L46+L48</f>
        <v>154416.9</v>
      </c>
      <c r="M49" s="21"/>
      <c r="N49" s="21">
        <f>N23+N25+N42+N46+N48</f>
        <v>157350.73000000001</v>
      </c>
      <c r="O49" s="21"/>
      <c r="P49" s="21">
        <f>P23+P25+P42+P46+P48</f>
        <v>148934.70000000001</v>
      </c>
      <c r="Q49" s="21"/>
      <c r="R49" s="21">
        <f>R23+R25+R42+R46+R48</f>
        <v>159282.35</v>
      </c>
      <c r="S49" s="21"/>
      <c r="T49" s="21">
        <f>T23+T25+T42+T46+T48</f>
        <v>167841.9</v>
      </c>
      <c r="U49" s="21"/>
      <c r="V49" s="21">
        <f>V23+V25+V42+V46+V48</f>
        <v>153759.91</v>
      </c>
      <c r="W49" s="21"/>
      <c r="X49" s="21">
        <f>X23+X25+X42+X46+X48</f>
        <v>162136.51</v>
      </c>
      <c r="Y49" s="21"/>
      <c r="Z49" s="21">
        <f>Z23+Z25+Z42+Z46+Z48</f>
        <v>164344.79</v>
      </c>
      <c r="AA49" s="21"/>
      <c r="AB49" s="21">
        <f t="shared" ref="AB49:AQ49" si="61">AB23+AB25+AB42+AB46+AB48</f>
        <v>164414.70000000001</v>
      </c>
      <c r="AC49" s="21">
        <f t="shared" si="61"/>
        <v>1902907.79</v>
      </c>
      <c r="AD49" s="21">
        <f t="shared" si="61"/>
        <v>1115</v>
      </c>
      <c r="AE49" s="21">
        <f t="shared" si="61"/>
        <v>5980</v>
      </c>
      <c r="AF49" s="21">
        <f t="shared" si="61"/>
        <v>14250</v>
      </c>
      <c r="AG49" s="21">
        <f t="shared" si="61"/>
        <v>67000</v>
      </c>
      <c r="AH49" s="21">
        <f t="shared" si="61"/>
        <v>28049</v>
      </c>
      <c r="AI49" s="21">
        <f t="shared" si="61"/>
        <v>112196</v>
      </c>
      <c r="AJ49" s="21">
        <f t="shared" si="61"/>
        <v>85500</v>
      </c>
      <c r="AK49" s="21">
        <f t="shared" si="61"/>
        <v>334500</v>
      </c>
      <c r="AL49" s="21">
        <f t="shared" si="61"/>
        <v>127799</v>
      </c>
      <c r="AM49" s="21">
        <f t="shared" si="61"/>
        <v>513696</v>
      </c>
      <c r="AN49" s="21">
        <f t="shared" si="61"/>
        <v>118371.08</v>
      </c>
      <c r="AO49" s="21">
        <f t="shared" si="61"/>
        <v>163242.82</v>
      </c>
      <c r="AP49" s="21">
        <f t="shared" si="61"/>
        <v>4912.63</v>
      </c>
      <c r="AQ49" s="21">
        <f t="shared" si="61"/>
        <v>2313269.65</v>
      </c>
    </row>
    <row r="50" spans="1:43" x14ac:dyDescent="0.25">
      <c r="A50" s="38"/>
      <c r="B50" s="32"/>
      <c r="C50" s="82"/>
      <c r="D50" s="33"/>
      <c r="E50" s="34"/>
      <c r="F50" s="33"/>
      <c r="G50" s="34"/>
      <c r="H50" s="33"/>
      <c r="I50" s="35"/>
      <c r="J50" s="33"/>
      <c r="K50" s="34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3"/>
      <c r="AO50" s="33"/>
      <c r="AP50" s="33"/>
      <c r="AQ50" s="39"/>
    </row>
    <row r="51" spans="1:43" ht="21.75" thickBot="1" x14ac:dyDescent="0.4">
      <c r="A51" s="40" t="s">
        <v>17</v>
      </c>
      <c r="B51" s="41"/>
      <c r="C51" s="42"/>
      <c r="D51" s="43"/>
      <c r="E51" s="44"/>
      <c r="F51" s="43"/>
      <c r="G51" s="44"/>
      <c r="H51" s="43"/>
      <c r="I51" s="45"/>
      <c r="J51" s="43"/>
      <c r="K51" s="44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3"/>
      <c r="AO51" s="43"/>
      <c r="AP51" s="46"/>
      <c r="AQ51" s="47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VÁSQUEZ JUÁREZ JOSÉ ANDRÉS</cp:lastModifiedBy>
  <cp:lastPrinted>2024-05-02T22:20:54Z</cp:lastPrinted>
  <dcterms:created xsi:type="dcterms:W3CDTF">2022-03-31T18:56:32Z</dcterms:created>
  <dcterms:modified xsi:type="dcterms:W3CDTF">2025-08-20T17:55:36Z</dcterms:modified>
</cp:coreProperties>
</file>