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8. Agosto\17 TER AGOSTO\"/>
    </mc:Choice>
  </mc:AlternateContent>
  <xr:revisionPtr revIDLastSave="0" documentId="13_ncr:1_{C607E858-B3DE-4E5B-A6FC-0D0CA0A27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B&quot;" sheetId="1" r:id="rId1"/>
  </sheets>
  <definedNames>
    <definedName name="_xlnm.Print_Area" localSheetId="0">'Literal "B"'!$A$1:$AQ$53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6" i="1" l="1"/>
  <c r="F56" i="1"/>
  <c r="E56" i="1"/>
  <c r="AP55" i="1"/>
  <c r="AL55" i="1"/>
  <c r="AK55" i="1"/>
  <c r="AJ55" i="1"/>
  <c r="AI55" i="1"/>
  <c r="AF55" i="1"/>
  <c r="AG55" i="1" s="1"/>
  <c r="AM55" i="1" s="1"/>
  <c r="AD55" i="1"/>
  <c r="AE55" i="1" s="1"/>
  <c r="AB55" i="1"/>
  <c r="Z55" i="1"/>
  <c r="AN55" i="1" s="1"/>
  <c r="X55" i="1"/>
  <c r="V55" i="1"/>
  <c r="T55" i="1"/>
  <c r="R55" i="1"/>
  <c r="P55" i="1"/>
  <c r="N55" i="1"/>
  <c r="L55" i="1"/>
  <c r="J55" i="1"/>
  <c r="H55" i="1"/>
  <c r="F55" i="1"/>
  <c r="AC55" i="1" s="1"/>
  <c r="AP54" i="1"/>
  <c r="AL54" i="1"/>
  <c r="AK54" i="1"/>
  <c r="AJ54" i="1"/>
  <c r="AI54" i="1"/>
  <c r="AH54" i="1"/>
  <c r="AG54" i="1"/>
  <c r="AM54" i="1" s="1"/>
  <c r="AF54" i="1"/>
  <c r="AE54" i="1"/>
  <c r="AD54" i="1"/>
  <c r="AB54" i="1"/>
  <c r="Z54" i="1"/>
  <c r="AN54" i="1" s="1"/>
  <c r="X54" i="1"/>
  <c r="V54" i="1"/>
  <c r="T54" i="1"/>
  <c r="R54" i="1"/>
  <c r="P54" i="1"/>
  <c r="N54" i="1"/>
  <c r="AC54" i="1" s="1"/>
  <c r="L54" i="1"/>
  <c r="J54" i="1"/>
  <c r="H54" i="1"/>
  <c r="F54" i="1"/>
  <c r="AP53" i="1"/>
  <c r="AP56" i="1" s="1"/>
  <c r="AJ53" i="1"/>
  <c r="AJ56" i="1" s="1"/>
  <c r="AH53" i="1"/>
  <c r="AH56" i="1" s="1"/>
  <c r="AF53" i="1"/>
  <c r="AF56" i="1" s="1"/>
  <c r="AE53" i="1"/>
  <c r="AD53" i="1"/>
  <c r="AD56" i="1" s="1"/>
  <c r="AB53" i="1"/>
  <c r="AB56" i="1" s="1"/>
  <c r="Z53" i="1"/>
  <c r="AN53" i="1" s="1"/>
  <c r="X53" i="1"/>
  <c r="X56" i="1" s="1"/>
  <c r="V53" i="1"/>
  <c r="V56" i="1" s="1"/>
  <c r="T53" i="1"/>
  <c r="T56" i="1" s="1"/>
  <c r="R53" i="1"/>
  <c r="R56" i="1" s="1"/>
  <c r="P53" i="1"/>
  <c r="P56" i="1" s="1"/>
  <c r="N53" i="1"/>
  <c r="N56" i="1" s="1"/>
  <c r="L53" i="1"/>
  <c r="L56" i="1" s="1"/>
  <c r="J53" i="1"/>
  <c r="H53" i="1"/>
  <c r="H56" i="1" s="1"/>
  <c r="F53" i="1"/>
  <c r="AJ52" i="1"/>
  <c r="AI52" i="1"/>
  <c r="AH52" i="1"/>
  <c r="AF52" i="1"/>
  <c r="R52" i="1"/>
  <c r="P52" i="1"/>
  <c r="N52" i="1"/>
  <c r="L52" i="1"/>
  <c r="J52" i="1"/>
  <c r="H52" i="1"/>
  <c r="F52" i="1"/>
  <c r="E52" i="1"/>
  <c r="AP51" i="1"/>
  <c r="AP52" i="1" s="1"/>
  <c r="AM51" i="1"/>
  <c r="AM52" i="1" s="1"/>
  <c r="AL51" i="1"/>
  <c r="AL52" i="1" s="1"/>
  <c r="AK51" i="1"/>
  <c r="AK52" i="1" s="1"/>
  <c r="AG51" i="1"/>
  <c r="AG52" i="1" s="1"/>
  <c r="AE51" i="1"/>
  <c r="AE52" i="1" s="1"/>
  <c r="AD51" i="1"/>
  <c r="AD52" i="1" s="1"/>
  <c r="AB51" i="1"/>
  <c r="AB52" i="1" s="1"/>
  <c r="Z51" i="1"/>
  <c r="AC51" i="1" s="1"/>
  <c r="X51" i="1"/>
  <c r="X52" i="1" s="1"/>
  <c r="V51" i="1"/>
  <c r="V52" i="1" s="1"/>
  <c r="T51" i="1"/>
  <c r="T52" i="1" s="1"/>
  <c r="AP50" i="1"/>
  <c r="AE50" i="1"/>
  <c r="AD50" i="1"/>
  <c r="AB50" i="1"/>
  <c r="V50" i="1"/>
  <c r="T50" i="1"/>
  <c r="R50" i="1"/>
  <c r="J50" i="1"/>
  <c r="H50" i="1"/>
  <c r="F50" i="1"/>
  <c r="E50" i="1"/>
  <c r="AP49" i="1"/>
  <c r="AK49" i="1"/>
  <c r="AK50" i="1" s="1"/>
  <c r="AJ49" i="1"/>
  <c r="AJ50" i="1" s="1"/>
  <c r="AH49" i="1"/>
  <c r="AI49" i="1" s="1"/>
  <c r="AI50" i="1" s="1"/>
  <c r="AF49" i="1"/>
  <c r="AG49" i="1" s="1"/>
  <c r="AE49" i="1"/>
  <c r="AD49" i="1"/>
  <c r="AB49" i="1"/>
  <c r="Z49" i="1"/>
  <c r="Z50" i="1" s="1"/>
  <c r="X49" i="1"/>
  <c r="X50" i="1" s="1"/>
  <c r="V49" i="1"/>
  <c r="T49" i="1"/>
  <c r="R49" i="1"/>
  <c r="P49" i="1"/>
  <c r="P50" i="1" s="1"/>
  <c r="N49" i="1"/>
  <c r="N50" i="1" s="1"/>
  <c r="L49" i="1"/>
  <c r="L50" i="1" s="1"/>
  <c r="J49" i="1"/>
  <c r="H49" i="1"/>
  <c r="F49" i="1"/>
  <c r="E48" i="1"/>
  <c r="AP47" i="1"/>
  <c r="AJ47" i="1"/>
  <c r="AK47" i="1" s="1"/>
  <c r="AH47" i="1"/>
  <c r="AN47" i="1" s="1"/>
  <c r="AF47" i="1"/>
  <c r="AG47" i="1" s="1"/>
  <c r="AB47" i="1"/>
  <c r="Z47" i="1"/>
  <c r="X47" i="1"/>
  <c r="V47" i="1"/>
  <c r="T47" i="1"/>
  <c r="R47" i="1"/>
  <c r="P47" i="1"/>
  <c r="N47" i="1"/>
  <c r="L47" i="1"/>
  <c r="J47" i="1"/>
  <c r="H47" i="1"/>
  <c r="F47" i="1"/>
  <c r="AC47" i="1" s="1"/>
  <c r="AP46" i="1"/>
  <c r="AN46" i="1"/>
  <c r="AK46" i="1"/>
  <c r="AJ46" i="1"/>
  <c r="AI46" i="1"/>
  <c r="AH46" i="1"/>
  <c r="AG46" i="1"/>
  <c r="AF46" i="1"/>
  <c r="AL46" i="1" s="1"/>
  <c r="AC46" i="1"/>
  <c r="AO46" i="1" s="1"/>
  <c r="AB46" i="1"/>
  <c r="Z46" i="1"/>
  <c r="X46" i="1"/>
  <c r="V46" i="1"/>
  <c r="T46" i="1"/>
  <c r="R46" i="1"/>
  <c r="AP45" i="1"/>
  <c r="AL45" i="1"/>
  <c r="AK45" i="1"/>
  <c r="AJ45" i="1"/>
  <c r="AI45" i="1"/>
  <c r="AH45" i="1"/>
  <c r="AF45" i="1"/>
  <c r="AG45" i="1" s="1"/>
  <c r="AM45" i="1" s="1"/>
  <c r="AD45" i="1"/>
  <c r="AE45" i="1" s="1"/>
  <c r="AB45" i="1"/>
  <c r="Z45" i="1"/>
  <c r="X45" i="1"/>
  <c r="V45" i="1"/>
  <c r="T45" i="1"/>
  <c r="R45" i="1"/>
  <c r="P45" i="1"/>
  <c r="N45" i="1"/>
  <c r="L45" i="1"/>
  <c r="J45" i="1"/>
  <c r="H45" i="1"/>
  <c r="AC45" i="1" s="1"/>
  <c r="F45" i="1"/>
  <c r="AP44" i="1"/>
  <c r="AN44" i="1"/>
  <c r="AL44" i="1"/>
  <c r="AK44" i="1"/>
  <c r="AJ44" i="1"/>
  <c r="AI44" i="1"/>
  <c r="AH44" i="1"/>
  <c r="AG44" i="1"/>
  <c r="AM44" i="1" s="1"/>
  <c r="AF44" i="1"/>
  <c r="AE44" i="1"/>
  <c r="AD44" i="1"/>
  <c r="AB44" i="1"/>
  <c r="Z44" i="1"/>
  <c r="X44" i="1"/>
  <c r="V44" i="1"/>
  <c r="T44" i="1"/>
  <c r="R44" i="1"/>
  <c r="P44" i="1"/>
  <c r="N44" i="1"/>
  <c r="L44" i="1"/>
  <c r="J44" i="1"/>
  <c r="H44" i="1"/>
  <c r="F44" i="1"/>
  <c r="AC44" i="1" s="1"/>
  <c r="AP43" i="1"/>
  <c r="AJ43" i="1"/>
  <c r="AN43" i="1" s="1"/>
  <c r="AH43" i="1"/>
  <c r="AI43" i="1" s="1"/>
  <c r="AF43" i="1"/>
  <c r="AL43" i="1" s="1"/>
  <c r="AD43" i="1"/>
  <c r="AE43" i="1" s="1"/>
  <c r="AB43" i="1"/>
  <c r="Z43" i="1"/>
  <c r="X43" i="1"/>
  <c r="V43" i="1"/>
  <c r="T43" i="1"/>
  <c r="R43" i="1"/>
  <c r="P43" i="1"/>
  <c r="N43" i="1"/>
  <c r="L43" i="1"/>
  <c r="J43" i="1"/>
  <c r="H43" i="1"/>
  <c r="F43" i="1"/>
  <c r="AC43" i="1" s="1"/>
  <c r="AP42" i="1"/>
  <c r="AM42" i="1"/>
  <c r="AK42" i="1"/>
  <c r="AJ42" i="1"/>
  <c r="AI42" i="1"/>
  <c r="AH42" i="1"/>
  <c r="AG42" i="1"/>
  <c r="AF42" i="1"/>
  <c r="AL42" i="1" s="1"/>
  <c r="AD42" i="1"/>
  <c r="AE42" i="1" s="1"/>
  <c r="AB42" i="1"/>
  <c r="Z42" i="1"/>
  <c r="AN42" i="1" s="1"/>
  <c r="X42" i="1"/>
  <c r="V42" i="1"/>
  <c r="T42" i="1"/>
  <c r="R42" i="1"/>
  <c r="P42" i="1"/>
  <c r="N42" i="1"/>
  <c r="L42" i="1"/>
  <c r="J42" i="1"/>
  <c r="H42" i="1"/>
  <c r="F42" i="1"/>
  <c r="AC42" i="1" s="1"/>
  <c r="AP41" i="1"/>
  <c r="AL41" i="1"/>
  <c r="AJ41" i="1"/>
  <c r="AN41" i="1" s="1"/>
  <c r="AH41" i="1"/>
  <c r="AI41" i="1" s="1"/>
  <c r="AG41" i="1"/>
  <c r="AF41" i="1"/>
  <c r="AB41" i="1"/>
  <c r="Z41" i="1"/>
  <c r="X41" i="1"/>
  <c r="V41" i="1"/>
  <c r="T41" i="1"/>
  <c r="R41" i="1"/>
  <c r="AC41" i="1" s="1"/>
  <c r="AP40" i="1"/>
  <c r="AK40" i="1"/>
  <c r="AJ40" i="1"/>
  <c r="AI40" i="1"/>
  <c r="AH40" i="1"/>
  <c r="AG40" i="1"/>
  <c r="AM40" i="1" s="1"/>
  <c r="AF40" i="1"/>
  <c r="AL40" i="1" s="1"/>
  <c r="AE40" i="1"/>
  <c r="AD40" i="1"/>
  <c r="AB40" i="1"/>
  <c r="Z40" i="1"/>
  <c r="AN40" i="1" s="1"/>
  <c r="X40" i="1"/>
  <c r="V40" i="1"/>
  <c r="T40" i="1"/>
  <c r="R40" i="1"/>
  <c r="P40" i="1"/>
  <c r="N40" i="1"/>
  <c r="L40" i="1"/>
  <c r="J40" i="1"/>
  <c r="H40" i="1"/>
  <c r="F40" i="1"/>
  <c r="AC40" i="1" s="1"/>
  <c r="AP39" i="1"/>
  <c r="AN39" i="1"/>
  <c r="AJ39" i="1"/>
  <c r="AK39" i="1" s="1"/>
  <c r="AH39" i="1"/>
  <c r="AL39" i="1" s="1"/>
  <c r="AF39" i="1"/>
  <c r="AG39" i="1" s="1"/>
  <c r="AB39" i="1"/>
  <c r="Z39" i="1"/>
  <c r="X39" i="1"/>
  <c r="V39" i="1"/>
  <c r="T39" i="1"/>
  <c r="R39" i="1"/>
  <c r="P39" i="1"/>
  <c r="N39" i="1"/>
  <c r="L39" i="1"/>
  <c r="J39" i="1"/>
  <c r="H39" i="1"/>
  <c r="AC39" i="1" s="1"/>
  <c r="F39" i="1"/>
  <c r="AP38" i="1"/>
  <c r="AK38" i="1"/>
  <c r="AJ38" i="1"/>
  <c r="AI38" i="1"/>
  <c r="AH38" i="1"/>
  <c r="AF38" i="1"/>
  <c r="AL38" i="1" s="1"/>
  <c r="AE38" i="1"/>
  <c r="AD38" i="1"/>
  <c r="AB38" i="1"/>
  <c r="Z38" i="1"/>
  <c r="AN38" i="1" s="1"/>
  <c r="X38" i="1"/>
  <c r="V38" i="1"/>
  <c r="T38" i="1"/>
  <c r="R38" i="1"/>
  <c r="P38" i="1"/>
  <c r="N38" i="1"/>
  <c r="L38" i="1"/>
  <c r="J38" i="1"/>
  <c r="H38" i="1"/>
  <c r="F38" i="1"/>
  <c r="AC38" i="1" s="1"/>
  <c r="AP37" i="1"/>
  <c r="AL37" i="1"/>
  <c r="AJ37" i="1"/>
  <c r="AK37" i="1" s="1"/>
  <c r="AM37" i="1" s="1"/>
  <c r="AI37" i="1"/>
  <c r="AG37" i="1"/>
  <c r="AF37" i="1"/>
  <c r="AE37" i="1"/>
  <c r="AD37" i="1"/>
  <c r="AB37" i="1"/>
  <c r="Z37" i="1"/>
  <c r="AN37" i="1" s="1"/>
  <c r="X37" i="1"/>
  <c r="V37" i="1"/>
  <c r="T37" i="1"/>
  <c r="R37" i="1"/>
  <c r="P37" i="1"/>
  <c r="N37" i="1"/>
  <c r="L37" i="1"/>
  <c r="J37" i="1"/>
  <c r="AC37" i="1" s="1"/>
  <c r="H37" i="1"/>
  <c r="F37" i="1"/>
  <c r="AP36" i="1"/>
  <c r="AJ36" i="1"/>
  <c r="AK36" i="1" s="1"/>
  <c r="AH36" i="1"/>
  <c r="AI36" i="1" s="1"/>
  <c r="AF36" i="1"/>
  <c r="AL36" i="1" s="1"/>
  <c r="AD36" i="1"/>
  <c r="AE36" i="1" s="1"/>
  <c r="AB36" i="1"/>
  <c r="Z36" i="1"/>
  <c r="AN36" i="1" s="1"/>
  <c r="X36" i="1"/>
  <c r="X48" i="1" s="1"/>
  <c r="V36" i="1"/>
  <c r="T36" i="1"/>
  <c r="R36" i="1"/>
  <c r="P36" i="1"/>
  <c r="AC36" i="1" s="1"/>
  <c r="N36" i="1"/>
  <c r="L36" i="1"/>
  <c r="J36" i="1"/>
  <c r="H36" i="1"/>
  <c r="F36" i="1"/>
  <c r="AP35" i="1"/>
  <c r="AK35" i="1"/>
  <c r="AJ35" i="1"/>
  <c r="AI35" i="1"/>
  <c r="AH35" i="1"/>
  <c r="AG35" i="1"/>
  <c r="AM35" i="1" s="1"/>
  <c r="AF35" i="1"/>
  <c r="AL35" i="1" s="1"/>
  <c r="AD35" i="1"/>
  <c r="AE35" i="1" s="1"/>
  <c r="AB35" i="1"/>
  <c r="Z35" i="1"/>
  <c r="AN35" i="1" s="1"/>
  <c r="X35" i="1"/>
  <c r="V35" i="1"/>
  <c r="T35" i="1"/>
  <c r="R35" i="1"/>
  <c r="P35" i="1"/>
  <c r="N35" i="1"/>
  <c r="AC35" i="1" s="1"/>
  <c r="L35" i="1"/>
  <c r="J35" i="1"/>
  <c r="H35" i="1"/>
  <c r="F35" i="1"/>
  <c r="AP34" i="1"/>
  <c r="AJ34" i="1"/>
  <c r="AK34" i="1" s="1"/>
  <c r="AI34" i="1"/>
  <c r="AH34" i="1"/>
  <c r="AG34" i="1"/>
  <c r="AF34" i="1"/>
  <c r="AF48" i="1" s="1"/>
  <c r="AD34" i="1"/>
  <c r="AE34" i="1" s="1"/>
  <c r="AB34" i="1"/>
  <c r="Z34" i="1"/>
  <c r="X34" i="1"/>
  <c r="V34" i="1"/>
  <c r="T34" i="1"/>
  <c r="T48" i="1" s="1"/>
  <c r="R34" i="1"/>
  <c r="P34" i="1"/>
  <c r="AC34" i="1" s="1"/>
  <c r="N34" i="1"/>
  <c r="L34" i="1"/>
  <c r="J34" i="1"/>
  <c r="H34" i="1"/>
  <c r="F34" i="1"/>
  <c r="AP33" i="1"/>
  <c r="AM33" i="1"/>
  <c r="AL33" i="1"/>
  <c r="AK33" i="1"/>
  <c r="AJ33" i="1"/>
  <c r="AI33" i="1"/>
  <c r="AH33" i="1"/>
  <c r="AG33" i="1"/>
  <c r="AF33" i="1"/>
  <c r="AE33" i="1"/>
  <c r="AD33" i="1"/>
  <c r="AB33" i="1"/>
  <c r="Z33" i="1"/>
  <c r="AN33" i="1" s="1"/>
  <c r="X33" i="1"/>
  <c r="V33" i="1"/>
  <c r="T33" i="1"/>
  <c r="R33" i="1"/>
  <c r="P33" i="1"/>
  <c r="N33" i="1"/>
  <c r="L33" i="1"/>
  <c r="J33" i="1"/>
  <c r="H33" i="1"/>
  <c r="F33" i="1"/>
  <c r="AC33" i="1" s="1"/>
  <c r="AP32" i="1"/>
  <c r="AJ32" i="1"/>
  <c r="AJ48" i="1" s="1"/>
  <c r="AH32" i="1"/>
  <c r="AH48" i="1" s="1"/>
  <c r="AF32" i="1"/>
  <c r="AG32" i="1" s="1"/>
  <c r="AD32" i="1"/>
  <c r="AN32" i="1" s="1"/>
  <c r="AB32" i="1"/>
  <c r="AB48" i="1" s="1"/>
  <c r="Z32" i="1"/>
  <c r="X32" i="1"/>
  <c r="V32" i="1"/>
  <c r="T32" i="1"/>
  <c r="R32" i="1"/>
  <c r="P32" i="1"/>
  <c r="N32" i="1"/>
  <c r="L32" i="1"/>
  <c r="J32" i="1"/>
  <c r="H32" i="1"/>
  <c r="F32" i="1"/>
  <c r="AC32" i="1" s="1"/>
  <c r="AP31" i="1"/>
  <c r="AP48" i="1" s="1"/>
  <c r="AK31" i="1"/>
  <c r="AJ31" i="1"/>
  <c r="AI31" i="1"/>
  <c r="AH31" i="1"/>
  <c r="AG31" i="1"/>
  <c r="AF31" i="1"/>
  <c r="AL31" i="1" s="1"/>
  <c r="AE31" i="1"/>
  <c r="AD31" i="1"/>
  <c r="AB31" i="1"/>
  <c r="Z31" i="1"/>
  <c r="AN31" i="1" s="1"/>
  <c r="X31" i="1"/>
  <c r="V31" i="1"/>
  <c r="V48" i="1" s="1"/>
  <c r="T31" i="1"/>
  <c r="R31" i="1"/>
  <c r="R48" i="1" s="1"/>
  <c r="P31" i="1"/>
  <c r="P48" i="1" s="1"/>
  <c r="N31" i="1"/>
  <c r="N48" i="1" s="1"/>
  <c r="L31" i="1"/>
  <c r="L48" i="1" s="1"/>
  <c r="J31" i="1"/>
  <c r="J48" i="1" s="1"/>
  <c r="H31" i="1"/>
  <c r="H48" i="1" s="1"/>
  <c r="F31" i="1"/>
  <c r="AC31" i="1" s="1"/>
  <c r="AP30" i="1"/>
  <c r="AJ30" i="1"/>
  <c r="AH30" i="1"/>
  <c r="AE30" i="1"/>
  <c r="AD30" i="1"/>
  <c r="T30" i="1"/>
  <c r="R30" i="1"/>
  <c r="P30" i="1"/>
  <c r="L30" i="1"/>
  <c r="H30" i="1"/>
  <c r="E30" i="1"/>
  <c r="AP29" i="1"/>
  <c r="AL29" i="1"/>
  <c r="AJ29" i="1"/>
  <c r="AK29" i="1" s="1"/>
  <c r="AI29" i="1"/>
  <c r="AH29" i="1"/>
  <c r="AF29" i="1"/>
  <c r="AG29" i="1" s="1"/>
  <c r="AM29" i="1" s="1"/>
  <c r="AE29" i="1"/>
  <c r="AB29" i="1"/>
  <c r="Z29" i="1"/>
  <c r="AN29" i="1" s="1"/>
  <c r="X29" i="1"/>
  <c r="V29" i="1"/>
  <c r="T29" i="1"/>
  <c r="R29" i="1"/>
  <c r="P29" i="1"/>
  <c r="N29" i="1"/>
  <c r="L29" i="1"/>
  <c r="J29" i="1"/>
  <c r="AC29" i="1" s="1"/>
  <c r="AP28" i="1"/>
  <c r="AL28" i="1"/>
  <c r="AL30" i="1" s="1"/>
  <c r="AJ28" i="1"/>
  <c r="AK28" i="1" s="1"/>
  <c r="AK30" i="1" s="1"/>
  <c r="AH28" i="1"/>
  <c r="AI28" i="1" s="1"/>
  <c r="AI30" i="1" s="1"/>
  <c r="AF28" i="1"/>
  <c r="AF30" i="1" s="1"/>
  <c r="AE28" i="1"/>
  <c r="AB28" i="1"/>
  <c r="AB30" i="1" s="1"/>
  <c r="Z28" i="1"/>
  <c r="AN28" i="1" s="1"/>
  <c r="X28" i="1"/>
  <c r="X30" i="1" s="1"/>
  <c r="V28" i="1"/>
  <c r="V30" i="1" s="1"/>
  <c r="T28" i="1"/>
  <c r="R28" i="1"/>
  <c r="P28" i="1"/>
  <c r="N28" i="1"/>
  <c r="N30" i="1" s="1"/>
  <c r="L28" i="1"/>
  <c r="J28" i="1"/>
  <c r="J30" i="1" s="1"/>
  <c r="H28" i="1"/>
  <c r="F28" i="1"/>
  <c r="F30" i="1" s="1"/>
  <c r="AP27" i="1"/>
  <c r="AJ27" i="1"/>
  <c r="AH27" i="1"/>
  <c r="AF27" i="1"/>
  <c r="AD27" i="1"/>
  <c r="P27" i="1"/>
  <c r="N27" i="1"/>
  <c r="L27" i="1"/>
  <c r="J27" i="1"/>
  <c r="H27" i="1"/>
  <c r="F27" i="1"/>
  <c r="E27" i="1"/>
  <c r="AP26" i="1"/>
  <c r="AL26" i="1"/>
  <c r="AM26" i="1" s="1"/>
  <c r="AK26" i="1"/>
  <c r="AI26" i="1"/>
  <c r="AG26" i="1"/>
  <c r="AE26" i="1"/>
  <c r="AE27" i="1" s="1"/>
  <c r="AC26" i="1"/>
  <c r="AB26" i="1"/>
  <c r="Z26" i="1"/>
  <c r="Z27" i="1" s="1"/>
  <c r="X26" i="1"/>
  <c r="X27" i="1" s="1"/>
  <c r="V26" i="1"/>
  <c r="T26" i="1"/>
  <c r="T27" i="1" s="1"/>
  <c r="R26" i="1"/>
  <c r="AP25" i="1"/>
  <c r="AM25" i="1"/>
  <c r="AL25" i="1"/>
  <c r="AK25" i="1"/>
  <c r="AI25" i="1"/>
  <c r="AG25" i="1"/>
  <c r="AE25" i="1"/>
  <c r="AB25" i="1"/>
  <c r="Z25" i="1"/>
  <c r="AN25" i="1" s="1"/>
  <c r="X25" i="1"/>
  <c r="V25" i="1"/>
  <c r="T25" i="1"/>
  <c r="R25" i="1"/>
  <c r="R27" i="1" s="1"/>
  <c r="AP24" i="1"/>
  <c r="AN24" i="1"/>
  <c r="AL24" i="1"/>
  <c r="AM24" i="1" s="1"/>
  <c r="AM27" i="1" s="1"/>
  <c r="AK24" i="1"/>
  <c r="AK27" i="1" s="1"/>
  <c r="AI24" i="1"/>
  <c r="AI27" i="1" s="1"/>
  <c r="AG24" i="1"/>
  <c r="AG27" i="1" s="1"/>
  <c r="AE24" i="1"/>
  <c r="AB24" i="1"/>
  <c r="AB27" i="1" s="1"/>
  <c r="Z24" i="1"/>
  <c r="X24" i="1"/>
  <c r="V24" i="1"/>
  <c r="V27" i="1" s="1"/>
  <c r="T24" i="1"/>
  <c r="R24" i="1"/>
  <c r="AC24" i="1" s="1"/>
  <c r="AH23" i="1"/>
  <c r="E23" i="1"/>
  <c r="E57" i="1" s="1"/>
  <c r="AP22" i="1"/>
  <c r="AN22" i="1"/>
  <c r="AL22" i="1"/>
  <c r="AK22" i="1"/>
  <c r="AJ22" i="1"/>
  <c r="AI22" i="1"/>
  <c r="AH22" i="1"/>
  <c r="AG22" i="1"/>
  <c r="AM22" i="1" s="1"/>
  <c r="AF22" i="1"/>
  <c r="AE22" i="1"/>
  <c r="AD22" i="1"/>
  <c r="AB22" i="1"/>
  <c r="Z22" i="1"/>
  <c r="X22" i="1"/>
  <c r="V22" i="1"/>
  <c r="T22" i="1"/>
  <c r="R22" i="1"/>
  <c r="P22" i="1"/>
  <c r="N22" i="1"/>
  <c r="L22" i="1"/>
  <c r="J22" i="1"/>
  <c r="H22" i="1"/>
  <c r="F22" i="1"/>
  <c r="AC22" i="1" s="1"/>
  <c r="AP21" i="1"/>
  <c r="AJ21" i="1"/>
  <c r="AN21" i="1" s="1"/>
  <c r="AH21" i="1"/>
  <c r="AI21" i="1" s="1"/>
  <c r="AF21" i="1"/>
  <c r="AL21" i="1" s="1"/>
  <c r="AD21" i="1"/>
  <c r="AD23" i="1" s="1"/>
  <c r="AB21" i="1"/>
  <c r="Z21" i="1"/>
  <c r="X21" i="1"/>
  <c r="V21" i="1"/>
  <c r="T21" i="1"/>
  <c r="R21" i="1"/>
  <c r="P21" i="1"/>
  <c r="N21" i="1"/>
  <c r="L21" i="1"/>
  <c r="J21" i="1"/>
  <c r="H21" i="1"/>
  <c r="F21" i="1"/>
  <c r="AC21" i="1" s="1"/>
  <c r="AP20" i="1"/>
  <c r="AK20" i="1"/>
  <c r="AJ20" i="1"/>
  <c r="AI20" i="1"/>
  <c r="AH20" i="1"/>
  <c r="AN20" i="1" s="1"/>
  <c r="AG20" i="1"/>
  <c r="AF20" i="1"/>
  <c r="AL20" i="1" s="1"/>
  <c r="AE20" i="1"/>
  <c r="AB20" i="1"/>
  <c r="Z20" i="1"/>
  <c r="X20" i="1"/>
  <c r="V20" i="1"/>
  <c r="T20" i="1"/>
  <c r="R20" i="1"/>
  <c r="P20" i="1"/>
  <c r="N20" i="1"/>
  <c r="L20" i="1"/>
  <c r="J20" i="1"/>
  <c r="H20" i="1"/>
  <c r="AC20" i="1" s="1"/>
  <c r="F20" i="1"/>
  <c r="AP19" i="1"/>
  <c r="AP23" i="1" s="1"/>
  <c r="AK19" i="1"/>
  <c r="AJ19" i="1"/>
  <c r="AI19" i="1"/>
  <c r="AH19" i="1"/>
  <c r="AF19" i="1"/>
  <c r="AF23" i="1" s="1"/>
  <c r="AE19" i="1"/>
  <c r="AD19" i="1"/>
  <c r="AB19" i="1"/>
  <c r="AB23" i="1" s="1"/>
  <c r="Z19" i="1"/>
  <c r="AN19" i="1" s="1"/>
  <c r="X19" i="1"/>
  <c r="X23" i="1" s="1"/>
  <c r="V19" i="1"/>
  <c r="V23" i="1" s="1"/>
  <c r="T19" i="1"/>
  <c r="T23" i="1" s="1"/>
  <c r="T57" i="1" s="1"/>
  <c r="R19" i="1"/>
  <c r="R23" i="1" s="1"/>
  <c r="R57" i="1" s="1"/>
  <c r="P19" i="1"/>
  <c r="P23" i="1" s="1"/>
  <c r="P57" i="1" s="1"/>
  <c r="N19" i="1"/>
  <c r="N23" i="1" s="1"/>
  <c r="N57" i="1" s="1"/>
  <c r="L19" i="1"/>
  <c r="L23" i="1" s="1"/>
  <c r="L57" i="1" s="1"/>
  <c r="J19" i="1"/>
  <c r="J23" i="1" s="1"/>
  <c r="J57" i="1" s="1"/>
  <c r="H19" i="1"/>
  <c r="H23" i="1" s="1"/>
  <c r="F19" i="1"/>
  <c r="F23" i="1" s="1"/>
  <c r="AO44" i="1" l="1"/>
  <c r="AQ44" i="1"/>
  <c r="AO45" i="1"/>
  <c r="AQ26" i="1"/>
  <c r="AO36" i="1"/>
  <c r="AO38" i="1"/>
  <c r="AQ38" i="1"/>
  <c r="AO40" i="1"/>
  <c r="AQ40" i="1" s="1"/>
  <c r="AN48" i="1"/>
  <c r="AQ46" i="1"/>
  <c r="AP57" i="1"/>
  <c r="AM41" i="1"/>
  <c r="AO20" i="1"/>
  <c r="AQ20" i="1" s="1"/>
  <c r="AN27" i="1"/>
  <c r="AN30" i="1"/>
  <c r="AQ35" i="1"/>
  <c r="AO35" i="1"/>
  <c r="AO54" i="1"/>
  <c r="AQ54" i="1" s="1"/>
  <c r="AO55" i="1"/>
  <c r="AQ55" i="1" s="1"/>
  <c r="H57" i="1"/>
  <c r="AO33" i="1"/>
  <c r="AQ33" i="1" s="1"/>
  <c r="AO42" i="1"/>
  <c r="AQ42" i="1" s="1"/>
  <c r="AO47" i="1"/>
  <c r="AQ47" i="1"/>
  <c r="AC52" i="1"/>
  <c r="AO51" i="1"/>
  <c r="AO52" i="1" s="1"/>
  <c r="X57" i="1"/>
  <c r="AN23" i="1"/>
  <c r="AO24" i="1"/>
  <c r="AC27" i="1"/>
  <c r="AQ24" i="1"/>
  <c r="AO37" i="1"/>
  <c r="AQ37" i="1" s="1"/>
  <c r="AB57" i="1"/>
  <c r="AO31" i="1"/>
  <c r="AQ31" i="1" s="1"/>
  <c r="AC48" i="1"/>
  <c r="AN56" i="1"/>
  <c r="V57" i="1"/>
  <c r="AO34" i="1"/>
  <c r="AQ34" i="1" s="1"/>
  <c r="AO29" i="1"/>
  <c r="AQ29" i="1" s="1"/>
  <c r="AO22" i="1"/>
  <c r="AQ22" i="1"/>
  <c r="AM49" i="1"/>
  <c r="AM50" i="1" s="1"/>
  <c r="AG50" i="1"/>
  <c r="AI23" i="1"/>
  <c r="AM34" i="1"/>
  <c r="AM47" i="1"/>
  <c r="AE56" i="1"/>
  <c r="AF50" i="1"/>
  <c r="AF57" i="1" s="1"/>
  <c r="AN51" i="1"/>
  <c r="AN52" i="1" s="1"/>
  <c r="AG53" i="1"/>
  <c r="AN45" i="1"/>
  <c r="AQ45" i="1" s="1"/>
  <c r="AL34" i="1"/>
  <c r="AL48" i="1" s="1"/>
  <c r="Z30" i="1"/>
  <c r="AG36" i="1"/>
  <c r="AM36" i="1" s="1"/>
  <c r="F48" i="1"/>
  <c r="F57" i="1" s="1"/>
  <c r="AL49" i="1"/>
  <c r="AL50" i="1" s="1"/>
  <c r="AH50" i="1"/>
  <c r="AH57" i="1" s="1"/>
  <c r="AI53" i="1"/>
  <c r="AI56" i="1" s="1"/>
  <c r="Z56" i="1"/>
  <c r="AG28" i="1"/>
  <c r="AN49" i="1"/>
  <c r="AN50" i="1" s="1"/>
  <c r="AK53" i="1"/>
  <c r="AK56" i="1" s="1"/>
  <c r="AC19" i="1"/>
  <c r="AC25" i="1"/>
  <c r="AN26" i="1"/>
  <c r="AL53" i="1"/>
  <c r="AL56" i="1" s="1"/>
  <c r="AN34" i="1"/>
  <c r="AO26" i="1"/>
  <c r="AG19" i="1"/>
  <c r="AL27" i="1"/>
  <c r="AG38" i="1"/>
  <c r="AM38" i="1" s="1"/>
  <c r="AJ23" i="1"/>
  <c r="AJ57" i="1" s="1"/>
  <c r="AC28" i="1"/>
  <c r="AE21" i="1"/>
  <c r="AE23" i="1" s="1"/>
  <c r="AI39" i="1"/>
  <c r="AM39" i="1" s="1"/>
  <c r="AK41" i="1"/>
  <c r="AL19" i="1"/>
  <c r="AL23" i="1" s="1"/>
  <c r="AG21" i="1"/>
  <c r="AE32" i="1"/>
  <c r="AO32" i="1" s="1"/>
  <c r="AG43" i="1"/>
  <c r="AM43" i="1" s="1"/>
  <c r="Z48" i="1"/>
  <c r="Z23" i="1"/>
  <c r="AD48" i="1"/>
  <c r="AD57" i="1" s="1"/>
  <c r="Z52" i="1"/>
  <c r="AK21" i="1"/>
  <c r="AK23" i="1" s="1"/>
  <c r="AI32" i="1"/>
  <c r="AI48" i="1" s="1"/>
  <c r="AK43" i="1"/>
  <c r="AO43" i="1" s="1"/>
  <c r="AI47" i="1"/>
  <c r="AM31" i="1"/>
  <c r="AC49" i="1"/>
  <c r="AK32" i="1"/>
  <c r="AK48" i="1" s="1"/>
  <c r="AL32" i="1"/>
  <c r="AM46" i="1"/>
  <c r="AL47" i="1"/>
  <c r="AC53" i="1"/>
  <c r="AM20" i="1"/>
  <c r="AM32" i="1" l="1"/>
  <c r="AG48" i="1"/>
  <c r="AM21" i="1"/>
  <c r="AO39" i="1"/>
  <c r="AO48" i="1" s="1"/>
  <c r="AQ39" i="1"/>
  <c r="AK57" i="1"/>
  <c r="AQ51" i="1"/>
  <c r="AQ52" i="1" s="1"/>
  <c r="AE57" i="1"/>
  <c r="AO28" i="1"/>
  <c r="AO30" i="1" s="1"/>
  <c r="AC30" i="1"/>
  <c r="AO27" i="1"/>
  <c r="AL57" i="1"/>
  <c r="AG56" i="1"/>
  <c r="AM53" i="1"/>
  <c r="AM56" i="1" s="1"/>
  <c r="AQ27" i="1"/>
  <c r="AN57" i="1"/>
  <c r="AM48" i="1"/>
  <c r="AQ32" i="1"/>
  <c r="AQ48" i="1" s="1"/>
  <c r="AM28" i="1"/>
  <c r="AM30" i="1" s="1"/>
  <c r="AG30" i="1"/>
  <c r="Z57" i="1"/>
  <c r="AO53" i="1"/>
  <c r="AO56" i="1" s="1"/>
  <c r="AC56" i="1"/>
  <c r="AE48" i="1"/>
  <c r="AQ36" i="1"/>
  <c r="AG23" i="1"/>
  <c r="AM19" i="1"/>
  <c r="AM23" i="1" s="1"/>
  <c r="AO41" i="1"/>
  <c r="AQ41" i="1" s="1"/>
  <c r="AC50" i="1"/>
  <c r="AO49" i="1"/>
  <c r="AO50" i="1" s="1"/>
  <c r="AO25" i="1"/>
  <c r="AQ25" i="1"/>
  <c r="AI57" i="1"/>
  <c r="AQ43" i="1"/>
  <c r="AO21" i="1"/>
  <c r="AC23" i="1"/>
  <c r="AC57" i="1" s="1"/>
  <c r="AO19" i="1"/>
  <c r="AO23" i="1" s="1"/>
  <c r="AQ21" i="1"/>
  <c r="AQ49" i="1" l="1"/>
  <c r="AQ50" i="1" s="1"/>
  <c r="AM57" i="1"/>
  <c r="AG57" i="1"/>
  <c r="AO57" i="1"/>
  <c r="AQ19" i="1"/>
  <c r="AQ23" i="1" s="1"/>
  <c r="AQ28" i="1"/>
  <c r="AQ30" i="1" s="1"/>
  <c r="AQ53" i="1"/>
  <c r="AQ56" i="1" s="1"/>
  <c r="AQ57" i="1" l="1"/>
</calcChain>
</file>

<file path=xl/sharedStrings.xml><?xml version="1.0" encoding="utf-8"?>
<sst xmlns="http://schemas.openxmlformats.org/spreadsheetml/2006/main" count="156" uniqueCount="74">
  <si>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</si>
  <si>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</si>
  <si>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</si>
  <si>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</si>
  <si>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</si>
  <si>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</si>
  <si>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</si>
  <si>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</si>
  <si>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</si>
  <si>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</si>
  <si>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</si>
  <si>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</si>
  <si>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</si>
  <si>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</si>
  <si>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</si>
  <si>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</si>
  <si>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Cantidad de Puestos</t>
  </si>
  <si>
    <t xml:space="preserve">ARTÍCULO 17 TER </t>
  </si>
  <si>
    <t>B) PROGRAMACIÓN Y REPROGRAMACIONES DE JORNALES</t>
  </si>
  <si>
    <t>DIRECCIÓN GENERAL DE LAS ARTES</t>
  </si>
  <si>
    <t>PEON VIGILANTE IV</t>
  </si>
  <si>
    <t>PEON VIGIALNTE V</t>
  </si>
  <si>
    <t>CONSERJE</t>
  </si>
  <si>
    <t>PILOTO II VEHICULOS PESADOS</t>
  </si>
  <si>
    <t>SECCIÓN DE SERVICIOS GENERALES</t>
  </si>
  <si>
    <t>31</t>
  </si>
  <si>
    <t>30</t>
  </si>
  <si>
    <t>CENTRO CULTURAL DE ESCUINTLA, "ARISTIDES CRESPO VILLEGAS"</t>
  </si>
  <si>
    <t>CENTRO CULTURAL MIGUEL ANGEL ASTURIAS</t>
  </si>
  <si>
    <t>TRAMOYISTA</t>
  </si>
  <si>
    <t>ENCARGADA II DE OPERACIONES DE MAQUINARIA Y EQUIPO</t>
  </si>
  <si>
    <t>JARDINERO I</t>
  </si>
  <si>
    <t>HERRERO II</t>
  </si>
  <si>
    <t>ELECTRICISTA II</t>
  </si>
  <si>
    <t>MENSAJERO II</t>
  </si>
  <si>
    <t>JARDINERO II</t>
  </si>
  <si>
    <t>CARPINTERO IV</t>
  </si>
  <si>
    <t>BODEGUERO IV</t>
  </si>
  <si>
    <t>sumas</t>
  </si>
  <si>
    <t>TOTAL 031</t>
  </si>
  <si>
    <t>MENSUAL</t>
  </si>
  <si>
    <t>ANUAL</t>
  </si>
  <si>
    <t>66-2000</t>
  </si>
  <si>
    <t>AJUSTE</t>
  </si>
  <si>
    <t>COMPENSACION</t>
  </si>
  <si>
    <t>TOTAL 033</t>
  </si>
  <si>
    <t>TOTAL DE PUESTOS</t>
  </si>
  <si>
    <t>TOTAL ANUAL</t>
  </si>
  <si>
    <t>Dependencia: Delegación de Recursos Humanos</t>
  </si>
  <si>
    <t>Responsable: Siria Alejandra Pérez Monroy</t>
  </si>
  <si>
    <t>Mayo</t>
  </si>
  <si>
    <t>Junio</t>
  </si>
  <si>
    <t>Julio</t>
  </si>
  <si>
    <t>Agosto</t>
  </si>
  <si>
    <t>Septiembre</t>
  </si>
  <si>
    <t>CORO NACIONAL PARA PERSONAS CON DISCAPACIDAD "César Augusto Hernández"</t>
  </si>
  <si>
    <t>Peón Vigilante V</t>
  </si>
  <si>
    <t>Conserje</t>
  </si>
  <si>
    <t>Tallerista</t>
  </si>
  <si>
    <t>Octubre</t>
  </si>
  <si>
    <t>Noviembre</t>
  </si>
  <si>
    <t>Diciembre</t>
  </si>
  <si>
    <t>28</t>
  </si>
  <si>
    <t>ELECTRICISTA III</t>
  </si>
  <si>
    <t>TRABAJADOR VIVANDERA</t>
  </si>
  <si>
    <t>PEÓN VIGILANTE IV</t>
  </si>
  <si>
    <t>TEATRO DE BELLAS ARTES</t>
  </si>
  <si>
    <t>SUMAS</t>
  </si>
  <si>
    <t>PEÓN VIGILANTE V</t>
  </si>
  <si>
    <t>DIRECCIÓN DE FORMACIÓN ARTÍSTICA</t>
  </si>
  <si>
    <t>HERRERO III</t>
  </si>
  <si>
    <t>OPERADOR DE EQUIPO</t>
  </si>
  <si>
    <t>Mes/ año: AGOSTO 2026</t>
  </si>
  <si>
    <t>MARIMBA FEMENINA DE CONCIERTO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</si>
</sst>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0CECE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8" fillId="0" borderId="5" xfId="2" applyFont="1" applyBorder="1" applyAlignment="1">
      <alignment horizontal="center"/>
    </xf>
    <xf numFmtId="0" fontId="8" fillId="0" borderId="5" xfId="2" applyFont="1" applyBorder="1" applyAlignment="1">
      <alignment horizontal="center" wrapText="1"/>
    </xf>
    <xf numFmtId="49" fontId="0" fillId="0" borderId="0" xfId="0" applyNumberFormat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0" fontId="9" fillId="0" borderId="5" xfId="2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49" fontId="2" fillId="0" borderId="0" xfId="1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64" fontId="8" fillId="4" borderId="5" xfId="2" applyNumberFormat="1" applyFont="1" applyFill="1" applyBorder="1" applyAlignment="1">
      <alignment horizontal="center"/>
    </xf>
    <xf numFmtId="0" fontId="11" fillId="0" borderId="0" xfId="0" applyFont="1"/>
    <xf numFmtId="44" fontId="11" fillId="0" borderId="0" xfId="1" applyFont="1"/>
    <xf numFmtId="49" fontId="11" fillId="0" borderId="0" xfId="1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4" fontId="0" fillId="0" borderId="0" xfId="1" applyFont="1" applyFill="1"/>
    <xf numFmtId="44" fontId="8" fillId="0" borderId="5" xfId="2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/>
    </xf>
    <xf numFmtId="44" fontId="11" fillId="0" borderId="0" xfId="0" applyNumberFormat="1" applyFont="1"/>
    <xf numFmtId="44" fontId="0" fillId="0" borderId="0" xfId="0" applyNumberFormat="1"/>
    <xf numFmtId="44" fontId="0" fillId="2" borderId="0" xfId="0" applyNumberFormat="1" applyFill="1"/>
    <xf numFmtId="44" fontId="0" fillId="0" borderId="0" xfId="0" applyNumberFormat="1" applyAlignment="1">
      <alignment wrapText="1"/>
    </xf>
    <xf numFmtId="0" fontId="8" fillId="0" borderId="5" xfId="2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 wrapText="1"/>
    </xf>
    <xf numFmtId="164" fontId="15" fillId="4" borderId="5" xfId="2" applyNumberFormat="1" applyFont="1" applyFill="1" applyBorder="1" applyAlignment="1">
      <alignment horizontal="center"/>
    </xf>
    <xf numFmtId="0" fontId="16" fillId="0" borderId="5" xfId="2" applyFont="1" applyBorder="1" applyAlignment="1">
      <alignment horizontal="center" vertical="center" wrapText="1"/>
    </xf>
    <xf numFmtId="44" fontId="15" fillId="0" borderId="5" xfId="1" applyFont="1" applyFill="1" applyBorder="1" applyAlignment="1">
      <alignment horizontal="center" vertical="center" wrapText="1"/>
    </xf>
    <xf numFmtId="44" fontId="15" fillId="0" borderId="5" xfId="0" applyNumberFormat="1" applyFont="1" applyBorder="1" applyAlignment="1">
      <alignment horizontal="center" vertical="center" wrapText="1"/>
    </xf>
    <xf numFmtId="44" fontId="15" fillId="0" borderId="5" xfId="0" applyNumberFormat="1" applyFont="1" applyBorder="1" applyAlignment="1">
      <alignment vertical="center"/>
    </xf>
    <xf numFmtId="44" fontId="15" fillId="0" borderId="6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6" fillId="4" borderId="5" xfId="2" applyFont="1" applyFill="1" applyBorder="1" applyAlignment="1">
      <alignment horizontal="center" vertical="center" wrapText="1"/>
    </xf>
    <xf numFmtId="0" fontId="16" fillId="7" borderId="5" xfId="2" applyFont="1" applyFill="1" applyBorder="1" applyAlignment="1">
      <alignment horizontal="center" vertical="center" wrapText="1"/>
    </xf>
    <xf numFmtId="44" fontId="16" fillId="0" borderId="5" xfId="1" applyFont="1" applyFill="1" applyBorder="1" applyAlignment="1">
      <alignment horizontal="center" vertical="center" wrapText="1"/>
    </xf>
    <xf numFmtId="44" fontId="16" fillId="4" borderId="5" xfId="1" applyFont="1" applyFill="1" applyBorder="1" applyAlignment="1">
      <alignment horizontal="center" vertical="center" wrapText="1"/>
    </xf>
    <xf numFmtId="44" fontId="16" fillId="8" borderId="5" xfId="1" applyFont="1" applyFill="1" applyBorder="1" applyAlignment="1">
      <alignment horizontal="center" vertical="center" wrapText="1"/>
    </xf>
    <xf numFmtId="44" fontId="16" fillId="0" borderId="5" xfId="0" applyNumberFormat="1" applyFont="1" applyBorder="1" applyAlignment="1">
      <alignment horizontal="center" vertical="center"/>
    </xf>
    <xf numFmtId="44" fontId="16" fillId="0" borderId="5" xfId="1" applyFont="1" applyFill="1" applyBorder="1" applyAlignment="1">
      <alignment horizontal="center" vertical="center"/>
    </xf>
    <xf numFmtId="44" fontId="16" fillId="0" borderId="6" xfId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164" fontId="14" fillId="4" borderId="5" xfId="0" applyNumberFormat="1" applyFont="1" applyFill="1" applyBorder="1" applyAlignment="1">
      <alignment horizontal="center" vertical="center"/>
    </xf>
    <xf numFmtId="44" fontId="14" fillId="0" borderId="5" xfId="0" applyNumberFormat="1" applyFont="1" applyBorder="1" applyAlignment="1">
      <alignment horizontal="center" vertical="center"/>
    </xf>
    <xf numFmtId="44" fontId="15" fillId="0" borderId="5" xfId="0" applyNumberFormat="1" applyFont="1" applyBorder="1" applyAlignment="1">
      <alignment horizontal="center" vertical="center"/>
    </xf>
    <xf numFmtId="44" fontId="16" fillId="9" borderId="5" xfId="1" applyFont="1" applyFill="1" applyBorder="1" applyAlignment="1">
      <alignment horizontal="center" vertical="center" wrapText="1"/>
    </xf>
    <xf numFmtId="44" fontId="16" fillId="0" borderId="6" xfId="1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wrapText="1"/>
    </xf>
    <xf numFmtId="164" fontId="14" fillId="0" borderId="5" xfId="0" applyNumberFormat="1" applyFont="1" applyBorder="1" applyAlignment="1">
      <alignment horizontal="center"/>
    </xf>
    <xf numFmtId="44" fontId="16" fillId="0" borderId="5" xfId="2" applyNumberFormat="1" applyFont="1" applyBorder="1" applyAlignment="1">
      <alignment horizontal="center" vertical="center" wrapText="1"/>
    </xf>
    <xf numFmtId="44" fontId="16" fillId="0" borderId="6" xfId="0" applyNumberFormat="1" applyFont="1" applyBorder="1" applyAlignment="1">
      <alignment horizontal="center" vertical="center"/>
    </xf>
    <xf numFmtId="0" fontId="8" fillId="4" borderId="5" xfId="2" applyFont="1" applyFill="1" applyBorder="1" applyAlignment="1">
      <alignment horizontal="center"/>
    </xf>
    <xf numFmtId="0" fontId="15" fillId="4" borderId="5" xfId="2" applyFont="1" applyFill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44" fontId="16" fillId="4" borderId="5" xfId="0" applyNumberFormat="1" applyFont="1" applyFill="1" applyBorder="1" applyAlignment="1">
      <alignment horizontal="center" vertical="center"/>
    </xf>
    <xf numFmtId="44" fontId="16" fillId="8" borderId="5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44" fontId="16" fillId="10" borderId="5" xfId="1" applyFont="1" applyFill="1" applyBorder="1" applyAlignment="1">
      <alignment horizontal="center" vertical="center" wrapText="1"/>
    </xf>
    <xf numFmtId="44" fontId="16" fillId="11" borderId="5" xfId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4" xfId="2" xr:uid="{223C1F22-4720-4385-BAD2-3B6FD4535C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244929</xdr:colOff>
      <xdr:row>0</xdr:row>
      <xdr:rowOff>95249</xdr:rowOff>
    </xdr:from>
    <xdr:to>
      <xdr:col>3</xdr:col>
      <xdr:colOff>334735</xdr:colOff>
      <xdr:row>5</xdr:row>
      <xdr:rowOff>149678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44929" y="95249"/>
          <a:ext cx="3777342" cy="1006929"/>
        </a:xfrm>
        <a:prstGeom prst="rect">
          <a:avLst/>
        </a:prstGeom>
      </xdr:spPr>
    </xdr:pic>
    <xdr:clientData/>
  </xdr:twoCellAnchor>
  <xdr:twoCellAnchor editAs="oneCell">
    <xdr:from>
      <xdr:col>19</xdr:col>
      <xdr:colOff>666750</xdr:colOff>
      <xdr:row>1</xdr:row>
      <xdr:rowOff>81643</xdr:rowOff>
    </xdr:from>
    <xdr:to>
      <xdr:col>30</xdr:col>
      <xdr:colOff>312964</xdr:colOff>
      <xdr:row>6</xdr:row>
      <xdr:rowOff>173449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CD3400-F0F7-48C7-93CF-7D9B9C3A1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0" y="272143"/>
          <a:ext cx="2966357" cy="1044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9"/>
  <sheetViews>
    <sheetView showGridLines="0" tabSelected="1" zoomScale="70" zoomScaleNormal="70" zoomScaleSheetLayoutView="70" zoomScalePageLayoutView="85" workbookViewId="0">
      <pane ySplit="18" topLeftCell="A48" activePane="bottomLeft" state="frozen"/>
      <selection pane="bottomLeft" activeCell="B55" sqref="B55"/>
    </sheetView>
  </sheetViews>
  <sheetFormatPr baseColWidth="10" defaultRowHeight="15" x14ac:dyDescent="0.25"/>
  <cols>
    <col min="1" max="1" width="6" customWidth="1"/>
    <col min="2" max="2" width="21" customWidth="1"/>
    <col min="3" max="3" width="28.42578125" style="2" customWidth="1"/>
    <col min="4" max="4" width="11.42578125" style="3"/>
    <col min="5" max="5" width="12.7109375" style="4" customWidth="1"/>
    <col min="6" max="6" width="19.42578125" style="3" customWidth="1"/>
    <col min="7" max="7" width="12.7109375" style="4" customWidth="1"/>
    <col min="8" max="8" width="20.28515625" style="3" customWidth="1"/>
    <col min="9" max="9" width="12.7109375" style="5" customWidth="1"/>
    <col min="10" max="10" width="19.7109375" style="3" customWidth="1"/>
    <col min="11" max="11" width="12.7109375" style="4" customWidth="1"/>
    <col min="12" max="12" width="18.7109375" style="3" customWidth="1"/>
    <col min="13" max="13" width="14.85546875" style="3" hidden="1" customWidth="1"/>
    <col min="14" max="14" width="18.7109375" style="3" hidden="1" customWidth="1"/>
    <col min="15" max="15" width="18" style="3" hidden="1" customWidth="1"/>
    <col min="16" max="16" width="17.28515625" style="3" hidden="1" customWidth="1"/>
    <col min="17" max="17" width="18" style="3" hidden="1" customWidth="1"/>
    <col min="18" max="18" width="19.5703125" style="3" hidden="1" customWidth="1"/>
    <col min="19" max="19" width="18" style="3" hidden="1" customWidth="1"/>
    <col min="20" max="20" width="19.5703125" style="3" hidden="1" customWidth="1"/>
    <col min="21" max="21" width="18" style="3" hidden="1" customWidth="1"/>
    <col min="22" max="22" width="19.5703125" style="3" hidden="1" customWidth="1"/>
    <col min="23" max="23" width="18" style="3" hidden="1" customWidth="1"/>
    <col min="24" max="24" width="19.5703125" style="3" hidden="1" customWidth="1"/>
    <col min="25" max="25" width="18" style="3" hidden="1" customWidth="1"/>
    <col min="26" max="26" width="19.5703125" style="3" hidden="1" customWidth="1"/>
    <col min="27" max="27" width="18" style="3" hidden="1" customWidth="1"/>
    <col min="28" max="28" width="19.5703125" style="3" hidden="1" customWidth="1"/>
    <col min="29" max="29" width="21.42578125" style="3" customWidth="1"/>
    <col min="30" max="30" width="18.42578125" customWidth="1"/>
    <col min="31" max="32" width="17" customWidth="1"/>
    <col min="33" max="37" width="20" customWidth="1"/>
    <col min="38" max="38" width="22.85546875" customWidth="1"/>
    <col min="39" max="39" width="21.140625" customWidth="1"/>
    <col min="40" max="40" width="19.42578125" style="3" customWidth="1"/>
    <col min="41" max="41" width="20.85546875" style="3" customWidth="1"/>
    <col min="42" max="42" width="23.7109375" style="3" customWidth="1"/>
    <col min="43" max="43" width="21.5703125" customWidth="1"/>
    <col min="47" max="47" width="11.42578125" customWidth="1"/>
  </cols>
  <sheetData>
    <row r="1" spans="1:47" x14ac:dyDescent="0.25">
      <c r="C1"/>
      <c r="D1"/>
      <c r="E1"/>
      <c r="F1"/>
      <c r="G1"/>
    </row>
    <row r="2" spans="1:47" x14ac:dyDescent="0.25">
      <c r="C2"/>
      <c r="D2"/>
      <c r="E2"/>
      <c r="F2"/>
      <c r="G2"/>
    </row>
    <row r="3" spans="1:47" x14ac:dyDescent="0.25">
      <c r="C3"/>
      <c r="D3"/>
      <c r="E3"/>
      <c r="F3"/>
      <c r="G3"/>
    </row>
    <row r="4" spans="1:47" x14ac:dyDescent="0.25">
      <c r="C4"/>
      <c r="D4"/>
      <c r="E4"/>
      <c r="F4"/>
      <c r="G4"/>
    </row>
    <row r="5" spans="1:47" x14ac:dyDescent="0.25">
      <c r="C5"/>
      <c r="D5"/>
      <c r="E5"/>
      <c r="F5"/>
      <c r="G5"/>
    </row>
    <row r="6" spans="1:47" x14ac:dyDescent="0.25">
      <c r="C6"/>
      <c r="D6"/>
      <c r="E6"/>
      <c r="F6"/>
      <c r="G6"/>
    </row>
    <row r="7" spans="1:47" ht="26.25" x14ac:dyDescent="0.25">
      <c r="A7" s="10" t="s">
        <v>17</v>
      </c>
      <c r="B7" s="7"/>
      <c r="C7" s="7"/>
      <c r="D7"/>
      <c r="E7"/>
      <c r="F7"/>
      <c r="G7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D7" s="22"/>
    </row>
    <row r="8" spans="1:47" ht="18.75" customHeight="1" x14ac:dyDescent="0.25">
      <c r="A8" s="50" t="s">
        <v>18</v>
      </c>
      <c r="B8" s="50"/>
      <c r="C8" s="50"/>
      <c r="D8" s="50"/>
      <c r="E8" s="50"/>
      <c r="F8" s="50"/>
      <c r="G8" s="50"/>
    </row>
    <row r="9" spans="1:47" ht="23.25" x14ac:dyDescent="0.25">
      <c r="A9" s="7" t="s">
        <v>19</v>
      </c>
      <c r="B9" s="8"/>
      <c r="C9" s="9"/>
      <c r="D9"/>
      <c r="E9"/>
      <c r="F9"/>
      <c r="G9"/>
    </row>
    <row r="10" spans="1:47" ht="19.5" thickBot="1" x14ac:dyDescent="0.3">
      <c r="A10" s="51" t="s">
        <v>48</v>
      </c>
      <c r="B10" s="51"/>
      <c r="C10" s="51"/>
      <c r="D10"/>
      <c r="E10"/>
      <c r="F10"/>
      <c r="G10"/>
      <c r="AE10" s="16"/>
      <c r="AF10" s="16"/>
      <c r="AG10" s="16"/>
      <c r="AH10" s="16"/>
      <c r="AI10" s="16"/>
      <c r="AJ10" s="16"/>
      <c r="AK10" s="16"/>
    </row>
    <row r="11" spans="1:47" ht="19.5" thickBot="1" x14ac:dyDescent="0.35">
      <c r="A11" s="11" t="s">
        <v>49</v>
      </c>
      <c r="B11" s="11"/>
      <c r="C11" s="11"/>
      <c r="D11"/>
      <c r="E11"/>
      <c r="F11"/>
      <c r="G11"/>
      <c r="K11" s="65"/>
      <c r="L11" s="66"/>
      <c r="M11" s="23"/>
      <c r="N11" s="23"/>
      <c r="O11" s="23"/>
      <c r="P11" s="23"/>
      <c r="Q11" s="23"/>
      <c r="R11" s="23"/>
      <c r="S11" s="23"/>
      <c r="T11" s="23"/>
      <c r="U11" s="23"/>
      <c r="V11" s="34"/>
      <c r="W11" s="23"/>
      <c r="X11" s="23"/>
      <c r="Y11" s="23"/>
      <c r="Z11" s="23"/>
      <c r="AA11" s="23"/>
      <c r="AB11" s="23"/>
      <c r="AC11" s="20"/>
      <c r="AE11" s="16"/>
      <c r="AF11" s="16"/>
      <c r="AG11" s="16"/>
      <c r="AH11" s="16"/>
      <c r="AI11" s="16"/>
      <c r="AJ11" s="16"/>
      <c r="AK11" s="16"/>
      <c r="AL11" s="16"/>
    </row>
    <row r="12" spans="1:47" s="28" customFormat="1" ht="23.25" x14ac:dyDescent="0.35">
      <c r="A12" s="52" t="s">
        <v>72</v>
      </c>
      <c r="B12" s="52"/>
      <c r="C12" s="52"/>
      <c r="H12" s="29"/>
      <c r="I12" s="30"/>
      <c r="J12" s="29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4"/>
      <c r="W12" s="32"/>
      <c r="X12" s="32"/>
      <c r="Y12" s="32"/>
      <c r="Z12" s="32"/>
      <c r="AA12" s="32"/>
      <c r="AB12" s="32"/>
      <c r="AC12" s="32"/>
      <c r="AE12" s="33"/>
      <c r="AF12" s="33"/>
      <c r="AG12" s="33"/>
      <c r="AH12" s="33"/>
      <c r="AI12" s="33"/>
      <c r="AJ12" s="33"/>
      <c r="AK12" s="33"/>
      <c r="AN12" s="29"/>
      <c r="AO12" s="29"/>
      <c r="AP12" s="29"/>
      <c r="AU12" s="39"/>
    </row>
    <row r="13" spans="1:47" x14ac:dyDescent="0.25">
      <c r="A13" s="1"/>
      <c r="AE13" s="16"/>
      <c r="AF13" s="16"/>
      <c r="AG13" s="16"/>
      <c r="AH13" s="16"/>
      <c r="AI13" s="16"/>
      <c r="AJ13" s="16"/>
      <c r="AK13" s="16"/>
      <c r="AU13" s="40"/>
    </row>
    <row r="14" spans="1:47" s="24" customFormat="1" ht="15.75" thickBot="1" x14ac:dyDescent="0.3">
      <c r="C14" s="15"/>
      <c r="D14" s="25"/>
      <c r="F14" s="25">
        <v>31</v>
      </c>
      <c r="H14" s="25" t="s">
        <v>62</v>
      </c>
      <c r="I14" s="25"/>
      <c r="J14" s="25" t="s">
        <v>25</v>
      </c>
      <c r="L14" s="25" t="s">
        <v>26</v>
      </c>
      <c r="M14" s="25"/>
      <c r="N14" s="25" t="s">
        <v>25</v>
      </c>
      <c r="O14" s="25"/>
      <c r="P14" s="25" t="s">
        <v>26</v>
      </c>
      <c r="Q14" s="25"/>
      <c r="R14" s="25" t="s">
        <v>25</v>
      </c>
      <c r="S14" s="25"/>
      <c r="T14" s="25" t="s">
        <v>25</v>
      </c>
      <c r="U14" s="25"/>
      <c r="V14" s="25" t="s">
        <v>26</v>
      </c>
      <c r="W14" s="25"/>
      <c r="X14" s="25" t="s">
        <v>25</v>
      </c>
      <c r="Y14" s="25"/>
      <c r="Z14" s="25" t="s">
        <v>26</v>
      </c>
      <c r="AA14" s="25"/>
      <c r="AB14" s="25" t="s">
        <v>25</v>
      </c>
      <c r="AC14" s="25"/>
      <c r="AD14" s="26"/>
      <c r="AN14" s="25"/>
      <c r="AO14" s="25"/>
      <c r="AP14" s="25"/>
      <c r="AU14" s="26"/>
    </row>
    <row r="15" spans="1:47" s="12" customFormat="1" ht="35.1" customHeight="1" x14ac:dyDescent="0.25">
      <c r="A15" s="53" t="s">
        <v>0</v>
      </c>
      <c r="B15" s="55" t="s">
        <v>1</v>
      </c>
      <c r="C15" s="56" t="s">
        <v>2</v>
      </c>
      <c r="D15" s="58" t="s">
        <v>3</v>
      </c>
      <c r="E15" s="61" t="s">
        <v>4</v>
      </c>
      <c r="F15" s="61"/>
      <c r="G15" s="61"/>
      <c r="H15" s="61"/>
      <c r="I15" s="61"/>
      <c r="J15" s="61"/>
      <c r="K15" s="61"/>
      <c r="L15" s="61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18"/>
      <c r="AD15" s="48" t="s">
        <v>5</v>
      </c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4" t="s">
        <v>6</v>
      </c>
      <c r="AU15" s="41"/>
    </row>
    <row r="16" spans="1:47" s="12" customFormat="1" ht="35.1" customHeight="1" x14ac:dyDescent="0.25">
      <c r="A16" s="54"/>
      <c r="B16" s="49"/>
      <c r="C16" s="57"/>
      <c r="D16" s="59"/>
      <c r="E16" s="63"/>
      <c r="F16" s="63"/>
      <c r="G16" s="63"/>
      <c r="H16" s="63"/>
      <c r="I16" s="63"/>
      <c r="J16" s="63"/>
      <c r="K16" s="63"/>
      <c r="L16" s="63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19"/>
      <c r="AD16" s="46" t="s">
        <v>7</v>
      </c>
      <c r="AE16" s="46"/>
      <c r="AF16" s="46" t="s">
        <v>8</v>
      </c>
      <c r="AG16" s="46"/>
      <c r="AH16" s="46" t="s">
        <v>8</v>
      </c>
      <c r="AI16" s="46"/>
      <c r="AJ16" s="46" t="s">
        <v>8</v>
      </c>
      <c r="AK16" s="46"/>
      <c r="AL16" s="46" t="s">
        <v>45</v>
      </c>
      <c r="AM16" s="46"/>
      <c r="AN16" s="47" t="s">
        <v>9</v>
      </c>
      <c r="AO16" s="47" t="s">
        <v>10</v>
      </c>
      <c r="AP16" s="47" t="s">
        <v>11</v>
      </c>
      <c r="AQ16" s="45"/>
      <c r="AU16" s="41"/>
    </row>
    <row r="17" spans="1:47" s="12" customFormat="1" ht="34.5" customHeight="1" x14ac:dyDescent="0.25">
      <c r="A17" s="54"/>
      <c r="B17" s="49"/>
      <c r="C17" s="57"/>
      <c r="D17" s="59"/>
      <c r="E17" s="60" t="s">
        <v>12</v>
      </c>
      <c r="F17" s="60"/>
      <c r="G17" s="60" t="s">
        <v>13</v>
      </c>
      <c r="H17" s="60"/>
      <c r="I17" s="60" t="s">
        <v>14</v>
      </c>
      <c r="J17" s="60"/>
      <c r="K17" s="60" t="s">
        <v>15</v>
      </c>
      <c r="L17" s="60"/>
      <c r="M17" s="60" t="s">
        <v>50</v>
      </c>
      <c r="N17" s="60"/>
      <c r="O17" s="60" t="s">
        <v>51</v>
      </c>
      <c r="P17" s="60"/>
      <c r="Q17" s="60" t="s">
        <v>52</v>
      </c>
      <c r="R17" s="60"/>
      <c r="S17" s="60" t="s">
        <v>53</v>
      </c>
      <c r="T17" s="60"/>
      <c r="U17" s="60" t="s">
        <v>54</v>
      </c>
      <c r="V17" s="60"/>
      <c r="W17" s="60" t="s">
        <v>59</v>
      </c>
      <c r="X17" s="60"/>
      <c r="Y17" s="60" t="s">
        <v>60</v>
      </c>
      <c r="Z17" s="60"/>
      <c r="AA17" s="60" t="s">
        <v>61</v>
      </c>
      <c r="AB17" s="60"/>
      <c r="AC17" s="36" t="s">
        <v>47</v>
      </c>
      <c r="AD17" s="49" t="s">
        <v>40</v>
      </c>
      <c r="AE17" s="49" t="s">
        <v>41</v>
      </c>
      <c r="AF17" s="36" t="s">
        <v>40</v>
      </c>
      <c r="AG17" s="36" t="s">
        <v>41</v>
      </c>
      <c r="AH17" s="36" t="s">
        <v>40</v>
      </c>
      <c r="AI17" s="36" t="s">
        <v>41</v>
      </c>
      <c r="AJ17" s="36" t="s">
        <v>40</v>
      </c>
      <c r="AK17" s="36" t="s">
        <v>41</v>
      </c>
      <c r="AL17" s="36" t="s">
        <v>40</v>
      </c>
      <c r="AM17" s="36" t="s">
        <v>41</v>
      </c>
      <c r="AN17" s="47"/>
      <c r="AO17" s="47"/>
      <c r="AP17" s="47"/>
      <c r="AQ17" s="45"/>
      <c r="AU17" s="41"/>
    </row>
    <row r="18" spans="1:47" s="12" customFormat="1" ht="45" customHeight="1" x14ac:dyDescent="0.25">
      <c r="A18" s="54"/>
      <c r="B18" s="49"/>
      <c r="C18" s="57"/>
      <c r="D18" s="59"/>
      <c r="E18" s="37" t="s">
        <v>16</v>
      </c>
      <c r="F18" s="38" t="s">
        <v>6</v>
      </c>
      <c r="G18" s="37" t="s">
        <v>16</v>
      </c>
      <c r="H18" s="38" t="s">
        <v>6</v>
      </c>
      <c r="I18" s="17" t="s">
        <v>16</v>
      </c>
      <c r="J18" s="38" t="s">
        <v>6</v>
      </c>
      <c r="K18" s="37" t="s">
        <v>16</v>
      </c>
      <c r="L18" s="38" t="s">
        <v>6</v>
      </c>
      <c r="M18" s="37" t="s">
        <v>16</v>
      </c>
      <c r="N18" s="38" t="s">
        <v>6</v>
      </c>
      <c r="O18" s="37" t="s">
        <v>16</v>
      </c>
      <c r="P18" s="38" t="s">
        <v>6</v>
      </c>
      <c r="Q18" s="37" t="s">
        <v>16</v>
      </c>
      <c r="R18" s="38" t="s">
        <v>6</v>
      </c>
      <c r="S18" s="37" t="s">
        <v>16</v>
      </c>
      <c r="T18" s="38" t="s">
        <v>6</v>
      </c>
      <c r="U18" s="37" t="s">
        <v>16</v>
      </c>
      <c r="V18" s="38" t="s">
        <v>6</v>
      </c>
      <c r="W18" s="37" t="s">
        <v>16</v>
      </c>
      <c r="X18" s="38" t="s">
        <v>6</v>
      </c>
      <c r="Y18" s="37" t="s">
        <v>16</v>
      </c>
      <c r="Z18" s="38" t="s">
        <v>6</v>
      </c>
      <c r="AA18" s="37" t="s">
        <v>16</v>
      </c>
      <c r="AB18" s="38" t="s">
        <v>6</v>
      </c>
      <c r="AC18" s="36" t="s">
        <v>39</v>
      </c>
      <c r="AD18" s="49"/>
      <c r="AE18" s="49"/>
      <c r="AF18" s="36" t="s">
        <v>42</v>
      </c>
      <c r="AG18" s="36" t="s">
        <v>42</v>
      </c>
      <c r="AH18" s="36" t="s">
        <v>43</v>
      </c>
      <c r="AI18" s="36" t="s">
        <v>43</v>
      </c>
      <c r="AJ18" s="36" t="s">
        <v>44</v>
      </c>
      <c r="AK18" s="36" t="s">
        <v>44</v>
      </c>
      <c r="AL18" s="36" t="s">
        <v>40</v>
      </c>
      <c r="AM18" s="36" t="s">
        <v>41</v>
      </c>
      <c r="AN18" s="47"/>
      <c r="AO18" s="47"/>
      <c r="AP18" s="47"/>
      <c r="AQ18" s="45"/>
      <c r="AU18" s="41"/>
    </row>
    <row r="19" spans="1:47" s="6" customFormat="1" ht="54.95" customHeight="1" x14ac:dyDescent="0.25">
      <c r="A19" s="67">
        <v>1</v>
      </c>
      <c r="B19" s="68" t="s">
        <v>24</v>
      </c>
      <c r="C19" s="13" t="s">
        <v>20</v>
      </c>
      <c r="D19" s="69">
        <v>74.63</v>
      </c>
      <c r="E19" s="70">
        <v>2</v>
      </c>
      <c r="F19" s="71">
        <f>D19*E19*31</f>
        <v>4627.0600000000004</v>
      </c>
      <c r="G19" s="70">
        <v>2</v>
      </c>
      <c r="H19" s="71">
        <f>D19*E19*28</f>
        <v>4179.28</v>
      </c>
      <c r="I19" s="70">
        <v>2</v>
      </c>
      <c r="J19" s="71">
        <f>D19*E19*31</f>
        <v>4627.0600000000004</v>
      </c>
      <c r="K19" s="70">
        <v>2</v>
      </c>
      <c r="L19" s="71">
        <f>D19*E19*30</f>
        <v>4477.8</v>
      </c>
      <c r="M19" s="70">
        <v>2</v>
      </c>
      <c r="N19" s="71">
        <f>D19*E19*31</f>
        <v>4627.0600000000004</v>
      </c>
      <c r="O19" s="70">
        <v>2</v>
      </c>
      <c r="P19" s="71">
        <f>D19*E19*30</f>
        <v>4477.8</v>
      </c>
      <c r="Q19" s="70">
        <v>2</v>
      </c>
      <c r="R19" s="71">
        <f>D19*2*31</f>
        <v>4627.0600000000004</v>
      </c>
      <c r="S19" s="70">
        <v>2</v>
      </c>
      <c r="T19" s="71">
        <f>D19*2*31</f>
        <v>4627.0600000000004</v>
      </c>
      <c r="U19" s="70">
        <v>2</v>
      </c>
      <c r="V19" s="71">
        <f>D19*2*30</f>
        <v>4477.8</v>
      </c>
      <c r="W19" s="70">
        <v>2</v>
      </c>
      <c r="X19" s="71">
        <f>D19*2*31</f>
        <v>4627.0600000000004</v>
      </c>
      <c r="Y19" s="70">
        <v>2</v>
      </c>
      <c r="Z19" s="71">
        <f>D19*2*30</f>
        <v>4477.8</v>
      </c>
      <c r="AA19" s="70">
        <v>2</v>
      </c>
      <c r="AB19" s="71">
        <f>D19*2*31</f>
        <v>4627.0600000000004</v>
      </c>
      <c r="AC19" s="71">
        <f>F19+H19+J19+L19+N19+P19+R19+T19+V19+X19+Z19+AB19</f>
        <v>54479.9</v>
      </c>
      <c r="AD19" s="72">
        <f>75*1</f>
        <v>75</v>
      </c>
      <c r="AE19" s="72">
        <f>AD19*12</f>
        <v>900</v>
      </c>
      <c r="AF19" s="72">
        <f>250*2</f>
        <v>500</v>
      </c>
      <c r="AG19" s="72">
        <f>AF19*12</f>
        <v>6000</v>
      </c>
      <c r="AH19" s="72">
        <f>504*2</f>
        <v>1008</v>
      </c>
      <c r="AI19" s="72">
        <f>AH19*12</f>
        <v>12096</v>
      </c>
      <c r="AJ19" s="72">
        <f>1500*2</f>
        <v>3000</v>
      </c>
      <c r="AK19" s="72">
        <f>AJ19*12</f>
        <v>36000</v>
      </c>
      <c r="AL19" s="71">
        <f t="shared" ref="AL19:AM22" si="0">AF19+AH19+AJ19</f>
        <v>4508</v>
      </c>
      <c r="AM19" s="71">
        <f t="shared" si="0"/>
        <v>54096</v>
      </c>
      <c r="AN19" s="71">
        <f>(((Z19+AD19+AH19+AJ19)/365)*365)</f>
        <v>8560.7999999999993</v>
      </c>
      <c r="AO19" s="71">
        <f>(((AC19+AE19+AI19+AK19)/12))</f>
        <v>8622.99</v>
      </c>
      <c r="AP19" s="73">
        <f>(((200/365)*365))*2</f>
        <v>400</v>
      </c>
      <c r="AQ19" s="74">
        <f>AC19+AE19+AG19+AI19+AK19+AN19+AO19+AP19</f>
        <v>127059.69</v>
      </c>
      <c r="AT19" s="42"/>
    </row>
    <row r="20" spans="1:47" ht="54.95" customHeight="1" x14ac:dyDescent="0.25">
      <c r="A20" s="75">
        <v>2</v>
      </c>
      <c r="B20" s="68" t="s">
        <v>24</v>
      </c>
      <c r="C20" s="13" t="s">
        <v>21</v>
      </c>
      <c r="D20" s="69">
        <v>75.64</v>
      </c>
      <c r="E20" s="70">
        <v>4</v>
      </c>
      <c r="F20" s="71">
        <f>D20*E20*31</f>
        <v>9379.36</v>
      </c>
      <c r="G20" s="70">
        <v>4</v>
      </c>
      <c r="H20" s="71">
        <f>D20*3*28</f>
        <v>6353.76</v>
      </c>
      <c r="I20" s="70">
        <v>4</v>
      </c>
      <c r="J20" s="71">
        <f>D20*2*31</f>
        <v>4689.68</v>
      </c>
      <c r="K20" s="70">
        <v>4</v>
      </c>
      <c r="L20" s="71">
        <f>D20*2*30</f>
        <v>4538.3999999999996</v>
      </c>
      <c r="M20" s="70">
        <v>4</v>
      </c>
      <c r="N20" s="71">
        <f>D20*2*31</f>
        <v>4689.68</v>
      </c>
      <c r="O20" s="70">
        <v>4</v>
      </c>
      <c r="P20" s="71">
        <f>D20*3*30</f>
        <v>6807.6</v>
      </c>
      <c r="Q20" s="70">
        <v>4</v>
      </c>
      <c r="R20" s="71">
        <f>D20*3*31</f>
        <v>7034.52</v>
      </c>
      <c r="S20" s="70">
        <v>4</v>
      </c>
      <c r="T20" s="71">
        <f>D20*3*31</f>
        <v>7034.52</v>
      </c>
      <c r="U20" s="70">
        <v>4</v>
      </c>
      <c r="V20" s="71">
        <f>D20*4*30</f>
        <v>9076.7999999999993</v>
      </c>
      <c r="W20" s="70">
        <v>4</v>
      </c>
      <c r="X20" s="71">
        <f>D20*4*31</f>
        <v>9379.36</v>
      </c>
      <c r="Y20" s="70">
        <v>4</v>
      </c>
      <c r="Z20" s="71">
        <f>D20*4*30</f>
        <v>9076.7999999999993</v>
      </c>
      <c r="AA20" s="70">
        <v>4</v>
      </c>
      <c r="AB20" s="71">
        <f>D20*4*31</f>
        <v>9379.36</v>
      </c>
      <c r="AC20" s="71">
        <f>F20+H20+J20+L20+N20+P20+R20+T20+V20+X20+Z20+AB20</f>
        <v>87439.84</v>
      </c>
      <c r="AD20" s="72">
        <v>100</v>
      </c>
      <c r="AE20" s="72">
        <f>AD20*12</f>
        <v>1200</v>
      </c>
      <c r="AF20" s="72">
        <f>250*4</f>
        <v>1000</v>
      </c>
      <c r="AG20" s="72">
        <f>AF20*12</f>
        <v>12000</v>
      </c>
      <c r="AH20" s="72">
        <f>500*4</f>
        <v>2000</v>
      </c>
      <c r="AI20" s="72">
        <f>AH20*12</f>
        <v>24000</v>
      </c>
      <c r="AJ20" s="72">
        <f>1500*4</f>
        <v>6000</v>
      </c>
      <c r="AK20" s="72">
        <f>AJ20*12</f>
        <v>72000</v>
      </c>
      <c r="AL20" s="71">
        <f t="shared" si="0"/>
        <v>9000</v>
      </c>
      <c r="AM20" s="71">
        <f t="shared" si="0"/>
        <v>108000</v>
      </c>
      <c r="AN20" s="71">
        <f t="shared" ref="AN20:AN21" si="1">(((Z20+AD20+AH20+AJ20)/365)*365)</f>
        <v>17176.8</v>
      </c>
      <c r="AO20" s="71">
        <f t="shared" ref="AO20:AO26" si="2">(((AC20+AE20+AI20+AK20)/12))</f>
        <v>15386.65</v>
      </c>
      <c r="AP20" s="73">
        <f>(((200/365)*365))*4</f>
        <v>800</v>
      </c>
      <c r="AQ20" s="74">
        <f>AC20+AE20+AG20+AI20+AK20+AN20+AO20+AP20</f>
        <v>230003.29</v>
      </c>
      <c r="AT20" s="40"/>
    </row>
    <row r="21" spans="1:47" ht="54.95" customHeight="1" x14ac:dyDescent="0.25">
      <c r="A21" s="75">
        <v>3</v>
      </c>
      <c r="B21" s="68" t="s">
        <v>24</v>
      </c>
      <c r="C21" s="13" t="s">
        <v>22</v>
      </c>
      <c r="D21" s="69">
        <v>71.400000000000006</v>
      </c>
      <c r="E21" s="70">
        <v>5</v>
      </c>
      <c r="F21" s="71">
        <f>D21*E21*31</f>
        <v>11067</v>
      </c>
      <c r="G21" s="70">
        <v>5</v>
      </c>
      <c r="H21" s="71">
        <f>D21*E21*28</f>
        <v>9996</v>
      </c>
      <c r="I21" s="76">
        <v>5</v>
      </c>
      <c r="J21" s="71">
        <f>D21*5*31+D21*1*30</f>
        <v>13209</v>
      </c>
      <c r="K21" s="76">
        <v>5</v>
      </c>
      <c r="L21" s="71">
        <f>D21*6*30</f>
        <v>12852</v>
      </c>
      <c r="M21" s="70">
        <v>5</v>
      </c>
      <c r="N21" s="71">
        <f>D21*6*31</f>
        <v>13280.4</v>
      </c>
      <c r="O21" s="70">
        <v>5</v>
      </c>
      <c r="P21" s="71">
        <f>D21*6*30</f>
        <v>12852</v>
      </c>
      <c r="Q21" s="70">
        <v>6</v>
      </c>
      <c r="R21" s="71">
        <f>D21*6*31</f>
        <v>13280.4</v>
      </c>
      <c r="S21" s="70">
        <v>6</v>
      </c>
      <c r="T21" s="71">
        <f>D21*6*31</f>
        <v>13280.4</v>
      </c>
      <c r="U21" s="70">
        <v>6</v>
      </c>
      <c r="V21" s="71">
        <f>D21*6*30</f>
        <v>12852</v>
      </c>
      <c r="W21" s="70">
        <v>6</v>
      </c>
      <c r="X21" s="71">
        <f>D21*6*31</f>
        <v>13280.4</v>
      </c>
      <c r="Y21" s="70">
        <v>6</v>
      </c>
      <c r="Z21" s="71">
        <f>D21*6*30</f>
        <v>12852</v>
      </c>
      <c r="AA21" s="70">
        <v>6</v>
      </c>
      <c r="AB21" s="71">
        <f>D21*6*31</f>
        <v>13280.4</v>
      </c>
      <c r="AC21" s="71">
        <f>F21+H21+J21+L21+N21+P21+R21+T21+V21+X21+Z21+AB21</f>
        <v>152082</v>
      </c>
      <c r="AD21" s="72">
        <f>35*1</f>
        <v>35</v>
      </c>
      <c r="AE21" s="72">
        <f>AD21*12</f>
        <v>420</v>
      </c>
      <c r="AF21" s="72">
        <f>250*6</f>
        <v>1500</v>
      </c>
      <c r="AG21" s="72">
        <f>AF21*12</f>
        <v>18000</v>
      </c>
      <c r="AH21" s="72">
        <f>601*6</f>
        <v>3606</v>
      </c>
      <c r="AI21" s="72">
        <f>AH21*12</f>
        <v>43272</v>
      </c>
      <c r="AJ21" s="72">
        <f>1500*6</f>
        <v>9000</v>
      </c>
      <c r="AK21" s="72">
        <f>AJ21*12</f>
        <v>108000</v>
      </c>
      <c r="AL21" s="71">
        <f t="shared" si="0"/>
        <v>14106</v>
      </c>
      <c r="AM21" s="71">
        <f t="shared" si="0"/>
        <v>169272</v>
      </c>
      <c r="AN21" s="71">
        <f t="shared" si="1"/>
        <v>25493</v>
      </c>
      <c r="AO21" s="71">
        <f t="shared" si="2"/>
        <v>25314.5</v>
      </c>
      <c r="AP21" s="73">
        <f>(((200/365)*365))*6</f>
        <v>1200</v>
      </c>
      <c r="AQ21" s="74">
        <f>AC21+AE21+AG21+AI21+AK21+AN21+AO21+AP21</f>
        <v>373781.5</v>
      </c>
      <c r="AT21" s="40"/>
    </row>
    <row r="22" spans="1:47" ht="54.95" customHeight="1" x14ac:dyDescent="0.25">
      <c r="A22" s="75">
        <v>4</v>
      </c>
      <c r="B22" s="68" t="s">
        <v>24</v>
      </c>
      <c r="C22" s="14" t="s">
        <v>23</v>
      </c>
      <c r="D22" s="69">
        <v>78.25</v>
      </c>
      <c r="E22" s="70">
        <v>2</v>
      </c>
      <c r="F22" s="71">
        <f>D22*E22*31</f>
        <v>4851.5</v>
      </c>
      <c r="G22" s="70">
        <v>2</v>
      </c>
      <c r="H22" s="71">
        <f>D22*E22*28</f>
        <v>4382</v>
      </c>
      <c r="I22" s="70">
        <v>2</v>
      </c>
      <c r="J22" s="71">
        <f>D22*E22*31</f>
        <v>4851.5</v>
      </c>
      <c r="K22" s="70">
        <v>2</v>
      </c>
      <c r="L22" s="71">
        <f>D22*E22*30</f>
        <v>4695</v>
      </c>
      <c r="M22" s="70">
        <v>2</v>
      </c>
      <c r="N22" s="71">
        <f>D22*E22*31</f>
        <v>4851.5</v>
      </c>
      <c r="O22" s="70">
        <v>2</v>
      </c>
      <c r="P22" s="71">
        <f>D22*E22*30</f>
        <v>4695</v>
      </c>
      <c r="Q22" s="70">
        <v>1</v>
      </c>
      <c r="R22" s="71">
        <f>D22*1*31</f>
        <v>2425.75</v>
      </c>
      <c r="S22" s="70">
        <v>1</v>
      </c>
      <c r="T22" s="71">
        <f>D22*1*31</f>
        <v>2425.75</v>
      </c>
      <c r="U22" s="70">
        <v>1</v>
      </c>
      <c r="V22" s="71">
        <f>D22*1*30</f>
        <v>2347.5</v>
      </c>
      <c r="W22" s="70">
        <v>1</v>
      </c>
      <c r="X22" s="71">
        <f>D22*1*31</f>
        <v>2425.75</v>
      </c>
      <c r="Y22" s="70">
        <v>1</v>
      </c>
      <c r="Z22" s="71">
        <f>D22*1*30</f>
        <v>2347.5</v>
      </c>
      <c r="AA22" s="70">
        <v>1</v>
      </c>
      <c r="AB22" s="71">
        <f>D22*1*31</f>
        <v>2425.75</v>
      </c>
      <c r="AC22" s="71">
        <f>F22+H22+J22+L22+N22+P22+R22+T22+V22+X22+Z22+AB22</f>
        <v>42724.5</v>
      </c>
      <c r="AD22" s="72">
        <f>35*1</f>
        <v>35</v>
      </c>
      <c r="AE22" s="72">
        <f>AD22*12</f>
        <v>420</v>
      </c>
      <c r="AF22" s="72">
        <f>250*1</f>
        <v>250</v>
      </c>
      <c r="AG22" s="72">
        <f>AF22*12</f>
        <v>3000</v>
      </c>
      <c r="AH22" s="72">
        <f>395*1</f>
        <v>395</v>
      </c>
      <c r="AI22" s="72">
        <f>AH22*12</f>
        <v>4740</v>
      </c>
      <c r="AJ22" s="72">
        <f>1500*1</f>
        <v>1500</v>
      </c>
      <c r="AK22" s="72">
        <f>AJ22*12</f>
        <v>18000</v>
      </c>
      <c r="AL22" s="71">
        <f t="shared" si="0"/>
        <v>2145</v>
      </c>
      <c r="AM22" s="71">
        <f t="shared" si="0"/>
        <v>25740</v>
      </c>
      <c r="AN22" s="71">
        <f>(((Z22+AD22+AH22+AJ22)/365)*365)</f>
        <v>4277.5</v>
      </c>
      <c r="AO22" s="71">
        <f t="shared" si="2"/>
        <v>5490.38</v>
      </c>
      <c r="AP22" s="73">
        <f>(((200/365)*365))*1</f>
        <v>200</v>
      </c>
      <c r="AQ22" s="74">
        <f>AC22+AE22+AG22+AI22+AK22+AN22+AO22+AP22</f>
        <v>78852.38</v>
      </c>
      <c r="AT22" s="40"/>
    </row>
    <row r="23" spans="1:47" ht="54.95" customHeight="1" x14ac:dyDescent="0.25">
      <c r="A23" s="75"/>
      <c r="B23" s="68" t="s">
        <v>38</v>
      </c>
      <c r="C23" s="14"/>
      <c r="D23" s="69"/>
      <c r="E23" s="77">
        <f>SUM(E19:E22)</f>
        <v>13</v>
      </c>
      <c r="F23" s="78">
        <f>SUM(F19:F22)</f>
        <v>29924.92</v>
      </c>
      <c r="G23" s="70"/>
      <c r="H23" s="78">
        <f>SUM(H19:H22)</f>
        <v>24911.040000000001</v>
      </c>
      <c r="I23" s="70"/>
      <c r="J23" s="78">
        <f>SUM(J19:J22)</f>
        <v>27377.24</v>
      </c>
      <c r="K23" s="70"/>
      <c r="L23" s="78">
        <f>SUM(L19:L22)</f>
        <v>26563.200000000001</v>
      </c>
      <c r="M23" s="70"/>
      <c r="N23" s="79">
        <f>SUM(N19:N22)</f>
        <v>27448.639999999999</v>
      </c>
      <c r="O23" s="70"/>
      <c r="P23" s="79">
        <f>SUM(P19:P22)</f>
        <v>28832.400000000001</v>
      </c>
      <c r="Q23" s="70"/>
      <c r="R23" s="79">
        <f>SUM(R19:R22)</f>
        <v>27367.73</v>
      </c>
      <c r="S23" s="70"/>
      <c r="T23" s="80">
        <f>SUM(T19:T22)</f>
        <v>27367.73</v>
      </c>
      <c r="U23" s="70"/>
      <c r="V23" s="78">
        <f>SUM(V19:V22)</f>
        <v>28754.1</v>
      </c>
      <c r="W23" s="70"/>
      <c r="X23" s="79">
        <f>SUM(X19:X22)</f>
        <v>29712.57</v>
      </c>
      <c r="Y23" s="70"/>
      <c r="Z23" s="78">
        <f>SUM(Z19:Z22)</f>
        <v>28754.1</v>
      </c>
      <c r="AA23" s="70"/>
      <c r="AB23" s="78">
        <f t="shared" ref="AB23:AQ23" si="3">SUM(AB19:AB22)</f>
        <v>29712.57</v>
      </c>
      <c r="AC23" s="78">
        <f t="shared" si="3"/>
        <v>336726.24</v>
      </c>
      <c r="AD23" s="81">
        <f t="shared" si="3"/>
        <v>245</v>
      </c>
      <c r="AE23" s="81">
        <f t="shared" si="3"/>
        <v>2940</v>
      </c>
      <c r="AF23" s="81">
        <f t="shared" si="3"/>
        <v>3250</v>
      </c>
      <c r="AG23" s="81">
        <f t="shared" si="3"/>
        <v>39000</v>
      </c>
      <c r="AH23" s="81">
        <f t="shared" si="3"/>
        <v>7009</v>
      </c>
      <c r="AI23" s="81">
        <f t="shared" si="3"/>
        <v>84108</v>
      </c>
      <c r="AJ23" s="81">
        <f t="shared" si="3"/>
        <v>19500</v>
      </c>
      <c r="AK23" s="81">
        <f t="shared" si="3"/>
        <v>234000</v>
      </c>
      <c r="AL23" s="78">
        <f t="shared" si="3"/>
        <v>29759</v>
      </c>
      <c r="AM23" s="78">
        <f t="shared" si="3"/>
        <v>357108</v>
      </c>
      <c r="AN23" s="82">
        <f t="shared" si="3"/>
        <v>55508.1</v>
      </c>
      <c r="AO23" s="82">
        <f t="shared" si="3"/>
        <v>54814.52</v>
      </c>
      <c r="AP23" s="82">
        <f t="shared" si="3"/>
        <v>2600</v>
      </c>
      <c r="AQ23" s="83">
        <f t="shared" si="3"/>
        <v>809696.86</v>
      </c>
      <c r="AT23" s="40"/>
    </row>
    <row r="24" spans="1:47" ht="54.95" customHeight="1" x14ac:dyDescent="0.25">
      <c r="A24" s="75"/>
      <c r="B24" s="68" t="s">
        <v>69</v>
      </c>
      <c r="C24" s="84" t="s">
        <v>65</v>
      </c>
      <c r="D24" s="85">
        <v>74.63</v>
      </c>
      <c r="E24" s="70">
        <v>3</v>
      </c>
      <c r="F24" s="71">
        <v>0</v>
      </c>
      <c r="G24" s="70">
        <v>3</v>
      </c>
      <c r="H24" s="71">
        <v>0</v>
      </c>
      <c r="I24" s="70">
        <v>3</v>
      </c>
      <c r="J24" s="71">
        <v>0</v>
      </c>
      <c r="K24" s="70">
        <v>3</v>
      </c>
      <c r="L24" s="71">
        <v>0</v>
      </c>
      <c r="M24" s="70">
        <v>3</v>
      </c>
      <c r="N24" s="71">
        <v>0</v>
      </c>
      <c r="O24" s="70">
        <v>3</v>
      </c>
      <c r="P24" s="71">
        <v>0</v>
      </c>
      <c r="Q24" s="70">
        <v>3</v>
      </c>
      <c r="R24" s="71">
        <f>D24*3*31</f>
        <v>6940.59</v>
      </c>
      <c r="S24" s="70">
        <v>3</v>
      </c>
      <c r="T24" s="71">
        <f>D24*3*31</f>
        <v>6940.59</v>
      </c>
      <c r="U24" s="70">
        <v>3</v>
      </c>
      <c r="V24" s="71">
        <f>D24*3*30</f>
        <v>6716.7</v>
      </c>
      <c r="W24" s="70">
        <v>3</v>
      </c>
      <c r="X24" s="71">
        <f>D24*3*31</f>
        <v>6940.59</v>
      </c>
      <c r="Y24" s="70">
        <v>3</v>
      </c>
      <c r="Z24" s="71">
        <f>D24*3*30</f>
        <v>6716.7</v>
      </c>
      <c r="AA24" s="70">
        <v>3</v>
      </c>
      <c r="AB24" s="71">
        <f>D24*3*31</f>
        <v>6940.59</v>
      </c>
      <c r="AC24" s="71">
        <f>F24+H24+J24+L24+N24+P24+R24+T24+V24+X24+Z24+AB24</f>
        <v>41195.760000000002</v>
      </c>
      <c r="AD24" s="86">
        <v>0</v>
      </c>
      <c r="AE24" s="86">
        <f>AD24*6</f>
        <v>0</v>
      </c>
      <c r="AF24" s="86">
        <v>250</v>
      </c>
      <c r="AG24" s="86">
        <f>AF24*6</f>
        <v>1500</v>
      </c>
      <c r="AH24" s="86">
        <v>0</v>
      </c>
      <c r="AI24" s="86">
        <f>AH24*6</f>
        <v>0</v>
      </c>
      <c r="AJ24" s="86">
        <v>1500</v>
      </c>
      <c r="AK24" s="86">
        <f>AJ24*6</f>
        <v>9000</v>
      </c>
      <c r="AL24" s="71">
        <f>AF24+AH24+AJ24</f>
        <v>1750</v>
      </c>
      <c r="AM24" s="71">
        <f>AL24*6</f>
        <v>10500</v>
      </c>
      <c r="AN24" s="71">
        <f>(((Z24+AD24+AH24+AJ24)/365)*365)</f>
        <v>8216.7000000000007</v>
      </c>
      <c r="AO24" s="71">
        <f>(((AC24+AE24+AI24+AK24)/12))</f>
        <v>4182.9799999999996</v>
      </c>
      <c r="AP24" s="73">
        <f>(((200/365)*365))*3</f>
        <v>600</v>
      </c>
      <c r="AQ24" s="74">
        <f>AC24+AE24+AG24+AI24+AK24+AN24+AO24+AP24</f>
        <v>64695.44</v>
      </c>
      <c r="AT24" s="40"/>
    </row>
    <row r="25" spans="1:47" ht="54.95" customHeight="1" x14ac:dyDescent="0.25">
      <c r="A25" s="75"/>
      <c r="B25" s="68" t="s">
        <v>69</v>
      </c>
      <c r="C25" s="84" t="s">
        <v>22</v>
      </c>
      <c r="D25" s="85">
        <v>71.400000000000006</v>
      </c>
      <c r="E25" s="70">
        <v>8</v>
      </c>
      <c r="F25" s="71">
        <v>0</v>
      </c>
      <c r="G25" s="70">
        <v>8</v>
      </c>
      <c r="H25" s="71">
        <v>0</v>
      </c>
      <c r="I25" s="70">
        <v>8</v>
      </c>
      <c r="J25" s="71">
        <v>0</v>
      </c>
      <c r="K25" s="70">
        <v>8</v>
      </c>
      <c r="L25" s="71">
        <v>0</v>
      </c>
      <c r="M25" s="70">
        <v>8</v>
      </c>
      <c r="N25" s="71">
        <v>0</v>
      </c>
      <c r="O25" s="70">
        <v>8</v>
      </c>
      <c r="P25" s="71">
        <v>0</v>
      </c>
      <c r="Q25" s="70">
        <v>8</v>
      </c>
      <c r="R25" s="71">
        <f>D25*8*31</f>
        <v>17707.2</v>
      </c>
      <c r="S25" s="70">
        <v>8</v>
      </c>
      <c r="T25" s="71">
        <f>D25*8*31</f>
        <v>17707.2</v>
      </c>
      <c r="U25" s="70">
        <v>8</v>
      </c>
      <c r="V25" s="71">
        <f>D25*8*30</f>
        <v>17136</v>
      </c>
      <c r="W25" s="70">
        <v>8</v>
      </c>
      <c r="X25" s="71">
        <f>D25*8*31</f>
        <v>17707.2</v>
      </c>
      <c r="Y25" s="70">
        <v>8</v>
      </c>
      <c r="Z25" s="71">
        <f>D25*8*30</f>
        <v>17136</v>
      </c>
      <c r="AA25" s="70">
        <v>8</v>
      </c>
      <c r="AB25" s="71">
        <f>D25*8*31</f>
        <v>17707.2</v>
      </c>
      <c r="AC25" s="71">
        <f>F25+H25+J25+L25+N25+P25+R25+T25+V25+X25+Z25+AB25</f>
        <v>105100.8</v>
      </c>
      <c r="AD25" s="86">
        <v>0</v>
      </c>
      <c r="AE25" s="86">
        <f t="shared" ref="AE25:AE26" si="4">AD25*6</f>
        <v>0</v>
      </c>
      <c r="AF25" s="86">
        <v>250</v>
      </c>
      <c r="AG25" s="86">
        <f t="shared" ref="AG25:AG26" si="5">AF25*6</f>
        <v>1500</v>
      </c>
      <c r="AH25" s="86">
        <v>0</v>
      </c>
      <c r="AI25" s="86">
        <f t="shared" ref="AI25:AI26" si="6">AH25*6</f>
        <v>0</v>
      </c>
      <c r="AJ25" s="86">
        <v>1500</v>
      </c>
      <c r="AK25" s="86">
        <f t="shared" ref="AK25" si="7">AJ25*6</f>
        <v>9000</v>
      </c>
      <c r="AL25" s="71">
        <f t="shared" ref="AL25:AL26" si="8">AF25+AH25+AJ25</f>
        <v>1750</v>
      </c>
      <c r="AM25" s="71">
        <f t="shared" ref="AM25:AM26" si="9">AL25*6</f>
        <v>10500</v>
      </c>
      <c r="AN25" s="71">
        <f t="shared" ref="AN25:AN26" si="10">(((Z25+AD25+AH25+AJ25)/365)*365)</f>
        <v>18636</v>
      </c>
      <c r="AO25" s="71">
        <f t="shared" si="2"/>
        <v>9508.4</v>
      </c>
      <c r="AP25" s="73">
        <f>(((200/365)*365))*8</f>
        <v>1600</v>
      </c>
      <c r="AQ25" s="74">
        <f>AC25+AE25+AG25+AI25+AK25+AN25+AO25+AP25</f>
        <v>145345.20000000001</v>
      </c>
      <c r="AT25" s="40"/>
    </row>
    <row r="26" spans="1:47" ht="54.95" customHeight="1" x14ac:dyDescent="0.25">
      <c r="A26" s="75"/>
      <c r="B26" s="68" t="s">
        <v>69</v>
      </c>
      <c r="C26" s="84" t="s">
        <v>34</v>
      </c>
      <c r="D26" s="85">
        <v>73.59</v>
      </c>
      <c r="E26" s="70">
        <v>2</v>
      </c>
      <c r="F26" s="71">
        <v>0</v>
      </c>
      <c r="G26" s="70">
        <v>2</v>
      </c>
      <c r="H26" s="71">
        <v>0</v>
      </c>
      <c r="I26" s="70">
        <v>2</v>
      </c>
      <c r="J26" s="71">
        <v>0</v>
      </c>
      <c r="K26" s="70">
        <v>2</v>
      </c>
      <c r="L26" s="71">
        <v>0</v>
      </c>
      <c r="M26" s="70">
        <v>2</v>
      </c>
      <c r="N26" s="71">
        <v>0</v>
      </c>
      <c r="O26" s="70">
        <v>2</v>
      </c>
      <c r="P26" s="71">
        <v>0</v>
      </c>
      <c r="Q26" s="70">
        <v>2</v>
      </c>
      <c r="R26" s="71">
        <f>D26*2*31</f>
        <v>4562.58</v>
      </c>
      <c r="S26" s="70">
        <v>2</v>
      </c>
      <c r="T26" s="71">
        <f>D26*2*31</f>
        <v>4562.58</v>
      </c>
      <c r="U26" s="70">
        <v>2</v>
      </c>
      <c r="V26" s="71">
        <f>D26*2*30</f>
        <v>4415.3999999999996</v>
      </c>
      <c r="W26" s="70">
        <v>2</v>
      </c>
      <c r="X26" s="71">
        <f>D26*2*31</f>
        <v>4562.58</v>
      </c>
      <c r="Y26" s="70">
        <v>2</v>
      </c>
      <c r="Z26" s="71">
        <f>D26*2*30</f>
        <v>4415.3999999999996</v>
      </c>
      <c r="AA26" s="70">
        <v>2</v>
      </c>
      <c r="AB26" s="71">
        <f>D26*2*31</f>
        <v>4562.58</v>
      </c>
      <c r="AC26" s="71">
        <f>F26+H26+J26+L26+N26+P26+R26+T26+V26+X26+Z26+AB26</f>
        <v>27081.119999999999</v>
      </c>
      <c r="AD26" s="86">
        <v>0</v>
      </c>
      <c r="AE26" s="86">
        <f t="shared" si="4"/>
        <v>0</v>
      </c>
      <c r="AF26" s="86">
        <v>250</v>
      </c>
      <c r="AG26" s="86">
        <f t="shared" si="5"/>
        <v>1500</v>
      </c>
      <c r="AH26" s="86">
        <v>0</v>
      </c>
      <c r="AI26" s="86">
        <f t="shared" si="6"/>
        <v>0</v>
      </c>
      <c r="AJ26" s="86">
        <v>1500</v>
      </c>
      <c r="AK26" s="86">
        <f>AJ26*6</f>
        <v>9000</v>
      </c>
      <c r="AL26" s="71">
        <f t="shared" si="8"/>
        <v>1750</v>
      </c>
      <c r="AM26" s="71">
        <f t="shared" si="9"/>
        <v>10500</v>
      </c>
      <c r="AN26" s="71">
        <f t="shared" si="10"/>
        <v>5915.4</v>
      </c>
      <c r="AO26" s="71">
        <f t="shared" si="2"/>
        <v>3006.76</v>
      </c>
      <c r="AP26" s="73">
        <f>(((200/365)*365))*2</f>
        <v>400</v>
      </c>
      <c r="AQ26" s="74">
        <f>AC26+AE26+AG26+AI26+AK26+AN26+AO26+AP26</f>
        <v>46903.28</v>
      </c>
      <c r="AT26" s="40"/>
    </row>
    <row r="27" spans="1:47" ht="54.95" customHeight="1" x14ac:dyDescent="0.25">
      <c r="A27" s="75"/>
      <c r="B27" s="68" t="s">
        <v>38</v>
      </c>
      <c r="C27" s="14"/>
      <c r="D27" s="69"/>
      <c r="E27" s="77">
        <f>SUM(E24:E26)</f>
        <v>13</v>
      </c>
      <c r="F27" s="78">
        <f>SUM(F24:F26)</f>
        <v>0</v>
      </c>
      <c r="G27" s="70"/>
      <c r="H27" s="78">
        <f>SUM(H24:H26)</f>
        <v>0</v>
      </c>
      <c r="I27" s="70"/>
      <c r="J27" s="78">
        <f>SUM(J24:J26)</f>
        <v>0</v>
      </c>
      <c r="K27" s="70"/>
      <c r="L27" s="78">
        <f>SUM(L24:L26)</f>
        <v>0</v>
      </c>
      <c r="M27" s="70"/>
      <c r="N27" s="78">
        <f>SUM(N24:N26)</f>
        <v>0</v>
      </c>
      <c r="O27" s="70"/>
      <c r="P27" s="78">
        <f>SUM(P24:P26)</f>
        <v>0</v>
      </c>
      <c r="Q27" s="70"/>
      <c r="R27" s="79">
        <f>SUM(R24:R26)</f>
        <v>29210.37</v>
      </c>
      <c r="S27" s="70"/>
      <c r="T27" s="80">
        <f>SUM(T24:T26)</f>
        <v>29210.37</v>
      </c>
      <c r="U27" s="70"/>
      <c r="V27" s="78">
        <f>SUM(V24:V26)</f>
        <v>28268.1</v>
      </c>
      <c r="W27" s="70"/>
      <c r="X27" s="78">
        <f>SUM(X24:X26)</f>
        <v>29210.37</v>
      </c>
      <c r="Y27" s="70"/>
      <c r="Z27" s="78">
        <f>SUM(Z24:Z26)</f>
        <v>28268.1</v>
      </c>
      <c r="AA27" s="70"/>
      <c r="AB27" s="78">
        <f t="shared" ref="AB27:AQ27" si="11">SUM(AB24:AB26)</f>
        <v>29210.37</v>
      </c>
      <c r="AC27" s="78">
        <f t="shared" si="11"/>
        <v>173377.68</v>
      </c>
      <c r="AD27" s="81">
        <f t="shared" si="11"/>
        <v>0</v>
      </c>
      <c r="AE27" s="81">
        <f t="shared" si="11"/>
        <v>0</v>
      </c>
      <c r="AF27" s="81">
        <f t="shared" si="11"/>
        <v>750</v>
      </c>
      <c r="AG27" s="81">
        <f t="shared" si="11"/>
        <v>4500</v>
      </c>
      <c r="AH27" s="81">
        <f t="shared" si="11"/>
        <v>0</v>
      </c>
      <c r="AI27" s="81">
        <f t="shared" si="11"/>
        <v>0</v>
      </c>
      <c r="AJ27" s="81">
        <f t="shared" si="11"/>
        <v>4500</v>
      </c>
      <c r="AK27" s="81">
        <f t="shared" si="11"/>
        <v>27000</v>
      </c>
      <c r="AL27" s="78">
        <f t="shared" si="11"/>
        <v>5250</v>
      </c>
      <c r="AM27" s="78">
        <f t="shared" si="11"/>
        <v>31500</v>
      </c>
      <c r="AN27" s="82">
        <f t="shared" si="11"/>
        <v>32768.1</v>
      </c>
      <c r="AO27" s="82">
        <f t="shared" si="11"/>
        <v>16698.14</v>
      </c>
      <c r="AP27" s="82">
        <f t="shared" si="11"/>
        <v>2600</v>
      </c>
      <c r="AQ27" s="83">
        <f t="shared" si="11"/>
        <v>256943.92</v>
      </c>
      <c r="AT27" s="40"/>
    </row>
    <row r="28" spans="1:47" ht="54.95" customHeight="1" x14ac:dyDescent="0.25">
      <c r="A28" s="75">
        <v>1</v>
      </c>
      <c r="B28" s="68" t="s">
        <v>27</v>
      </c>
      <c r="C28" s="43" t="s">
        <v>65</v>
      </c>
      <c r="D28" s="69">
        <v>74.63</v>
      </c>
      <c r="E28" s="70">
        <v>3</v>
      </c>
      <c r="F28" s="71">
        <f>D28*E28*31</f>
        <v>6940.59</v>
      </c>
      <c r="G28" s="70">
        <v>3</v>
      </c>
      <c r="H28" s="71">
        <f>D28*E28*28</f>
        <v>6268.92</v>
      </c>
      <c r="I28" s="70">
        <v>3</v>
      </c>
      <c r="J28" s="71">
        <f>D28*E28*31</f>
        <v>6940.59</v>
      </c>
      <c r="K28" s="70">
        <v>3</v>
      </c>
      <c r="L28" s="71">
        <f>D28*E28*30</f>
        <v>6716.7</v>
      </c>
      <c r="M28" s="70">
        <v>3</v>
      </c>
      <c r="N28" s="71">
        <f>D28*E28*31</f>
        <v>6940.59</v>
      </c>
      <c r="O28" s="70">
        <v>3</v>
      </c>
      <c r="P28" s="71">
        <f>D28*4*30</f>
        <v>8955.6</v>
      </c>
      <c r="Q28" s="70">
        <v>4</v>
      </c>
      <c r="R28" s="71">
        <f>D28*3*31</f>
        <v>6940.59</v>
      </c>
      <c r="S28" s="70">
        <v>4</v>
      </c>
      <c r="T28" s="71">
        <f>D28*3*31</f>
        <v>6940.59</v>
      </c>
      <c r="U28" s="70">
        <v>4</v>
      </c>
      <c r="V28" s="71">
        <f>D28*4*30</f>
        <v>8955.6</v>
      </c>
      <c r="W28" s="70">
        <v>4</v>
      </c>
      <c r="X28" s="71">
        <f>D28*4*31</f>
        <v>9254.1200000000008</v>
      </c>
      <c r="Y28" s="70">
        <v>4</v>
      </c>
      <c r="Z28" s="71">
        <f>D28*4*30</f>
        <v>8955.6</v>
      </c>
      <c r="AA28" s="70">
        <v>4</v>
      </c>
      <c r="AB28" s="71">
        <f>D28*4*31</f>
        <v>9254.1200000000008</v>
      </c>
      <c r="AC28" s="71">
        <f t="shared" ref="AC28:AC29" si="12">F28+H28+J28+L28+N28+P28+R28+T28+V28+X28+Z28+AB28</f>
        <v>93063.61</v>
      </c>
      <c r="AD28" s="87">
        <v>75</v>
      </c>
      <c r="AE28" s="87">
        <f>AD28*12</f>
        <v>900</v>
      </c>
      <c r="AF28" s="87">
        <f>250*4</f>
        <v>1000</v>
      </c>
      <c r="AG28" s="87">
        <f>AF28*12</f>
        <v>12000</v>
      </c>
      <c r="AH28" s="87">
        <f>500*3+504*1</f>
        <v>2004</v>
      </c>
      <c r="AI28" s="87">
        <f>AH28*12</f>
        <v>24048</v>
      </c>
      <c r="AJ28" s="87">
        <f>1500*4</f>
        <v>6000</v>
      </c>
      <c r="AK28" s="87">
        <f>AJ28*12</f>
        <v>72000</v>
      </c>
      <c r="AL28" s="71">
        <f>AF28+AH28+AJ28</f>
        <v>9004</v>
      </c>
      <c r="AM28" s="71">
        <f>AG28+AI28+AK28</f>
        <v>108048</v>
      </c>
      <c r="AN28" s="71">
        <f>(((Z28+AD28+AH28+AJ28)/365)*365)</f>
        <v>17034.599999999999</v>
      </c>
      <c r="AO28" s="71">
        <f>(((AC28+AE28+AI28+AK28)/12))</f>
        <v>15834.3</v>
      </c>
      <c r="AP28" s="73">
        <f>(((200/365)*365))*4</f>
        <v>800</v>
      </c>
      <c r="AQ28" s="74">
        <f t="shared" ref="AQ28:AQ29" si="13">AC28+AE28+AG28+AI28+AK28+AN28+AO28+AP28</f>
        <v>235680.51</v>
      </c>
      <c r="AT28" s="40"/>
    </row>
    <row r="29" spans="1:47" ht="54.95" customHeight="1" x14ac:dyDescent="0.25">
      <c r="A29" s="75">
        <v>2</v>
      </c>
      <c r="B29" s="68" t="s">
        <v>27</v>
      </c>
      <c r="C29" s="43" t="s">
        <v>68</v>
      </c>
      <c r="D29" s="69">
        <v>75.64</v>
      </c>
      <c r="E29" s="70">
        <v>1</v>
      </c>
      <c r="F29" s="71">
        <v>0</v>
      </c>
      <c r="G29" s="70">
        <v>1</v>
      </c>
      <c r="H29" s="71">
        <v>0</v>
      </c>
      <c r="I29" s="70">
        <v>1</v>
      </c>
      <c r="J29" s="71">
        <f>D29*E29*44</f>
        <v>3328.16</v>
      </c>
      <c r="K29" s="70">
        <v>1</v>
      </c>
      <c r="L29" s="71">
        <f>D29*E29*30</f>
        <v>2269.1999999999998</v>
      </c>
      <c r="M29" s="70">
        <v>1</v>
      </c>
      <c r="N29" s="71">
        <f>D29*E29*31</f>
        <v>2344.84</v>
      </c>
      <c r="O29" s="70">
        <v>1</v>
      </c>
      <c r="P29" s="71">
        <f>D29*E29*30</f>
        <v>2269.1999999999998</v>
      </c>
      <c r="Q29" s="70">
        <v>1</v>
      </c>
      <c r="R29" s="71">
        <f>D29*1*31</f>
        <v>2344.84</v>
      </c>
      <c r="S29" s="70">
        <v>1</v>
      </c>
      <c r="T29" s="71">
        <f>D29*1*31</f>
        <v>2344.84</v>
      </c>
      <c r="U29" s="70">
        <v>1</v>
      </c>
      <c r="V29" s="71">
        <f>D29*1*30</f>
        <v>2269.1999999999998</v>
      </c>
      <c r="W29" s="70">
        <v>1</v>
      </c>
      <c r="X29" s="71">
        <f>D29*1*31</f>
        <v>2344.84</v>
      </c>
      <c r="Y29" s="70">
        <v>1</v>
      </c>
      <c r="Z29" s="71">
        <f>D29*1*30</f>
        <v>2269.1999999999998</v>
      </c>
      <c r="AA29" s="70">
        <v>1</v>
      </c>
      <c r="AB29" s="71">
        <f>D29*1*31</f>
        <v>2344.84</v>
      </c>
      <c r="AC29" s="71">
        <f t="shared" si="12"/>
        <v>24129.16</v>
      </c>
      <c r="AD29" s="87">
        <v>50</v>
      </c>
      <c r="AE29" s="87">
        <f>AD29*12</f>
        <v>600</v>
      </c>
      <c r="AF29" s="87">
        <f>250*1</f>
        <v>250</v>
      </c>
      <c r="AG29" s="87">
        <f>AF29*12</f>
        <v>3000</v>
      </c>
      <c r="AH29" s="87">
        <f>500</f>
        <v>500</v>
      </c>
      <c r="AI29" s="87">
        <f>AH29*12</f>
        <v>6000</v>
      </c>
      <c r="AJ29" s="87">
        <f>1500*1</f>
        <v>1500</v>
      </c>
      <c r="AK29" s="87">
        <f>AJ29*12</f>
        <v>18000</v>
      </c>
      <c r="AL29" s="71">
        <f>AF29+AH29+AJ29</f>
        <v>2250</v>
      </c>
      <c r="AM29" s="71">
        <f>AG29+AI29+AK29</f>
        <v>27000</v>
      </c>
      <c r="AN29" s="71">
        <f>(((Z29+AD29+AH29+AJ29)/365)*365)</f>
        <v>4319.2</v>
      </c>
      <c r="AO29" s="71">
        <f>(((AC29+AE29+AI29+AK29)/12))</f>
        <v>4060.76</v>
      </c>
      <c r="AP29" s="73">
        <f>(((200/365)*365))</f>
        <v>200</v>
      </c>
      <c r="AQ29" s="74">
        <f t="shared" si="13"/>
        <v>60309.120000000003</v>
      </c>
      <c r="AT29" s="40"/>
    </row>
    <row r="30" spans="1:47" ht="54.95" customHeight="1" x14ac:dyDescent="0.25">
      <c r="A30" s="75"/>
      <c r="B30" s="68" t="s">
        <v>38</v>
      </c>
      <c r="C30" s="13"/>
      <c r="D30" s="69"/>
      <c r="E30" s="77">
        <f>SUM(E28:E28)</f>
        <v>3</v>
      </c>
      <c r="F30" s="78">
        <f>SUM(F28:F29)</f>
        <v>6940.59</v>
      </c>
      <c r="G30" s="70"/>
      <c r="H30" s="78">
        <f>SUM(H28:H29)</f>
        <v>6268.92</v>
      </c>
      <c r="I30" s="70"/>
      <c r="J30" s="78">
        <f>SUM(J28:J29)</f>
        <v>10268.75</v>
      </c>
      <c r="K30" s="70"/>
      <c r="L30" s="78">
        <f>SUM(L28:L29)</f>
        <v>8985.9</v>
      </c>
      <c r="M30" s="70"/>
      <c r="N30" s="79">
        <f>SUM(N28:N29)</f>
        <v>9285.43</v>
      </c>
      <c r="O30" s="70"/>
      <c r="P30" s="79">
        <f>SUM(P28:P29)</f>
        <v>11224.8</v>
      </c>
      <c r="Q30" s="70"/>
      <c r="R30" s="88">
        <f>SUM(R28:R29)</f>
        <v>9285.43</v>
      </c>
      <c r="S30" s="70"/>
      <c r="T30" s="80">
        <f>SUM(T28:T29)</f>
        <v>9285.43</v>
      </c>
      <c r="U30" s="70"/>
      <c r="V30" s="78">
        <f>SUM(V28:V29)</f>
        <v>11224.8</v>
      </c>
      <c r="W30" s="70"/>
      <c r="X30" s="78">
        <f>SUM(X28:X29)</f>
        <v>11598.96</v>
      </c>
      <c r="Y30" s="70"/>
      <c r="Z30" s="78">
        <f>SUM(Z28:Z29)</f>
        <v>11224.8</v>
      </c>
      <c r="AA30" s="70"/>
      <c r="AB30" s="78">
        <f t="shared" ref="AB30:AP30" si="14">SUM(AB28:AB29)</f>
        <v>11598.96</v>
      </c>
      <c r="AC30" s="78">
        <f t="shared" si="14"/>
        <v>117192.77</v>
      </c>
      <c r="AD30" s="78">
        <f t="shared" si="14"/>
        <v>125</v>
      </c>
      <c r="AE30" s="78">
        <f t="shared" si="14"/>
        <v>1500</v>
      </c>
      <c r="AF30" s="78">
        <f t="shared" si="14"/>
        <v>1250</v>
      </c>
      <c r="AG30" s="78">
        <f t="shared" si="14"/>
        <v>15000</v>
      </c>
      <c r="AH30" s="78">
        <f t="shared" si="14"/>
        <v>2504</v>
      </c>
      <c r="AI30" s="78">
        <f t="shared" si="14"/>
        <v>30048</v>
      </c>
      <c r="AJ30" s="78">
        <f t="shared" si="14"/>
        <v>7500</v>
      </c>
      <c r="AK30" s="78">
        <f t="shared" si="14"/>
        <v>90000</v>
      </c>
      <c r="AL30" s="78">
        <f t="shared" si="14"/>
        <v>11254</v>
      </c>
      <c r="AM30" s="78">
        <f t="shared" si="14"/>
        <v>135048</v>
      </c>
      <c r="AN30" s="78">
        <f t="shared" si="14"/>
        <v>21353.8</v>
      </c>
      <c r="AO30" s="78">
        <f t="shared" si="14"/>
        <v>19895.060000000001</v>
      </c>
      <c r="AP30" s="78">
        <f t="shared" si="14"/>
        <v>1000</v>
      </c>
      <c r="AQ30" s="89">
        <f>SUM(AQ28:AQ29)</f>
        <v>295989.63</v>
      </c>
      <c r="AT30" s="40"/>
    </row>
    <row r="31" spans="1:47" ht="54.95" customHeight="1" x14ac:dyDescent="0.25">
      <c r="A31" s="75"/>
      <c r="B31" s="68" t="s">
        <v>28</v>
      </c>
      <c r="C31" s="13" t="s">
        <v>21</v>
      </c>
      <c r="D31" s="69">
        <v>75.64</v>
      </c>
      <c r="E31" s="70">
        <v>14</v>
      </c>
      <c r="F31" s="71">
        <f t="shared" ref="F31:F47" si="15">D31*E31*31</f>
        <v>32827.760000000002</v>
      </c>
      <c r="G31" s="70">
        <v>14</v>
      </c>
      <c r="H31" s="71">
        <f>D31*E31*28</f>
        <v>29650.880000000001</v>
      </c>
      <c r="I31" s="70">
        <v>14</v>
      </c>
      <c r="J31" s="71">
        <f>D31*E31*31</f>
        <v>32827.760000000002</v>
      </c>
      <c r="K31" s="70">
        <v>14</v>
      </c>
      <c r="L31" s="71">
        <f>D31*E31*30</f>
        <v>31768.799999999999</v>
      </c>
      <c r="M31" s="70">
        <v>14</v>
      </c>
      <c r="N31" s="71">
        <f>D31*E31*31</f>
        <v>32827.760000000002</v>
      </c>
      <c r="O31" s="76">
        <v>14</v>
      </c>
      <c r="P31" s="71">
        <f>D31*E31*30</f>
        <v>31768.799999999999</v>
      </c>
      <c r="Q31" s="76">
        <v>14</v>
      </c>
      <c r="R31" s="71">
        <f>D31*14*31</f>
        <v>32827.760000000002</v>
      </c>
      <c r="S31" s="76">
        <v>14</v>
      </c>
      <c r="T31" s="71">
        <f>D31*14*31</f>
        <v>32827.760000000002</v>
      </c>
      <c r="U31" s="76">
        <v>14</v>
      </c>
      <c r="V31" s="71">
        <f>D31*14*30</f>
        <v>31768.799999999999</v>
      </c>
      <c r="W31" s="76">
        <v>14</v>
      </c>
      <c r="X31" s="71">
        <f>D31*14*31</f>
        <v>32827.760000000002</v>
      </c>
      <c r="Y31" s="76">
        <v>14</v>
      </c>
      <c r="Z31" s="71">
        <f>D31*14*30</f>
        <v>31768.799999999999</v>
      </c>
      <c r="AA31" s="76">
        <v>14</v>
      </c>
      <c r="AB31" s="71">
        <f>D31*14*31</f>
        <v>32827.760000000002</v>
      </c>
      <c r="AC31" s="71">
        <f>F31+H31+J31+L31+N31+P31+R31+T31+V31+X31+Z31+AB31</f>
        <v>386520.4</v>
      </c>
      <c r="AD31" s="87">
        <f>50*6+75*3</f>
        <v>525</v>
      </c>
      <c r="AE31" s="87">
        <f>AD31*12</f>
        <v>6300</v>
      </c>
      <c r="AF31" s="87">
        <f>250*14</f>
        <v>3500</v>
      </c>
      <c r="AG31" s="87">
        <f>AF31*12</f>
        <v>42000</v>
      </c>
      <c r="AH31" s="87">
        <f>500*14</f>
        <v>7000</v>
      </c>
      <c r="AI31" s="87">
        <f t="shared" ref="AI31:AI45" si="16">AH31*12</f>
        <v>84000</v>
      </c>
      <c r="AJ31" s="87">
        <f>1500*14</f>
        <v>21000</v>
      </c>
      <c r="AK31" s="87">
        <f t="shared" ref="AK31:AK47" si="17">AJ31*12</f>
        <v>252000</v>
      </c>
      <c r="AL31" s="71">
        <f>AF31+AH31+AJ31</f>
        <v>31500</v>
      </c>
      <c r="AM31" s="71">
        <f>AG31+AI31+AK31</f>
        <v>378000</v>
      </c>
      <c r="AN31" s="71">
        <f t="shared" ref="AN31:AN44" si="18">(((Z31+AD31+AH31+AJ31)/365)*365)</f>
        <v>60293.8</v>
      </c>
      <c r="AO31" s="71">
        <f t="shared" ref="AO31:AO44" si="19">(((AC31+AE31+AI31+AK31)/12))</f>
        <v>60735.03</v>
      </c>
      <c r="AP31" s="73">
        <f>(((200/365)*365))*14</f>
        <v>2800</v>
      </c>
      <c r="AQ31" s="74">
        <f t="shared" ref="AQ31:AQ47" si="20">AC31+AE31+AG31+AI31+AK31+AN31+AO31+AP31</f>
        <v>894649.23</v>
      </c>
      <c r="AT31" s="40"/>
    </row>
    <row r="32" spans="1:47" ht="54.95" customHeight="1" x14ac:dyDescent="0.25">
      <c r="A32" s="75"/>
      <c r="B32" s="68" t="s">
        <v>28</v>
      </c>
      <c r="C32" s="13" t="s">
        <v>20</v>
      </c>
      <c r="D32" s="69">
        <v>74.63</v>
      </c>
      <c r="E32" s="70">
        <v>3</v>
      </c>
      <c r="F32" s="71">
        <f t="shared" si="15"/>
        <v>6940.59</v>
      </c>
      <c r="G32" s="70">
        <v>3</v>
      </c>
      <c r="H32" s="71">
        <f>D32*E32*28</f>
        <v>6268.92</v>
      </c>
      <c r="I32" s="70">
        <v>3</v>
      </c>
      <c r="J32" s="71">
        <f>D32*E32*31</f>
        <v>6940.59</v>
      </c>
      <c r="K32" s="76">
        <v>3</v>
      </c>
      <c r="L32" s="71">
        <f>D32*E32*30</f>
        <v>6716.7</v>
      </c>
      <c r="M32" s="76">
        <v>3</v>
      </c>
      <c r="N32" s="71">
        <f>D32*E32*31</f>
        <v>6940.59</v>
      </c>
      <c r="O32" s="76">
        <v>3</v>
      </c>
      <c r="P32" s="71">
        <f>D32*E32*30</f>
        <v>6716.7</v>
      </c>
      <c r="Q32" s="76">
        <v>7</v>
      </c>
      <c r="R32" s="71">
        <f>D32*7*31</f>
        <v>16194.71</v>
      </c>
      <c r="S32" s="76">
        <v>7</v>
      </c>
      <c r="T32" s="71">
        <f>D32*7*31</f>
        <v>16194.71</v>
      </c>
      <c r="U32" s="76">
        <v>7</v>
      </c>
      <c r="V32" s="71">
        <f>D32*7*30</f>
        <v>15672.3</v>
      </c>
      <c r="W32" s="76">
        <v>7</v>
      </c>
      <c r="X32" s="71">
        <f>D32*7*31</f>
        <v>16194.71</v>
      </c>
      <c r="Y32" s="76">
        <v>7</v>
      </c>
      <c r="Z32" s="71">
        <f>D32*7*30</f>
        <v>15672.3</v>
      </c>
      <c r="AA32" s="76">
        <v>7</v>
      </c>
      <c r="AB32" s="71">
        <f>D32*7*31</f>
        <v>16194.71</v>
      </c>
      <c r="AC32" s="71">
        <f>F32+H32+J32+L32+N32+P32+R32+T32+V32+X32+Z32+AB32</f>
        <v>136647.53</v>
      </c>
      <c r="AD32" s="87">
        <f>0*0</f>
        <v>0</v>
      </c>
      <c r="AE32" s="87">
        <f>AD32*12</f>
        <v>0</v>
      </c>
      <c r="AF32" s="87">
        <f>250*7</f>
        <v>1750</v>
      </c>
      <c r="AG32" s="87">
        <f>AF32*12</f>
        <v>21000</v>
      </c>
      <c r="AH32" s="87">
        <f>504*3</f>
        <v>1512</v>
      </c>
      <c r="AI32" s="87">
        <f t="shared" si="16"/>
        <v>18144</v>
      </c>
      <c r="AJ32" s="87">
        <f>1500*7</f>
        <v>10500</v>
      </c>
      <c r="AK32" s="87">
        <f t="shared" si="17"/>
        <v>126000</v>
      </c>
      <c r="AL32" s="71">
        <f>AF32+AH32+AJ32</f>
        <v>13762</v>
      </c>
      <c r="AM32" s="71">
        <f>AG32+AI32+AK32</f>
        <v>165144</v>
      </c>
      <c r="AN32" s="71">
        <f t="shared" si="18"/>
        <v>27684.3</v>
      </c>
      <c r="AO32" s="71">
        <f t="shared" si="19"/>
        <v>23399.29</v>
      </c>
      <c r="AP32" s="73">
        <f>(((200/365)*365))*7</f>
        <v>1400</v>
      </c>
      <c r="AQ32" s="74">
        <f t="shared" si="20"/>
        <v>354275.12</v>
      </c>
      <c r="AT32" s="40"/>
    </row>
    <row r="33" spans="1:46" ht="54.95" customHeight="1" x14ac:dyDescent="0.25">
      <c r="A33" s="75"/>
      <c r="B33" s="68" t="s">
        <v>28</v>
      </c>
      <c r="C33" s="13" t="s">
        <v>22</v>
      </c>
      <c r="D33" s="69">
        <v>71.400000000000006</v>
      </c>
      <c r="E33" s="70">
        <v>7</v>
      </c>
      <c r="F33" s="71">
        <f>D33*E33*31</f>
        <v>15493.8</v>
      </c>
      <c r="G33" s="70">
        <v>7</v>
      </c>
      <c r="H33" s="71">
        <f>D33*E33*28</f>
        <v>13994.4</v>
      </c>
      <c r="I33" s="70">
        <v>7</v>
      </c>
      <c r="J33" s="71">
        <f>D33*E33*31</f>
        <v>15493.8</v>
      </c>
      <c r="K33" s="76">
        <v>7</v>
      </c>
      <c r="L33" s="71">
        <f>D33*E33*30</f>
        <v>14994</v>
      </c>
      <c r="M33" s="76">
        <v>7</v>
      </c>
      <c r="N33" s="71">
        <f>D33*E33*31</f>
        <v>15493.8</v>
      </c>
      <c r="O33" s="76">
        <v>7</v>
      </c>
      <c r="P33" s="71">
        <f>D33*E33*30+D33*30*1</f>
        <v>17136</v>
      </c>
      <c r="Q33" s="76">
        <v>11</v>
      </c>
      <c r="R33" s="71">
        <f>D33*11*31</f>
        <v>24347.4</v>
      </c>
      <c r="S33" s="76">
        <v>11</v>
      </c>
      <c r="T33" s="71">
        <f>D33*11*31</f>
        <v>24347.4</v>
      </c>
      <c r="U33" s="76">
        <v>11</v>
      </c>
      <c r="V33" s="71">
        <f>D33*11*30</f>
        <v>23562</v>
      </c>
      <c r="W33" s="76">
        <v>11</v>
      </c>
      <c r="X33" s="71">
        <f>D33*11*31</f>
        <v>24347.4</v>
      </c>
      <c r="Y33" s="76">
        <v>11</v>
      </c>
      <c r="Z33" s="71">
        <f>D33*11*30</f>
        <v>23562</v>
      </c>
      <c r="AA33" s="76">
        <v>11</v>
      </c>
      <c r="AB33" s="71">
        <f>D33*11*31</f>
        <v>24347.4</v>
      </c>
      <c r="AC33" s="71">
        <f t="shared" ref="AC33:AC47" si="21">F33+H33+J33+L33+N33+P33+R33+T33+V33+X33+Z33+AB33</f>
        <v>237119.4</v>
      </c>
      <c r="AD33" s="87">
        <f>200</f>
        <v>200</v>
      </c>
      <c r="AE33" s="87">
        <f>AD33*12</f>
        <v>2400</v>
      </c>
      <c r="AF33" s="87">
        <f>250*11</f>
        <v>2750</v>
      </c>
      <c r="AG33" s="87">
        <f>AF33*12</f>
        <v>33000</v>
      </c>
      <c r="AH33" s="87">
        <f>6024</f>
        <v>6024</v>
      </c>
      <c r="AI33" s="87">
        <f t="shared" si="16"/>
        <v>72288</v>
      </c>
      <c r="AJ33" s="87">
        <f>1500*11</f>
        <v>16500</v>
      </c>
      <c r="AK33" s="87">
        <f t="shared" si="17"/>
        <v>198000</v>
      </c>
      <c r="AL33" s="71">
        <f t="shared" ref="AL33:AM47" si="22">AF33+AH33+AJ33</f>
        <v>25274</v>
      </c>
      <c r="AM33" s="71">
        <f>AG33+AI33+AK33</f>
        <v>303288</v>
      </c>
      <c r="AN33" s="71">
        <f t="shared" si="18"/>
        <v>46286</v>
      </c>
      <c r="AO33" s="71">
        <f t="shared" si="19"/>
        <v>42483.95</v>
      </c>
      <c r="AP33" s="73">
        <f>(((200/365)*365))*11</f>
        <v>2200</v>
      </c>
      <c r="AQ33" s="74">
        <f t="shared" si="20"/>
        <v>633777.35</v>
      </c>
      <c r="AT33" s="40"/>
    </row>
    <row r="34" spans="1:46" ht="54.95" customHeight="1" x14ac:dyDescent="0.25">
      <c r="A34" s="75"/>
      <c r="B34" s="68" t="s">
        <v>28</v>
      </c>
      <c r="C34" s="13" t="s">
        <v>29</v>
      </c>
      <c r="D34" s="69">
        <v>72.540000000000006</v>
      </c>
      <c r="E34" s="70">
        <v>5</v>
      </c>
      <c r="F34" s="71">
        <f t="shared" si="15"/>
        <v>11243.7</v>
      </c>
      <c r="G34" s="70">
        <v>5</v>
      </c>
      <c r="H34" s="71">
        <f>D34*E34*28</f>
        <v>10155.6</v>
      </c>
      <c r="I34" s="70">
        <v>5</v>
      </c>
      <c r="J34" s="71">
        <f>D34*E34*31</f>
        <v>11243.7</v>
      </c>
      <c r="K34" s="70">
        <v>5</v>
      </c>
      <c r="L34" s="71">
        <f>D34*E34*30</f>
        <v>10881</v>
      </c>
      <c r="M34" s="70">
        <v>5</v>
      </c>
      <c r="N34" s="71">
        <f>D34*E34*31</f>
        <v>11243.7</v>
      </c>
      <c r="O34" s="70">
        <v>5</v>
      </c>
      <c r="P34" s="71">
        <f>D34*4*30</f>
        <v>8704.7999999999993</v>
      </c>
      <c r="Q34" s="70">
        <v>8</v>
      </c>
      <c r="R34" s="71">
        <f>D34*7*31</f>
        <v>15741.18</v>
      </c>
      <c r="S34" s="70">
        <v>8</v>
      </c>
      <c r="T34" s="71">
        <f>D34*7*31</f>
        <v>15741.18</v>
      </c>
      <c r="U34" s="70">
        <v>8</v>
      </c>
      <c r="V34" s="71">
        <f>D34*8*30</f>
        <v>17409.599999999999</v>
      </c>
      <c r="W34" s="70">
        <v>8</v>
      </c>
      <c r="X34" s="71">
        <f>D34*8*31</f>
        <v>17989.919999999998</v>
      </c>
      <c r="Y34" s="70">
        <v>8</v>
      </c>
      <c r="Z34" s="71">
        <f>D34*8*30</f>
        <v>17409.599999999999</v>
      </c>
      <c r="AA34" s="70">
        <v>8</v>
      </c>
      <c r="AB34" s="71">
        <f>D34*8*31</f>
        <v>17989.919999999998</v>
      </c>
      <c r="AC34" s="71">
        <f>F34+H34+J34+L34+N34+P34+R34+T34+V34+X34+Z34+AB34</f>
        <v>165753.9</v>
      </c>
      <c r="AD34" s="87">
        <f>50</f>
        <v>50</v>
      </c>
      <c r="AE34" s="87">
        <f>AD34*12</f>
        <v>600</v>
      </c>
      <c r="AF34" s="87">
        <f>250*8</f>
        <v>2000</v>
      </c>
      <c r="AG34" s="87">
        <f>AF34*12</f>
        <v>24000</v>
      </c>
      <c r="AH34" s="87">
        <f>3864</f>
        <v>3864</v>
      </c>
      <c r="AI34" s="87">
        <f t="shared" si="16"/>
        <v>46368</v>
      </c>
      <c r="AJ34" s="87">
        <f>1500*8</f>
        <v>12000</v>
      </c>
      <c r="AK34" s="87">
        <f t="shared" si="17"/>
        <v>144000</v>
      </c>
      <c r="AL34" s="71">
        <f>AF34+AH34+AJ34</f>
        <v>17864</v>
      </c>
      <c r="AM34" s="71">
        <f>AG34+AI34+AK34</f>
        <v>214368</v>
      </c>
      <c r="AN34" s="71">
        <f t="shared" si="18"/>
        <v>33323.599999999999</v>
      </c>
      <c r="AO34" s="71">
        <f t="shared" si="19"/>
        <v>29726.83</v>
      </c>
      <c r="AP34" s="73">
        <f>(((200/365)*365))*8</f>
        <v>1600</v>
      </c>
      <c r="AQ34" s="74">
        <f t="shared" si="20"/>
        <v>445372.33</v>
      </c>
      <c r="AT34" s="40"/>
    </row>
    <row r="35" spans="1:46" ht="54.95" customHeight="1" x14ac:dyDescent="0.25">
      <c r="A35" s="75"/>
      <c r="B35" s="68" t="s">
        <v>28</v>
      </c>
      <c r="C35" s="13" t="s">
        <v>35</v>
      </c>
      <c r="D35" s="69">
        <v>72.540000000000006</v>
      </c>
      <c r="E35" s="70">
        <v>5</v>
      </c>
      <c r="F35" s="71">
        <f t="shared" si="15"/>
        <v>11243.7</v>
      </c>
      <c r="G35" s="70">
        <v>4</v>
      </c>
      <c r="H35" s="71">
        <f>D35*G35*28</f>
        <v>8124.48</v>
      </c>
      <c r="I35" s="76">
        <v>4</v>
      </c>
      <c r="J35" s="71">
        <f>D35*I35*31+928.2</f>
        <v>9923.16</v>
      </c>
      <c r="K35" s="70">
        <v>4</v>
      </c>
      <c r="L35" s="71">
        <f>D35*K35*30</f>
        <v>8704.7999999999993</v>
      </c>
      <c r="M35" s="70">
        <v>4</v>
      </c>
      <c r="N35" s="71">
        <f>D35*M35*31</f>
        <v>8994.9599999999991</v>
      </c>
      <c r="O35" s="70">
        <v>4</v>
      </c>
      <c r="P35" s="71">
        <f>D35*O35*30</f>
        <v>8704.7999999999993</v>
      </c>
      <c r="Q35" s="70">
        <v>5</v>
      </c>
      <c r="R35" s="71">
        <f>D35*5*31</f>
        <v>11243.7</v>
      </c>
      <c r="S35" s="70">
        <v>5</v>
      </c>
      <c r="T35" s="71">
        <f>D35*5*31</f>
        <v>11243.7</v>
      </c>
      <c r="U35" s="70">
        <v>5</v>
      </c>
      <c r="V35" s="71">
        <f>D35*5*30</f>
        <v>10881</v>
      </c>
      <c r="W35" s="70">
        <v>5</v>
      </c>
      <c r="X35" s="71">
        <f>D35*5*31</f>
        <v>11243.7</v>
      </c>
      <c r="Y35" s="70">
        <v>5</v>
      </c>
      <c r="Z35" s="71">
        <f>D35*5*30</f>
        <v>10881</v>
      </c>
      <c r="AA35" s="70">
        <v>5</v>
      </c>
      <c r="AB35" s="71">
        <f>D35*5*31</f>
        <v>11243.7</v>
      </c>
      <c r="AC35" s="71">
        <f>F35+H35+J35+L35+N35+P35+R35+T35+V35+X35+Z35+AB35</f>
        <v>122432.7</v>
      </c>
      <c r="AD35" s="87">
        <f>50*1</f>
        <v>50</v>
      </c>
      <c r="AE35" s="87">
        <f>AD35*5</f>
        <v>250</v>
      </c>
      <c r="AF35" s="87">
        <f>250*5</f>
        <v>1250</v>
      </c>
      <c r="AG35" s="87">
        <f>AF35*5</f>
        <v>6250</v>
      </c>
      <c r="AH35" s="87">
        <f>2750</f>
        <v>2750</v>
      </c>
      <c r="AI35" s="87">
        <f t="shared" si="16"/>
        <v>33000</v>
      </c>
      <c r="AJ35" s="87">
        <f>1500*5</f>
        <v>7500</v>
      </c>
      <c r="AK35" s="87">
        <f t="shared" si="17"/>
        <v>90000</v>
      </c>
      <c r="AL35" s="71">
        <f t="shared" si="22"/>
        <v>11500</v>
      </c>
      <c r="AM35" s="71">
        <f>AG35+AI35+AK35</f>
        <v>129250</v>
      </c>
      <c r="AN35" s="71">
        <f t="shared" si="18"/>
        <v>21181</v>
      </c>
      <c r="AO35" s="71">
        <f t="shared" si="19"/>
        <v>20473.560000000001</v>
      </c>
      <c r="AP35" s="73">
        <f>(((200/365)*365))*5</f>
        <v>1000</v>
      </c>
      <c r="AQ35" s="74">
        <f t="shared" si="20"/>
        <v>294587.26</v>
      </c>
      <c r="AT35" s="40"/>
    </row>
    <row r="36" spans="1:46" ht="54.95" customHeight="1" x14ac:dyDescent="0.25">
      <c r="A36" s="75"/>
      <c r="B36" s="68" t="s">
        <v>28</v>
      </c>
      <c r="C36" s="13" t="s">
        <v>31</v>
      </c>
      <c r="D36" s="69">
        <v>71.400000000000006</v>
      </c>
      <c r="E36" s="70">
        <v>1</v>
      </c>
      <c r="F36" s="71">
        <f t="shared" si="15"/>
        <v>2213.4</v>
      </c>
      <c r="G36" s="70">
        <v>1</v>
      </c>
      <c r="H36" s="71">
        <f t="shared" ref="H36:H47" si="23">D36*E36*28</f>
        <v>1999.2</v>
      </c>
      <c r="I36" s="70">
        <v>1</v>
      </c>
      <c r="J36" s="71">
        <f t="shared" ref="J36:J47" si="24">D36*E36*31</f>
        <v>2213.4</v>
      </c>
      <c r="K36" s="70">
        <v>1</v>
      </c>
      <c r="L36" s="71">
        <f t="shared" ref="L36:L47" si="25">D36*E36*30</f>
        <v>2142</v>
      </c>
      <c r="M36" s="70">
        <v>1</v>
      </c>
      <c r="N36" s="71">
        <f t="shared" ref="N36:N47" si="26">D36*E36*31</f>
        <v>2213.4</v>
      </c>
      <c r="O36" s="70">
        <v>1</v>
      </c>
      <c r="P36" s="71">
        <f t="shared" ref="P36:P47" si="27">D36*E36*30</f>
        <v>2142</v>
      </c>
      <c r="Q36" s="76">
        <v>1</v>
      </c>
      <c r="R36" s="71">
        <f>D36*1*31</f>
        <v>2213.4</v>
      </c>
      <c r="S36" s="76">
        <v>1</v>
      </c>
      <c r="T36" s="71">
        <f>D36*1*31</f>
        <v>2213.4</v>
      </c>
      <c r="U36" s="76">
        <v>1</v>
      </c>
      <c r="V36" s="71">
        <f>D36*1*30</f>
        <v>2142</v>
      </c>
      <c r="W36" s="76">
        <v>1</v>
      </c>
      <c r="X36" s="71">
        <f>D36*1*31</f>
        <v>2213.4</v>
      </c>
      <c r="Y36" s="76">
        <v>1</v>
      </c>
      <c r="Z36" s="71">
        <f>D36*1*30</f>
        <v>2142</v>
      </c>
      <c r="AA36" s="76">
        <v>1</v>
      </c>
      <c r="AB36" s="71">
        <f>D36*1*31</f>
        <v>2213.4</v>
      </c>
      <c r="AC36" s="71">
        <f t="shared" si="21"/>
        <v>26061</v>
      </c>
      <c r="AD36" s="87">
        <f>0*1</f>
        <v>0</v>
      </c>
      <c r="AE36" s="87">
        <f t="shared" ref="AE36:AE45" si="28">AD36*6</f>
        <v>0</v>
      </c>
      <c r="AF36" s="87">
        <f>250*1</f>
        <v>250</v>
      </c>
      <c r="AG36" s="87">
        <f t="shared" ref="AG36:AG45" si="29">AF36*12</f>
        <v>3000</v>
      </c>
      <c r="AH36" s="87">
        <f>601*1</f>
        <v>601</v>
      </c>
      <c r="AI36" s="87">
        <f t="shared" si="16"/>
        <v>7212</v>
      </c>
      <c r="AJ36" s="87">
        <f>1500*1</f>
        <v>1500</v>
      </c>
      <c r="AK36" s="87">
        <f t="shared" si="17"/>
        <v>18000</v>
      </c>
      <c r="AL36" s="71">
        <f>AF36+AH36+AJ36</f>
        <v>2351</v>
      </c>
      <c r="AM36" s="71">
        <f>AG36+AI36+AK36</f>
        <v>28212</v>
      </c>
      <c r="AN36" s="71">
        <f t="shared" si="18"/>
        <v>4243</v>
      </c>
      <c r="AO36" s="71">
        <f t="shared" si="19"/>
        <v>4272.75</v>
      </c>
      <c r="AP36" s="73">
        <f>(((200/365)*365))*1</f>
        <v>200</v>
      </c>
      <c r="AQ36" s="74">
        <f t="shared" si="20"/>
        <v>62988.75</v>
      </c>
      <c r="AT36" s="40"/>
    </row>
    <row r="37" spans="1:46" ht="54.95" customHeight="1" x14ac:dyDescent="0.25">
      <c r="A37" s="75"/>
      <c r="B37" s="68" t="s">
        <v>28</v>
      </c>
      <c r="C37" s="13" t="s">
        <v>33</v>
      </c>
      <c r="D37" s="69">
        <v>74.63</v>
      </c>
      <c r="E37" s="70">
        <v>2</v>
      </c>
      <c r="F37" s="71">
        <f t="shared" si="15"/>
        <v>4627.0600000000004</v>
      </c>
      <c r="G37" s="70">
        <v>2</v>
      </c>
      <c r="H37" s="71">
        <f t="shared" si="23"/>
        <v>4179.28</v>
      </c>
      <c r="I37" s="70">
        <v>2</v>
      </c>
      <c r="J37" s="71">
        <f t="shared" si="24"/>
        <v>4627.0600000000004</v>
      </c>
      <c r="K37" s="76">
        <v>2</v>
      </c>
      <c r="L37" s="71">
        <f t="shared" si="25"/>
        <v>4477.8</v>
      </c>
      <c r="M37" s="76">
        <v>2</v>
      </c>
      <c r="N37" s="71">
        <f t="shared" si="26"/>
        <v>4627.0600000000004</v>
      </c>
      <c r="O37" s="76">
        <v>2</v>
      </c>
      <c r="P37" s="71">
        <f t="shared" si="27"/>
        <v>4477.8</v>
      </c>
      <c r="Q37" s="76">
        <v>2</v>
      </c>
      <c r="R37" s="71">
        <f>D37*2*31</f>
        <v>4627.0600000000004</v>
      </c>
      <c r="S37" s="76">
        <v>2</v>
      </c>
      <c r="T37" s="71">
        <f>D37*2*31</f>
        <v>4627.0600000000004</v>
      </c>
      <c r="U37" s="76">
        <v>2</v>
      </c>
      <c r="V37" s="71">
        <f>D37*2*30</f>
        <v>4477.8</v>
      </c>
      <c r="W37" s="76">
        <v>2</v>
      </c>
      <c r="X37" s="71">
        <f>D37*2*31</f>
        <v>4627.0600000000004</v>
      </c>
      <c r="Y37" s="76">
        <v>2</v>
      </c>
      <c r="Z37" s="71">
        <f>D37*2*30</f>
        <v>4477.8</v>
      </c>
      <c r="AA37" s="76">
        <v>2</v>
      </c>
      <c r="AB37" s="71">
        <f>D37*2*31</f>
        <v>4627.0600000000004</v>
      </c>
      <c r="AC37" s="71">
        <f t="shared" si="21"/>
        <v>54479.9</v>
      </c>
      <c r="AD37" s="87">
        <f>75*1</f>
        <v>75</v>
      </c>
      <c r="AE37" s="87">
        <f>AD37*12</f>
        <v>900</v>
      </c>
      <c r="AF37" s="87">
        <f>250*2</f>
        <v>500</v>
      </c>
      <c r="AG37" s="87">
        <f t="shared" si="29"/>
        <v>6000</v>
      </c>
      <c r="AH37" s="87">
        <v>1004</v>
      </c>
      <c r="AI37" s="87">
        <f t="shared" si="16"/>
        <v>12048</v>
      </c>
      <c r="AJ37" s="87">
        <f>1500*2</f>
        <v>3000</v>
      </c>
      <c r="AK37" s="87">
        <f t="shared" si="17"/>
        <v>36000</v>
      </c>
      <c r="AL37" s="71">
        <f t="shared" si="22"/>
        <v>4504</v>
      </c>
      <c r="AM37" s="71">
        <f t="shared" si="22"/>
        <v>54048</v>
      </c>
      <c r="AN37" s="71">
        <f t="shared" si="18"/>
        <v>8556.7999999999993</v>
      </c>
      <c r="AO37" s="71">
        <f t="shared" si="19"/>
        <v>8618.99</v>
      </c>
      <c r="AP37" s="73">
        <f>(((200/365)*365))*2</f>
        <v>400</v>
      </c>
      <c r="AQ37" s="74">
        <f t="shared" si="20"/>
        <v>127003.69</v>
      </c>
      <c r="AT37" s="40"/>
    </row>
    <row r="38" spans="1:46" ht="54.95" customHeight="1" x14ac:dyDescent="0.25">
      <c r="A38" s="75"/>
      <c r="B38" s="68" t="s">
        <v>28</v>
      </c>
      <c r="C38" s="13" t="s">
        <v>63</v>
      </c>
      <c r="D38" s="85">
        <v>75.64</v>
      </c>
      <c r="E38" s="70">
        <v>1</v>
      </c>
      <c r="F38" s="71">
        <f t="shared" si="15"/>
        <v>2344.84</v>
      </c>
      <c r="G38" s="70">
        <v>1</v>
      </c>
      <c r="H38" s="71">
        <f t="shared" si="23"/>
        <v>2117.92</v>
      </c>
      <c r="I38" s="70">
        <v>1</v>
      </c>
      <c r="J38" s="71">
        <f t="shared" si="24"/>
        <v>2344.84</v>
      </c>
      <c r="K38" s="70">
        <v>1</v>
      </c>
      <c r="L38" s="71">
        <f t="shared" si="25"/>
        <v>2269.1999999999998</v>
      </c>
      <c r="M38" s="70">
        <v>1</v>
      </c>
      <c r="N38" s="71">
        <f t="shared" si="26"/>
        <v>2344.84</v>
      </c>
      <c r="O38" s="70">
        <v>1</v>
      </c>
      <c r="P38" s="71">
        <f t="shared" si="27"/>
        <v>2269.1999999999998</v>
      </c>
      <c r="Q38" s="76">
        <v>1</v>
      </c>
      <c r="R38" s="71">
        <f>D38*1*31</f>
        <v>2344.84</v>
      </c>
      <c r="S38" s="76">
        <v>1</v>
      </c>
      <c r="T38" s="71">
        <f>D38*1*31</f>
        <v>2344.84</v>
      </c>
      <c r="U38" s="76">
        <v>1</v>
      </c>
      <c r="V38" s="71">
        <f>D38*1*30</f>
        <v>2269.1999999999998</v>
      </c>
      <c r="W38" s="76">
        <v>1</v>
      </c>
      <c r="X38" s="71">
        <f>D38*1*31</f>
        <v>2344.84</v>
      </c>
      <c r="Y38" s="76">
        <v>1</v>
      </c>
      <c r="Z38" s="71">
        <f>D38*1*30</f>
        <v>2269.1999999999998</v>
      </c>
      <c r="AA38" s="76">
        <v>1</v>
      </c>
      <c r="AB38" s="71">
        <f>D38*1*31</f>
        <v>2344.84</v>
      </c>
      <c r="AC38" s="71">
        <f t="shared" si="21"/>
        <v>27608.6</v>
      </c>
      <c r="AD38" s="87">
        <f>0*1</f>
        <v>0</v>
      </c>
      <c r="AE38" s="87">
        <f t="shared" si="28"/>
        <v>0</v>
      </c>
      <c r="AF38" s="87">
        <f>250*1</f>
        <v>250</v>
      </c>
      <c r="AG38" s="87">
        <f t="shared" si="29"/>
        <v>3000</v>
      </c>
      <c r="AH38" s="87">
        <f>500*1</f>
        <v>500</v>
      </c>
      <c r="AI38" s="87">
        <f t="shared" si="16"/>
        <v>6000</v>
      </c>
      <c r="AJ38" s="87">
        <f>1500*1</f>
        <v>1500</v>
      </c>
      <c r="AK38" s="87">
        <f t="shared" si="17"/>
        <v>18000</v>
      </c>
      <c r="AL38" s="71">
        <f t="shared" si="22"/>
        <v>2250</v>
      </c>
      <c r="AM38" s="71">
        <f t="shared" si="22"/>
        <v>27000</v>
      </c>
      <c r="AN38" s="71">
        <f t="shared" si="18"/>
        <v>4269.2</v>
      </c>
      <c r="AO38" s="71">
        <f t="shared" si="19"/>
        <v>4300.72</v>
      </c>
      <c r="AP38" s="73">
        <f>(((200/365)*365))*1</f>
        <v>200</v>
      </c>
      <c r="AQ38" s="74">
        <f t="shared" si="20"/>
        <v>63378.52</v>
      </c>
      <c r="AT38" s="40"/>
    </row>
    <row r="39" spans="1:46" ht="54.95" customHeight="1" x14ac:dyDescent="0.25">
      <c r="A39" s="75"/>
      <c r="B39" s="68" t="s">
        <v>28</v>
      </c>
      <c r="C39" s="13" t="s">
        <v>37</v>
      </c>
      <c r="D39" s="69">
        <v>76.59</v>
      </c>
      <c r="E39" s="70">
        <v>2</v>
      </c>
      <c r="F39" s="71">
        <f t="shared" si="15"/>
        <v>4748.58</v>
      </c>
      <c r="G39" s="70">
        <v>2</v>
      </c>
      <c r="H39" s="71">
        <f t="shared" si="23"/>
        <v>4289.04</v>
      </c>
      <c r="I39" s="70">
        <v>2</v>
      </c>
      <c r="J39" s="71">
        <f t="shared" si="24"/>
        <v>4748.58</v>
      </c>
      <c r="K39" s="70">
        <v>2</v>
      </c>
      <c r="L39" s="71">
        <f t="shared" si="25"/>
        <v>4595.3999999999996</v>
      </c>
      <c r="M39" s="70">
        <v>2</v>
      </c>
      <c r="N39" s="71">
        <f t="shared" si="26"/>
        <v>4748.58</v>
      </c>
      <c r="O39" s="76">
        <v>2</v>
      </c>
      <c r="P39" s="71">
        <f t="shared" si="27"/>
        <v>4595.3999999999996</v>
      </c>
      <c r="Q39" s="76">
        <v>2</v>
      </c>
      <c r="R39" s="71">
        <f>D39*2*31</f>
        <v>4748.58</v>
      </c>
      <c r="S39" s="76">
        <v>2</v>
      </c>
      <c r="T39" s="71">
        <f>D39*2*31</f>
        <v>4748.58</v>
      </c>
      <c r="U39" s="76">
        <v>2</v>
      </c>
      <c r="V39" s="71">
        <f>D39*2*30</f>
        <v>4595.3999999999996</v>
      </c>
      <c r="W39" s="76">
        <v>2</v>
      </c>
      <c r="X39" s="71">
        <f>D39*2*31</f>
        <v>4748.58</v>
      </c>
      <c r="Y39" s="76">
        <v>2</v>
      </c>
      <c r="Z39" s="71">
        <f>D39*2*30</f>
        <v>4595.3999999999996</v>
      </c>
      <c r="AA39" s="76">
        <v>2</v>
      </c>
      <c r="AB39" s="71">
        <f>D39*2*31</f>
        <v>4748.58</v>
      </c>
      <c r="AC39" s="71">
        <f t="shared" si="21"/>
        <v>55910.7</v>
      </c>
      <c r="AD39" s="87">
        <v>0</v>
      </c>
      <c r="AE39" s="87">
        <v>0</v>
      </c>
      <c r="AF39" s="87">
        <f>250*2</f>
        <v>500</v>
      </c>
      <c r="AG39" s="87">
        <f t="shared" si="29"/>
        <v>6000</v>
      </c>
      <c r="AH39" s="87">
        <f>500*2</f>
        <v>1000</v>
      </c>
      <c r="AI39" s="87">
        <f t="shared" si="16"/>
        <v>12000</v>
      </c>
      <c r="AJ39" s="87">
        <f>1500*2</f>
        <v>3000</v>
      </c>
      <c r="AK39" s="87">
        <f t="shared" si="17"/>
        <v>36000</v>
      </c>
      <c r="AL39" s="71">
        <f t="shared" si="22"/>
        <v>4500</v>
      </c>
      <c r="AM39" s="71">
        <f t="shared" si="22"/>
        <v>54000</v>
      </c>
      <c r="AN39" s="71">
        <f t="shared" si="18"/>
        <v>8595.4</v>
      </c>
      <c r="AO39" s="71">
        <f t="shared" si="19"/>
        <v>8659.23</v>
      </c>
      <c r="AP39" s="73">
        <f>(((200/365)*365))*2</f>
        <v>400</v>
      </c>
      <c r="AQ39" s="74">
        <f t="shared" si="20"/>
        <v>127565.33</v>
      </c>
      <c r="AT39" s="40"/>
    </row>
    <row r="40" spans="1:46" ht="54.95" customHeight="1" x14ac:dyDescent="0.25">
      <c r="A40" s="75"/>
      <c r="B40" s="68" t="s">
        <v>28</v>
      </c>
      <c r="C40" s="13" t="s">
        <v>32</v>
      </c>
      <c r="D40" s="69">
        <v>73.59</v>
      </c>
      <c r="E40" s="70">
        <v>1</v>
      </c>
      <c r="F40" s="71">
        <f t="shared" si="15"/>
        <v>2281.29</v>
      </c>
      <c r="G40" s="70">
        <v>1</v>
      </c>
      <c r="H40" s="71">
        <f t="shared" si="23"/>
        <v>2060.52</v>
      </c>
      <c r="I40" s="70">
        <v>1</v>
      </c>
      <c r="J40" s="71">
        <f t="shared" si="24"/>
        <v>2281.29</v>
      </c>
      <c r="K40" s="70">
        <v>1</v>
      </c>
      <c r="L40" s="71">
        <f t="shared" si="25"/>
        <v>2207.6999999999998</v>
      </c>
      <c r="M40" s="70">
        <v>1</v>
      </c>
      <c r="N40" s="71">
        <f t="shared" si="26"/>
        <v>2281.29</v>
      </c>
      <c r="O40" s="70">
        <v>1</v>
      </c>
      <c r="P40" s="71">
        <f t="shared" si="27"/>
        <v>2207.6999999999998</v>
      </c>
      <c r="Q40" s="70">
        <v>1</v>
      </c>
      <c r="R40" s="71">
        <f>D40*1*31</f>
        <v>2281.29</v>
      </c>
      <c r="S40" s="70">
        <v>1</v>
      </c>
      <c r="T40" s="71">
        <f>D40*1*31</f>
        <v>2281.29</v>
      </c>
      <c r="U40" s="70">
        <v>1</v>
      </c>
      <c r="V40" s="71">
        <f>D40*1*30</f>
        <v>2207.6999999999998</v>
      </c>
      <c r="W40" s="70">
        <v>1</v>
      </c>
      <c r="X40" s="71">
        <f>D40*1*31</f>
        <v>2281.29</v>
      </c>
      <c r="Y40" s="70">
        <v>1</v>
      </c>
      <c r="Z40" s="71">
        <f>D40*1*30</f>
        <v>2207.6999999999998</v>
      </c>
      <c r="AA40" s="70">
        <v>1</v>
      </c>
      <c r="AB40" s="71">
        <f>D40*1*31</f>
        <v>2281.29</v>
      </c>
      <c r="AC40" s="71">
        <f t="shared" si="21"/>
        <v>26860.35</v>
      </c>
      <c r="AD40" s="87">
        <f>75*1</f>
        <v>75</v>
      </c>
      <c r="AE40" s="87">
        <f>AD40*12</f>
        <v>900</v>
      </c>
      <c r="AF40" s="87">
        <f>250*1</f>
        <v>250</v>
      </c>
      <c r="AG40" s="87">
        <f t="shared" si="29"/>
        <v>3000</v>
      </c>
      <c r="AH40" s="87">
        <f>500*1</f>
        <v>500</v>
      </c>
      <c r="AI40" s="87">
        <f t="shared" si="16"/>
        <v>6000</v>
      </c>
      <c r="AJ40" s="87">
        <f>1500*1</f>
        <v>1500</v>
      </c>
      <c r="AK40" s="87">
        <f t="shared" si="17"/>
        <v>18000</v>
      </c>
      <c r="AL40" s="71">
        <f t="shared" si="22"/>
        <v>2250</v>
      </c>
      <c r="AM40" s="71">
        <f t="shared" si="22"/>
        <v>27000</v>
      </c>
      <c r="AN40" s="71">
        <f t="shared" si="18"/>
        <v>4282.7</v>
      </c>
      <c r="AO40" s="71">
        <f>(((AC40+AE40+AI40+AK40)/12))</f>
        <v>4313.3599999999997</v>
      </c>
      <c r="AP40" s="73">
        <f>(((200/365)*365))*1</f>
        <v>200</v>
      </c>
      <c r="AQ40" s="74">
        <f t="shared" si="20"/>
        <v>63556.41</v>
      </c>
      <c r="AT40" s="40"/>
    </row>
    <row r="41" spans="1:46" ht="54.95" customHeight="1" x14ac:dyDescent="0.25">
      <c r="A41" s="75"/>
      <c r="B41" s="68" t="s">
        <v>28</v>
      </c>
      <c r="C41" s="13" t="s">
        <v>70</v>
      </c>
      <c r="D41" s="85">
        <v>74.63</v>
      </c>
      <c r="E41" s="70">
        <v>1</v>
      </c>
      <c r="F41" s="71">
        <v>0</v>
      </c>
      <c r="G41" s="70">
        <v>1</v>
      </c>
      <c r="H41" s="71">
        <v>0</v>
      </c>
      <c r="I41" s="70">
        <v>1</v>
      </c>
      <c r="J41" s="71">
        <v>0</v>
      </c>
      <c r="K41" s="70">
        <v>1</v>
      </c>
      <c r="L41" s="71">
        <v>0</v>
      </c>
      <c r="M41" s="70">
        <v>1</v>
      </c>
      <c r="N41" s="71">
        <v>0</v>
      </c>
      <c r="O41" s="70">
        <v>1</v>
      </c>
      <c r="P41" s="71">
        <v>0</v>
      </c>
      <c r="Q41" s="70">
        <v>1</v>
      </c>
      <c r="R41" s="71">
        <f>D41*1*31</f>
        <v>2313.5300000000002</v>
      </c>
      <c r="S41" s="70">
        <v>1</v>
      </c>
      <c r="T41" s="71">
        <f>D41*1*31</f>
        <v>2313.5300000000002</v>
      </c>
      <c r="U41" s="70">
        <v>1</v>
      </c>
      <c r="V41" s="71">
        <f>D41*1*30</f>
        <v>2238.9</v>
      </c>
      <c r="W41" s="70">
        <v>1</v>
      </c>
      <c r="X41" s="71">
        <f>D41*1*31</f>
        <v>2313.5300000000002</v>
      </c>
      <c r="Y41" s="70">
        <v>1</v>
      </c>
      <c r="Z41" s="71">
        <f>D41*1*30</f>
        <v>2238.9</v>
      </c>
      <c r="AA41" s="70">
        <v>1</v>
      </c>
      <c r="AB41" s="71">
        <f>D41*1*31</f>
        <v>2313.5300000000002</v>
      </c>
      <c r="AC41" s="71">
        <f t="shared" si="21"/>
        <v>13731.92</v>
      </c>
      <c r="AD41" s="87">
        <v>0</v>
      </c>
      <c r="AE41" s="87">
        <v>0</v>
      </c>
      <c r="AF41" s="87">
        <f>250</f>
        <v>250</v>
      </c>
      <c r="AG41" s="87">
        <f t="shared" si="29"/>
        <v>3000</v>
      </c>
      <c r="AH41" s="87">
        <f>500</f>
        <v>500</v>
      </c>
      <c r="AI41" s="87">
        <f t="shared" si="16"/>
        <v>6000</v>
      </c>
      <c r="AJ41" s="87">
        <f>1500</f>
        <v>1500</v>
      </c>
      <c r="AK41" s="87">
        <f t="shared" si="17"/>
        <v>18000</v>
      </c>
      <c r="AL41" s="71">
        <f>AF41+AH41+AJ41</f>
        <v>2250</v>
      </c>
      <c r="AM41" s="71">
        <f t="shared" si="22"/>
        <v>27000</v>
      </c>
      <c r="AN41" s="71">
        <f t="shared" si="18"/>
        <v>4238.8999999999996</v>
      </c>
      <c r="AO41" s="71">
        <f>(((AC41+AE41+AI41+AK41)/12))</f>
        <v>3144.33</v>
      </c>
      <c r="AP41" s="73">
        <f>(((200/365)*365))*1</f>
        <v>200</v>
      </c>
      <c r="AQ41" s="74">
        <f t="shared" si="20"/>
        <v>48315.15</v>
      </c>
      <c r="AT41" s="40"/>
    </row>
    <row r="42" spans="1:46" ht="54.95" customHeight="1" x14ac:dyDescent="0.25">
      <c r="A42" s="75"/>
      <c r="B42" s="68" t="s">
        <v>28</v>
      </c>
      <c r="C42" s="14" t="s">
        <v>30</v>
      </c>
      <c r="D42" s="69">
        <v>78.25</v>
      </c>
      <c r="E42" s="70">
        <v>2</v>
      </c>
      <c r="F42" s="71">
        <f t="shared" si="15"/>
        <v>4851.5</v>
      </c>
      <c r="G42" s="70">
        <v>2</v>
      </c>
      <c r="H42" s="71">
        <f t="shared" si="23"/>
        <v>4382</v>
      </c>
      <c r="I42" s="70">
        <v>2</v>
      </c>
      <c r="J42" s="71">
        <f t="shared" si="24"/>
        <v>4851.5</v>
      </c>
      <c r="K42" s="70">
        <v>2</v>
      </c>
      <c r="L42" s="71">
        <f t="shared" si="25"/>
        <v>4695</v>
      </c>
      <c r="M42" s="70">
        <v>2</v>
      </c>
      <c r="N42" s="71">
        <f t="shared" si="26"/>
        <v>4851.5</v>
      </c>
      <c r="O42" s="76">
        <v>2</v>
      </c>
      <c r="P42" s="71">
        <f t="shared" si="27"/>
        <v>4695</v>
      </c>
      <c r="Q42" s="76">
        <v>4</v>
      </c>
      <c r="R42" s="71">
        <f>D42*4*31</f>
        <v>9703</v>
      </c>
      <c r="S42" s="76">
        <v>4</v>
      </c>
      <c r="T42" s="71">
        <f>D42*4*31</f>
        <v>9703</v>
      </c>
      <c r="U42" s="76">
        <v>4</v>
      </c>
      <c r="V42" s="71">
        <f>D42*4*30</f>
        <v>9390</v>
      </c>
      <c r="W42" s="76">
        <v>4</v>
      </c>
      <c r="X42" s="71">
        <f>D42*4*31</f>
        <v>9703</v>
      </c>
      <c r="Y42" s="76">
        <v>4</v>
      </c>
      <c r="Z42" s="71">
        <f>D42*4*30</f>
        <v>9390</v>
      </c>
      <c r="AA42" s="76">
        <v>4</v>
      </c>
      <c r="AB42" s="71">
        <f>D42*4*31</f>
        <v>9703</v>
      </c>
      <c r="AC42" s="71">
        <f t="shared" si="21"/>
        <v>85918.5</v>
      </c>
      <c r="AD42" s="87">
        <f>0*0</f>
        <v>0</v>
      </c>
      <c r="AE42" s="87">
        <f t="shared" si="28"/>
        <v>0</v>
      </c>
      <c r="AF42" s="87">
        <f>250*4</f>
        <v>1000</v>
      </c>
      <c r="AG42" s="87">
        <f t="shared" si="29"/>
        <v>12000</v>
      </c>
      <c r="AH42" s="87">
        <f>1500</f>
        <v>1500</v>
      </c>
      <c r="AI42" s="87">
        <f t="shared" si="16"/>
        <v>18000</v>
      </c>
      <c r="AJ42" s="87">
        <f>1500*4</f>
        <v>6000</v>
      </c>
      <c r="AK42" s="87">
        <f t="shared" si="17"/>
        <v>72000</v>
      </c>
      <c r="AL42" s="71">
        <f>AF42+AH42+AJ42</f>
        <v>8500</v>
      </c>
      <c r="AM42" s="71">
        <f>AG42+AI42+AK42</f>
        <v>102000</v>
      </c>
      <c r="AN42" s="71">
        <f t="shared" si="18"/>
        <v>16890</v>
      </c>
      <c r="AO42" s="71">
        <f>(((AC42+AE42+AI42+AK42)/12))</f>
        <v>14659.88</v>
      </c>
      <c r="AP42" s="73">
        <f>(((200/365)*365))*4</f>
        <v>800</v>
      </c>
      <c r="AQ42" s="74">
        <f t="shared" si="20"/>
        <v>220268.38</v>
      </c>
      <c r="AT42" s="40"/>
    </row>
    <row r="43" spans="1:46" ht="54.95" customHeight="1" x14ac:dyDescent="0.25">
      <c r="A43" s="75"/>
      <c r="B43" s="68" t="s">
        <v>28</v>
      </c>
      <c r="C43" s="13" t="s">
        <v>34</v>
      </c>
      <c r="D43" s="69">
        <v>73.59</v>
      </c>
      <c r="E43" s="70">
        <v>1</v>
      </c>
      <c r="F43" s="71">
        <f t="shared" si="15"/>
        <v>2281.29</v>
      </c>
      <c r="G43" s="70">
        <v>1</v>
      </c>
      <c r="H43" s="71">
        <f t="shared" si="23"/>
        <v>2060.52</v>
      </c>
      <c r="I43" s="70">
        <v>1</v>
      </c>
      <c r="J43" s="71">
        <f t="shared" si="24"/>
        <v>2281.29</v>
      </c>
      <c r="K43" s="70">
        <v>1</v>
      </c>
      <c r="L43" s="71">
        <f t="shared" si="25"/>
        <v>2207.6999999999998</v>
      </c>
      <c r="M43" s="70">
        <v>1</v>
      </c>
      <c r="N43" s="71">
        <f t="shared" si="26"/>
        <v>2281.29</v>
      </c>
      <c r="O43" s="70">
        <v>1</v>
      </c>
      <c r="P43" s="71">
        <f t="shared" si="27"/>
        <v>2207.6999999999998</v>
      </c>
      <c r="Q43" s="70">
        <v>1</v>
      </c>
      <c r="R43" s="71">
        <f>D43*1*31</f>
        <v>2281.29</v>
      </c>
      <c r="S43" s="70">
        <v>1</v>
      </c>
      <c r="T43" s="71">
        <f>D43*1*31</f>
        <v>2281.29</v>
      </c>
      <c r="U43" s="70">
        <v>1</v>
      </c>
      <c r="V43" s="71">
        <f>D43*1*30</f>
        <v>2207.6999999999998</v>
      </c>
      <c r="W43" s="70">
        <v>1</v>
      </c>
      <c r="X43" s="71">
        <f>D43*1*31</f>
        <v>2281.29</v>
      </c>
      <c r="Y43" s="70">
        <v>1</v>
      </c>
      <c r="Z43" s="71">
        <f>D43*1*30</f>
        <v>2207.6999999999998</v>
      </c>
      <c r="AA43" s="70">
        <v>1</v>
      </c>
      <c r="AB43" s="71">
        <f>D43*1*31</f>
        <v>2281.29</v>
      </c>
      <c r="AC43" s="71">
        <f t="shared" si="21"/>
        <v>26860.35</v>
      </c>
      <c r="AD43" s="87">
        <f>75*1</f>
        <v>75</v>
      </c>
      <c r="AE43" s="87">
        <f>AD43*12</f>
        <v>900</v>
      </c>
      <c r="AF43" s="87">
        <f>250*1</f>
        <v>250</v>
      </c>
      <c r="AG43" s="87">
        <f t="shared" si="29"/>
        <v>3000</v>
      </c>
      <c r="AH43" s="87">
        <f>500*1</f>
        <v>500</v>
      </c>
      <c r="AI43" s="87">
        <f t="shared" si="16"/>
        <v>6000</v>
      </c>
      <c r="AJ43" s="87">
        <f>1500*1</f>
        <v>1500</v>
      </c>
      <c r="AK43" s="87">
        <f t="shared" si="17"/>
        <v>18000</v>
      </c>
      <c r="AL43" s="71">
        <f t="shared" si="22"/>
        <v>2250</v>
      </c>
      <c r="AM43" s="71">
        <f t="shared" si="22"/>
        <v>27000</v>
      </c>
      <c r="AN43" s="71">
        <f t="shared" si="18"/>
        <v>4282.7</v>
      </c>
      <c r="AO43" s="71">
        <f>(((AC43+AE43+AI43+AK43)/12))</f>
        <v>4313.3599999999997</v>
      </c>
      <c r="AP43" s="73">
        <f>(((200/365)*365))*1</f>
        <v>200</v>
      </c>
      <c r="AQ43" s="74">
        <f t="shared" si="20"/>
        <v>63556.41</v>
      </c>
      <c r="AT43" s="40"/>
    </row>
    <row r="44" spans="1:46" ht="38.25" x14ac:dyDescent="0.25">
      <c r="A44" s="75"/>
      <c r="B44" s="68" t="s">
        <v>28</v>
      </c>
      <c r="C44" s="13" t="s">
        <v>36</v>
      </c>
      <c r="D44" s="69">
        <v>75.64</v>
      </c>
      <c r="E44" s="70">
        <v>1</v>
      </c>
      <c r="F44" s="71">
        <f t="shared" si="15"/>
        <v>2344.84</v>
      </c>
      <c r="G44" s="70">
        <v>1</v>
      </c>
      <c r="H44" s="71">
        <f t="shared" si="23"/>
        <v>2117.92</v>
      </c>
      <c r="I44" s="70">
        <v>1</v>
      </c>
      <c r="J44" s="71">
        <f t="shared" si="24"/>
        <v>2344.84</v>
      </c>
      <c r="K44" s="70">
        <v>1</v>
      </c>
      <c r="L44" s="71">
        <f t="shared" si="25"/>
        <v>2269.1999999999998</v>
      </c>
      <c r="M44" s="70">
        <v>1</v>
      </c>
      <c r="N44" s="71">
        <f t="shared" si="26"/>
        <v>2344.84</v>
      </c>
      <c r="O44" s="70">
        <v>1</v>
      </c>
      <c r="P44" s="71">
        <f t="shared" si="27"/>
        <v>2269.1999999999998</v>
      </c>
      <c r="Q44" s="70">
        <v>1</v>
      </c>
      <c r="R44" s="71">
        <f>D44*1*31</f>
        <v>2344.84</v>
      </c>
      <c r="S44" s="70">
        <v>1</v>
      </c>
      <c r="T44" s="71">
        <f>D44*1*31</f>
        <v>2344.84</v>
      </c>
      <c r="U44" s="70">
        <v>1</v>
      </c>
      <c r="V44" s="71">
        <f>D44*1*30</f>
        <v>2269.1999999999998</v>
      </c>
      <c r="W44" s="70">
        <v>1</v>
      </c>
      <c r="X44" s="71">
        <f>D44*1*31</f>
        <v>2344.84</v>
      </c>
      <c r="Y44" s="70">
        <v>1</v>
      </c>
      <c r="Z44" s="71">
        <f>D44*1*30</f>
        <v>2269.1999999999998</v>
      </c>
      <c r="AA44" s="70">
        <v>1</v>
      </c>
      <c r="AB44" s="71">
        <f>D44*1*31</f>
        <v>2344.84</v>
      </c>
      <c r="AC44" s="71">
        <f t="shared" si="21"/>
        <v>27608.6</v>
      </c>
      <c r="AD44" s="87">
        <f>50</f>
        <v>50</v>
      </c>
      <c r="AE44" s="87">
        <f>AD44*12</f>
        <v>600</v>
      </c>
      <c r="AF44" s="87">
        <f>250</f>
        <v>250</v>
      </c>
      <c r="AG44" s="87">
        <f t="shared" si="29"/>
        <v>3000</v>
      </c>
      <c r="AH44" s="87">
        <f>500</f>
        <v>500</v>
      </c>
      <c r="AI44" s="87">
        <f t="shared" si="16"/>
        <v>6000</v>
      </c>
      <c r="AJ44" s="87">
        <f>1500*1</f>
        <v>1500</v>
      </c>
      <c r="AK44" s="87">
        <f t="shared" si="17"/>
        <v>18000</v>
      </c>
      <c r="AL44" s="71">
        <f t="shared" si="22"/>
        <v>2250</v>
      </c>
      <c r="AM44" s="71">
        <f t="shared" si="22"/>
        <v>27000</v>
      </c>
      <c r="AN44" s="71">
        <f t="shared" si="18"/>
        <v>4319.2</v>
      </c>
      <c r="AO44" s="71">
        <f t="shared" si="19"/>
        <v>4350.72</v>
      </c>
      <c r="AP44" s="73">
        <f>(((200/365)*365))*1</f>
        <v>200</v>
      </c>
      <c r="AQ44" s="74">
        <f t="shared" si="20"/>
        <v>64078.52</v>
      </c>
      <c r="AT44" s="40"/>
    </row>
    <row r="45" spans="1:46" ht="38.25" x14ac:dyDescent="0.25">
      <c r="A45" s="75"/>
      <c r="B45" s="68" t="s">
        <v>28</v>
      </c>
      <c r="C45" s="14" t="s">
        <v>23</v>
      </c>
      <c r="D45" s="69">
        <v>78.25</v>
      </c>
      <c r="E45" s="70">
        <v>2</v>
      </c>
      <c r="F45" s="71">
        <f t="shared" si="15"/>
        <v>4851.5</v>
      </c>
      <c r="G45" s="70">
        <v>2</v>
      </c>
      <c r="H45" s="71">
        <f t="shared" si="23"/>
        <v>4382</v>
      </c>
      <c r="I45" s="70">
        <v>2</v>
      </c>
      <c r="J45" s="71">
        <f t="shared" si="24"/>
        <v>4851.5</v>
      </c>
      <c r="K45" s="70">
        <v>2</v>
      </c>
      <c r="L45" s="71">
        <f t="shared" si="25"/>
        <v>4695</v>
      </c>
      <c r="M45" s="70">
        <v>2</v>
      </c>
      <c r="N45" s="71">
        <f t="shared" si="26"/>
        <v>4851.5</v>
      </c>
      <c r="O45" s="70">
        <v>2</v>
      </c>
      <c r="P45" s="71">
        <f t="shared" si="27"/>
        <v>4695</v>
      </c>
      <c r="Q45" s="70">
        <v>2</v>
      </c>
      <c r="R45" s="71">
        <f>D45*2*31</f>
        <v>4851.5</v>
      </c>
      <c r="S45" s="70">
        <v>2</v>
      </c>
      <c r="T45" s="71">
        <f>D45*2*31</f>
        <v>4851.5</v>
      </c>
      <c r="U45" s="70">
        <v>2</v>
      </c>
      <c r="V45" s="71">
        <f>D45*2*30</f>
        <v>4695</v>
      </c>
      <c r="W45" s="70">
        <v>2</v>
      </c>
      <c r="X45" s="71">
        <f>D45*2*31</f>
        <v>4851.5</v>
      </c>
      <c r="Y45" s="70">
        <v>2</v>
      </c>
      <c r="Z45" s="71">
        <f>D45*2*30</f>
        <v>4695</v>
      </c>
      <c r="AA45" s="70">
        <v>2</v>
      </c>
      <c r="AB45" s="71">
        <f>D45*2*31</f>
        <v>4851.5</v>
      </c>
      <c r="AC45" s="71">
        <f t="shared" si="21"/>
        <v>57122.5</v>
      </c>
      <c r="AD45" s="87">
        <f>0*0</f>
        <v>0</v>
      </c>
      <c r="AE45" s="87">
        <f t="shared" si="28"/>
        <v>0</v>
      </c>
      <c r="AF45" s="87">
        <f>250*2</f>
        <v>500</v>
      </c>
      <c r="AG45" s="87">
        <f t="shared" si="29"/>
        <v>6000</v>
      </c>
      <c r="AH45" s="87">
        <f>500*2</f>
        <v>1000</v>
      </c>
      <c r="AI45" s="87">
        <f t="shared" si="16"/>
        <v>12000</v>
      </c>
      <c r="AJ45" s="87">
        <f>1500*2</f>
        <v>3000</v>
      </c>
      <c r="AK45" s="87">
        <f t="shared" si="17"/>
        <v>36000</v>
      </c>
      <c r="AL45" s="71">
        <f t="shared" si="22"/>
        <v>4500</v>
      </c>
      <c r="AM45" s="71">
        <f t="shared" si="22"/>
        <v>54000</v>
      </c>
      <c r="AN45" s="71">
        <f>(((L45+AD45+AH45+AJ45)/365)*365)</f>
        <v>8695</v>
      </c>
      <c r="AO45" s="71">
        <f>(((AC45+AE45+AI45+AK45)/12))</f>
        <v>8760.2099999999991</v>
      </c>
      <c r="AP45" s="73">
        <f>(((200/365)*365))*2</f>
        <v>400</v>
      </c>
      <c r="AQ45" s="74">
        <f t="shared" si="20"/>
        <v>128977.71</v>
      </c>
      <c r="AT45" s="40"/>
    </row>
    <row r="46" spans="1:46" ht="38.25" x14ac:dyDescent="0.25">
      <c r="A46" s="75"/>
      <c r="B46" s="68" t="s">
        <v>28</v>
      </c>
      <c r="C46" s="84" t="s">
        <v>71</v>
      </c>
      <c r="D46" s="85">
        <v>72.540000000000006</v>
      </c>
      <c r="E46" s="70">
        <v>1</v>
      </c>
      <c r="F46" s="71">
        <v>0</v>
      </c>
      <c r="G46" s="70">
        <v>1</v>
      </c>
      <c r="H46" s="71">
        <v>0</v>
      </c>
      <c r="I46" s="70">
        <v>1</v>
      </c>
      <c r="J46" s="71">
        <v>0</v>
      </c>
      <c r="K46" s="70">
        <v>1</v>
      </c>
      <c r="L46" s="71">
        <v>0</v>
      </c>
      <c r="M46" s="70">
        <v>1</v>
      </c>
      <c r="N46" s="71">
        <v>0</v>
      </c>
      <c r="O46" s="70">
        <v>1</v>
      </c>
      <c r="P46" s="71">
        <v>0</v>
      </c>
      <c r="Q46" s="70">
        <v>1</v>
      </c>
      <c r="R46" s="71">
        <f>D46*1*31</f>
        <v>2248.7399999999998</v>
      </c>
      <c r="S46" s="70">
        <v>1</v>
      </c>
      <c r="T46" s="71">
        <f>D46*1*31</f>
        <v>2248.7399999999998</v>
      </c>
      <c r="U46" s="70">
        <v>1</v>
      </c>
      <c r="V46" s="71">
        <f>D46*1*30</f>
        <v>2176.1999999999998</v>
      </c>
      <c r="W46" s="70">
        <v>1</v>
      </c>
      <c r="X46" s="71">
        <f>D46*1*31</f>
        <v>2248.7399999999998</v>
      </c>
      <c r="Y46" s="70">
        <v>1</v>
      </c>
      <c r="Z46" s="71">
        <f>D46*1*30</f>
        <v>2176.1999999999998</v>
      </c>
      <c r="AA46" s="70">
        <v>1</v>
      </c>
      <c r="AB46" s="71">
        <f>D46*1*31</f>
        <v>2248.7399999999998</v>
      </c>
      <c r="AC46" s="71">
        <f t="shared" si="21"/>
        <v>13347.36</v>
      </c>
      <c r="AD46" s="87">
        <v>0</v>
      </c>
      <c r="AE46" s="87">
        <v>0</v>
      </c>
      <c r="AF46" s="87">
        <f>250</f>
        <v>250</v>
      </c>
      <c r="AG46" s="87">
        <f>AF46*6</f>
        <v>1500</v>
      </c>
      <c r="AH46" s="87">
        <f>567</f>
        <v>567</v>
      </c>
      <c r="AI46" s="87">
        <f>AH46*6</f>
        <v>3402</v>
      </c>
      <c r="AJ46" s="87">
        <f>1500</f>
        <v>1500</v>
      </c>
      <c r="AK46" s="87">
        <f t="shared" si="17"/>
        <v>18000</v>
      </c>
      <c r="AL46" s="71">
        <f>AF46+AH46+AJ46</f>
        <v>2317</v>
      </c>
      <c r="AM46" s="71">
        <f>AG46+AI46+AK46</f>
        <v>22902</v>
      </c>
      <c r="AN46" s="71">
        <f>(((Z46+AD46+AH46+AJ46)/365)*365)</f>
        <v>4243.2</v>
      </c>
      <c r="AO46" s="71">
        <f>(((AC46+AE46+AI46+AK46)/12))</f>
        <v>2895.78</v>
      </c>
      <c r="AP46" s="73">
        <f>(((200/365)*365))*1</f>
        <v>200</v>
      </c>
      <c r="AQ46" s="74">
        <f t="shared" si="20"/>
        <v>43588.34</v>
      </c>
      <c r="AT46" s="40"/>
    </row>
    <row r="47" spans="1:46" ht="38.25" x14ac:dyDescent="0.25">
      <c r="A47" s="75"/>
      <c r="B47" s="68" t="s">
        <v>28</v>
      </c>
      <c r="C47" s="90" t="s">
        <v>64</v>
      </c>
      <c r="D47" s="91">
        <v>72.540000000000006</v>
      </c>
      <c r="E47" s="70">
        <v>1</v>
      </c>
      <c r="F47" s="71">
        <f t="shared" si="15"/>
        <v>2248.7399999999998</v>
      </c>
      <c r="G47" s="70">
        <v>1</v>
      </c>
      <c r="H47" s="71">
        <f t="shared" si="23"/>
        <v>2031.12</v>
      </c>
      <c r="I47" s="70">
        <v>1</v>
      </c>
      <c r="J47" s="71">
        <f t="shared" si="24"/>
        <v>2248.7399999999998</v>
      </c>
      <c r="K47" s="70">
        <v>1</v>
      </c>
      <c r="L47" s="71">
        <f t="shared" si="25"/>
        <v>2176.1999999999998</v>
      </c>
      <c r="M47" s="70">
        <v>1</v>
      </c>
      <c r="N47" s="71">
        <f t="shared" si="26"/>
        <v>2248.7399999999998</v>
      </c>
      <c r="O47" s="70">
        <v>1</v>
      </c>
      <c r="P47" s="71">
        <f t="shared" si="27"/>
        <v>2176.1999999999998</v>
      </c>
      <c r="Q47" s="70">
        <v>1</v>
      </c>
      <c r="R47" s="71">
        <f>D47*1*31</f>
        <v>2248.7399999999998</v>
      </c>
      <c r="S47" s="70">
        <v>1</v>
      </c>
      <c r="T47" s="71">
        <f>D47*1*31</f>
        <v>2248.7399999999998</v>
      </c>
      <c r="U47" s="70">
        <v>1</v>
      </c>
      <c r="V47" s="71">
        <f>D47*1*30</f>
        <v>2176.1999999999998</v>
      </c>
      <c r="W47" s="70">
        <v>1</v>
      </c>
      <c r="X47" s="71">
        <f>D47*1*31</f>
        <v>2248.7399999999998</v>
      </c>
      <c r="Y47" s="70">
        <v>1</v>
      </c>
      <c r="Z47" s="71">
        <f>D47*1*30</f>
        <v>2176.1999999999998</v>
      </c>
      <c r="AA47" s="70">
        <v>1</v>
      </c>
      <c r="AB47" s="71">
        <f>D47*1*31</f>
        <v>2248.7399999999998</v>
      </c>
      <c r="AC47" s="71">
        <f t="shared" si="21"/>
        <v>26477.1</v>
      </c>
      <c r="AD47" s="87">
        <v>0</v>
      </c>
      <c r="AE47" s="87">
        <v>0</v>
      </c>
      <c r="AF47" s="87">
        <f>250*1</f>
        <v>250</v>
      </c>
      <c r="AG47" s="87">
        <f>AF47*12</f>
        <v>3000</v>
      </c>
      <c r="AH47" s="87">
        <f>517*1</f>
        <v>517</v>
      </c>
      <c r="AI47" s="87">
        <f>AH47*12</f>
        <v>6204</v>
      </c>
      <c r="AJ47" s="87">
        <f>1500*1</f>
        <v>1500</v>
      </c>
      <c r="AK47" s="87">
        <f t="shared" si="17"/>
        <v>18000</v>
      </c>
      <c r="AL47" s="71">
        <f t="shared" si="22"/>
        <v>2267</v>
      </c>
      <c r="AM47" s="71">
        <f t="shared" si="22"/>
        <v>27204</v>
      </c>
      <c r="AN47" s="71">
        <f>(((Z47+AD47+AH47+AJ47)/365)*365)</f>
        <v>4193.2</v>
      </c>
      <c r="AO47" s="71">
        <f>(((AC47+AE47+AI47+AK47)/12))</f>
        <v>4223.43</v>
      </c>
      <c r="AP47" s="73">
        <f>(((200/365)*365))*1</f>
        <v>200</v>
      </c>
      <c r="AQ47" s="74">
        <f t="shared" si="20"/>
        <v>62297.73</v>
      </c>
      <c r="AT47" s="40"/>
    </row>
    <row r="48" spans="1:46" x14ac:dyDescent="0.25">
      <c r="A48" s="75"/>
      <c r="B48" s="68"/>
      <c r="C48" s="35"/>
      <c r="D48" s="69"/>
      <c r="E48" s="77">
        <f>SUM(E31:E47)</f>
        <v>50</v>
      </c>
      <c r="F48" s="78">
        <f>SUM(F31:F47)</f>
        <v>110542.59</v>
      </c>
      <c r="G48" s="70"/>
      <c r="H48" s="78">
        <f>SUM(H31:H47)</f>
        <v>97813.8</v>
      </c>
      <c r="I48" s="70"/>
      <c r="J48" s="78">
        <f>SUM(J31:J47)</f>
        <v>109222.05</v>
      </c>
      <c r="K48" s="70"/>
      <c r="L48" s="78">
        <f>SUM(L31:L47)</f>
        <v>104800.5</v>
      </c>
      <c r="M48" s="70"/>
      <c r="N48" s="79">
        <f>SUM(N31:N47)</f>
        <v>108293.85</v>
      </c>
      <c r="O48" s="70"/>
      <c r="P48" s="79">
        <f>SUM(P31:P47)</f>
        <v>104766.3</v>
      </c>
      <c r="Q48" s="70"/>
      <c r="R48" s="79">
        <f>SUM(R31:R47)</f>
        <v>142561.56</v>
      </c>
      <c r="S48" s="70"/>
      <c r="T48" s="80">
        <f>SUM(T31:T47)</f>
        <v>142561.56</v>
      </c>
      <c r="U48" s="70"/>
      <c r="V48" s="78">
        <f>SUM(V31:V47)</f>
        <v>140139</v>
      </c>
      <c r="W48" s="92"/>
      <c r="X48" s="78">
        <f>SUM(X31:X47)</f>
        <v>144810.29999999999</v>
      </c>
      <c r="Y48" s="70"/>
      <c r="Z48" s="78">
        <f>SUM(Z31:Z47)</f>
        <v>140139</v>
      </c>
      <c r="AA48" s="70"/>
      <c r="AB48" s="78">
        <f t="shared" ref="AB48:AQ48" si="30">SUM(AB31:AB47)</f>
        <v>144810.29999999999</v>
      </c>
      <c r="AC48" s="78">
        <f>SUM(AC31:AC47)</f>
        <v>1490460.81</v>
      </c>
      <c r="AD48" s="81">
        <f t="shared" si="30"/>
        <v>1100</v>
      </c>
      <c r="AE48" s="81">
        <f t="shared" si="30"/>
        <v>12850</v>
      </c>
      <c r="AF48" s="81">
        <f t="shared" si="30"/>
        <v>15750</v>
      </c>
      <c r="AG48" s="81">
        <f t="shared" si="30"/>
        <v>178750</v>
      </c>
      <c r="AH48" s="81">
        <f t="shared" si="30"/>
        <v>29839</v>
      </c>
      <c r="AI48" s="81">
        <f t="shared" si="30"/>
        <v>354666</v>
      </c>
      <c r="AJ48" s="81">
        <f t="shared" si="30"/>
        <v>94500</v>
      </c>
      <c r="AK48" s="81">
        <f t="shared" si="30"/>
        <v>1134000</v>
      </c>
      <c r="AL48" s="81">
        <f t="shared" si="30"/>
        <v>140089</v>
      </c>
      <c r="AM48" s="81">
        <f t="shared" si="30"/>
        <v>1667416</v>
      </c>
      <c r="AN48" s="81">
        <f t="shared" si="30"/>
        <v>265578</v>
      </c>
      <c r="AO48" s="81">
        <f t="shared" si="30"/>
        <v>249331.42</v>
      </c>
      <c r="AP48" s="81">
        <f>SUM(AP31:AP47)</f>
        <v>12600</v>
      </c>
      <c r="AQ48" s="93">
        <f t="shared" si="30"/>
        <v>3698236.23</v>
      </c>
      <c r="AT48" s="40"/>
    </row>
    <row r="49" spans="1:48" ht="54.95" customHeight="1" x14ac:dyDescent="0.25">
      <c r="A49" s="75"/>
      <c r="B49" s="68" t="s">
        <v>66</v>
      </c>
      <c r="C49" s="94" t="s">
        <v>56</v>
      </c>
      <c r="D49" s="27">
        <v>75.64</v>
      </c>
      <c r="E49" s="95">
        <v>2</v>
      </c>
      <c r="F49" s="86">
        <f>D49*E49*31</f>
        <v>4689.68</v>
      </c>
      <c r="G49" s="96">
        <v>2</v>
      </c>
      <c r="H49" s="86">
        <f>D49*E49*28</f>
        <v>4235.84</v>
      </c>
      <c r="I49" s="96">
        <v>2</v>
      </c>
      <c r="J49" s="86">
        <f>D49*E49*31</f>
        <v>4689.68</v>
      </c>
      <c r="K49" s="96">
        <v>2</v>
      </c>
      <c r="L49" s="86">
        <f>D49*E49*30</f>
        <v>4538.3999999999996</v>
      </c>
      <c r="M49" s="96">
        <v>2</v>
      </c>
      <c r="N49" s="86">
        <f>D49*E49*31</f>
        <v>4689.68</v>
      </c>
      <c r="O49" s="96">
        <v>2</v>
      </c>
      <c r="P49" s="86">
        <f>D49*E49*30</f>
        <v>4538.3999999999996</v>
      </c>
      <c r="Q49" s="96">
        <v>2</v>
      </c>
      <c r="R49" s="86">
        <f>D49*2*31</f>
        <v>4689.68</v>
      </c>
      <c r="S49" s="96">
        <v>2</v>
      </c>
      <c r="T49" s="86">
        <f>D49*2*31</f>
        <v>4689.68</v>
      </c>
      <c r="U49" s="96">
        <v>2</v>
      </c>
      <c r="V49" s="86">
        <f>D49*2*30</f>
        <v>4538.3999999999996</v>
      </c>
      <c r="W49" s="96">
        <v>2</v>
      </c>
      <c r="X49" s="86">
        <f>D49*2*31</f>
        <v>4689.68</v>
      </c>
      <c r="Y49" s="96">
        <v>2</v>
      </c>
      <c r="Z49" s="86">
        <f>D49*2*30</f>
        <v>4538.3999999999996</v>
      </c>
      <c r="AA49" s="96">
        <v>2</v>
      </c>
      <c r="AB49" s="86">
        <f>D49*2*31</f>
        <v>4689.68</v>
      </c>
      <c r="AC49" s="71">
        <f>F49+H49+J49+L49+N49+P49+R49+T49+V49+X49+Z49+AB49</f>
        <v>55217.2</v>
      </c>
      <c r="AD49" s="71">
        <f>0*0</f>
        <v>0</v>
      </c>
      <c r="AE49" s="71">
        <f>AD49*6</f>
        <v>0</v>
      </c>
      <c r="AF49" s="71">
        <f>250*2</f>
        <v>500</v>
      </c>
      <c r="AG49" s="71">
        <f>AF49*12</f>
        <v>6000</v>
      </c>
      <c r="AH49" s="71">
        <f>600</f>
        <v>600</v>
      </c>
      <c r="AI49" s="71">
        <f>AH49*12</f>
        <v>7200</v>
      </c>
      <c r="AJ49" s="71">
        <f>1500*2</f>
        <v>3000</v>
      </c>
      <c r="AK49" s="71">
        <f>AJ49*12</f>
        <v>36000</v>
      </c>
      <c r="AL49" s="71">
        <f>AF49+AH49+AJ49</f>
        <v>4100</v>
      </c>
      <c r="AM49" s="71">
        <f>AG49+AI49+AK49</f>
        <v>49200</v>
      </c>
      <c r="AN49" s="71">
        <f>(((Z49+AD49+AH49+AJ49)/365)*365)</f>
        <v>8138.4</v>
      </c>
      <c r="AO49" s="71">
        <f>(((AC49+AE49+AI49+AK49)/12))</f>
        <v>8201.43</v>
      </c>
      <c r="AP49" s="73">
        <f>(((200/365)*365))*2</f>
        <v>400</v>
      </c>
      <c r="AQ49" s="74">
        <f>AC49+AE49+AG49+AI49+AK49+AN49+AO49+AP49</f>
        <v>121157.03</v>
      </c>
      <c r="AT49" s="40"/>
      <c r="AV49" s="40"/>
    </row>
    <row r="50" spans="1:48" x14ac:dyDescent="0.25">
      <c r="A50" s="75"/>
      <c r="B50" s="68" t="s">
        <v>67</v>
      </c>
      <c r="C50" s="13"/>
      <c r="D50" s="69"/>
      <c r="E50" s="77">
        <f>SUM(E49)</f>
        <v>2</v>
      </c>
      <c r="F50" s="81">
        <f>SUM(F49)</f>
        <v>4689.68</v>
      </c>
      <c r="G50" s="70"/>
      <c r="H50" s="81">
        <f>SUM(H49)</f>
        <v>4235.84</v>
      </c>
      <c r="I50" s="70"/>
      <c r="J50" s="81">
        <f>SUM(J49)</f>
        <v>4689.68</v>
      </c>
      <c r="K50" s="70"/>
      <c r="L50" s="81">
        <f>SUM(L49)</f>
        <v>4538.3999999999996</v>
      </c>
      <c r="M50" s="70"/>
      <c r="N50" s="97">
        <f>SUM(N49)</f>
        <v>4689.68</v>
      </c>
      <c r="O50" s="70"/>
      <c r="P50" s="97">
        <f>SUM(P49)</f>
        <v>4538.3999999999996</v>
      </c>
      <c r="Q50" s="70"/>
      <c r="R50" s="97">
        <f>SUM(R49)</f>
        <v>4689.68</v>
      </c>
      <c r="S50" s="70"/>
      <c r="T50" s="98">
        <f>SUM(T49)</f>
        <v>4689.68</v>
      </c>
      <c r="U50" s="70"/>
      <c r="V50" s="81">
        <f>SUM(V49)</f>
        <v>4538.3999999999996</v>
      </c>
      <c r="W50" s="70"/>
      <c r="X50" s="97">
        <f>SUM(X49)</f>
        <v>4689.68</v>
      </c>
      <c r="Y50" s="70"/>
      <c r="Z50" s="81">
        <f>SUM(Z49)</f>
        <v>4538.3999999999996</v>
      </c>
      <c r="AA50" s="70"/>
      <c r="AB50" s="81">
        <f t="shared" ref="AB50:AQ50" si="31">SUM(AB49)</f>
        <v>4689.68</v>
      </c>
      <c r="AC50" s="78">
        <f t="shared" si="31"/>
        <v>55217.2</v>
      </c>
      <c r="AD50" s="81">
        <f t="shared" si="31"/>
        <v>0</v>
      </c>
      <c r="AE50" s="81">
        <f t="shared" si="31"/>
        <v>0</v>
      </c>
      <c r="AF50" s="81">
        <f t="shared" si="31"/>
        <v>500</v>
      </c>
      <c r="AG50" s="81">
        <f t="shared" si="31"/>
        <v>6000</v>
      </c>
      <c r="AH50" s="81">
        <f t="shared" si="31"/>
        <v>600</v>
      </c>
      <c r="AI50" s="81">
        <f t="shared" si="31"/>
        <v>7200</v>
      </c>
      <c r="AJ50" s="81">
        <f t="shared" si="31"/>
        <v>3000</v>
      </c>
      <c r="AK50" s="81">
        <f t="shared" si="31"/>
        <v>36000</v>
      </c>
      <c r="AL50" s="81">
        <f t="shared" si="31"/>
        <v>4100</v>
      </c>
      <c r="AM50" s="81">
        <f t="shared" si="31"/>
        <v>49200</v>
      </c>
      <c r="AN50" s="81">
        <f t="shared" si="31"/>
        <v>8138.4</v>
      </c>
      <c r="AO50" s="81">
        <f t="shared" si="31"/>
        <v>8201.43</v>
      </c>
      <c r="AP50" s="81">
        <f t="shared" si="31"/>
        <v>400</v>
      </c>
      <c r="AQ50" s="93">
        <f t="shared" si="31"/>
        <v>121157.03</v>
      </c>
      <c r="AT50" s="40"/>
    </row>
    <row r="51" spans="1:48" ht="25.5" x14ac:dyDescent="0.25">
      <c r="A51" s="75"/>
      <c r="B51" s="68" t="s">
        <v>73</v>
      </c>
      <c r="C51" s="94" t="s">
        <v>22</v>
      </c>
      <c r="D51" s="27">
        <v>71.400000000000006</v>
      </c>
      <c r="E51" s="95">
        <v>1</v>
      </c>
      <c r="F51" s="86">
        <v>0</v>
      </c>
      <c r="G51" s="96">
        <v>1</v>
      </c>
      <c r="H51" s="86">
        <v>0</v>
      </c>
      <c r="I51" s="96">
        <v>1</v>
      </c>
      <c r="J51" s="86">
        <v>0</v>
      </c>
      <c r="K51" s="96">
        <v>1</v>
      </c>
      <c r="L51" s="86">
        <v>0</v>
      </c>
      <c r="M51" s="96">
        <v>1</v>
      </c>
      <c r="N51" s="86">
        <v>0</v>
      </c>
      <c r="O51" s="96">
        <v>1</v>
      </c>
      <c r="P51" s="86">
        <v>0</v>
      </c>
      <c r="Q51" s="96">
        <v>1</v>
      </c>
      <c r="R51" s="86">
        <v>0</v>
      </c>
      <c r="S51" s="96">
        <v>1</v>
      </c>
      <c r="T51" s="86">
        <f>D51*1*29</f>
        <v>2070.6</v>
      </c>
      <c r="U51" s="96">
        <v>1</v>
      </c>
      <c r="V51" s="86">
        <f>D51*1*30</f>
        <v>2142</v>
      </c>
      <c r="W51" s="96">
        <v>1</v>
      </c>
      <c r="X51" s="86">
        <f>D51*1*31</f>
        <v>2213.4</v>
      </c>
      <c r="Y51" s="96">
        <v>1</v>
      </c>
      <c r="Z51" s="86">
        <f>D51*1*30</f>
        <v>2142</v>
      </c>
      <c r="AA51" s="96">
        <v>1</v>
      </c>
      <c r="AB51" s="86">
        <f>D51*1*31</f>
        <v>2213.4</v>
      </c>
      <c r="AC51" s="71">
        <f>F51+H51+J51+L51+N51+P51+R51+T51+V51+X51+Z51+AB51</f>
        <v>10781.4</v>
      </c>
      <c r="AD51" s="71">
        <f>0*0</f>
        <v>0</v>
      </c>
      <c r="AE51" s="71">
        <f>AD51*6</f>
        <v>0</v>
      </c>
      <c r="AF51" s="71">
        <v>250</v>
      </c>
      <c r="AG51" s="71">
        <f>AF51*5</f>
        <v>1250</v>
      </c>
      <c r="AH51" s="71">
        <v>0</v>
      </c>
      <c r="AI51" s="71">
        <v>0</v>
      </c>
      <c r="AJ51" s="71">
        <v>1500</v>
      </c>
      <c r="AK51" s="71">
        <f>AJ51*5</f>
        <v>7500</v>
      </c>
      <c r="AL51" s="71">
        <f>AF51+AH51+AJ51</f>
        <v>1750</v>
      </c>
      <c r="AM51" s="71">
        <f>AG51+AI51+AK51</f>
        <v>8750</v>
      </c>
      <c r="AN51" s="71">
        <f>(((Z51+AD51+AH51+AJ51)/365)*365)</f>
        <v>3642</v>
      </c>
      <c r="AO51" s="71">
        <f>(((AC51+AE51+AI51+AK51)/12))</f>
        <v>1523.45</v>
      </c>
      <c r="AP51" s="73">
        <f>(((200/365)*365))*1</f>
        <v>200</v>
      </c>
      <c r="AQ51" s="74">
        <f>AC51+AE51+AG51+AI51+AK51+AN51+AO51+AP51</f>
        <v>24896.85</v>
      </c>
      <c r="AT51" s="40"/>
    </row>
    <row r="52" spans="1:48" x14ac:dyDescent="0.25">
      <c r="A52" s="75"/>
      <c r="B52" s="68" t="s">
        <v>67</v>
      </c>
      <c r="C52" s="13"/>
      <c r="D52" s="69"/>
      <c r="E52" s="77">
        <f>SUM(E51)</f>
        <v>1</v>
      </c>
      <c r="F52" s="81">
        <f>SUM(F51)</f>
        <v>0</v>
      </c>
      <c r="G52" s="70"/>
      <c r="H52" s="81">
        <f>SUM(H51)</f>
        <v>0</v>
      </c>
      <c r="I52" s="70"/>
      <c r="J52" s="81">
        <f>SUM(J51)</f>
        <v>0</v>
      </c>
      <c r="K52" s="70"/>
      <c r="L52" s="81">
        <f>SUM(L51)</f>
        <v>0</v>
      </c>
      <c r="M52" s="70"/>
      <c r="N52" s="97">
        <f>SUM(N51)</f>
        <v>0</v>
      </c>
      <c r="O52" s="70"/>
      <c r="P52" s="97">
        <f>SUM(P51)</f>
        <v>0</v>
      </c>
      <c r="Q52" s="70"/>
      <c r="R52" s="97">
        <f>SUM(R51)</f>
        <v>0</v>
      </c>
      <c r="S52" s="70"/>
      <c r="T52" s="98">
        <f>SUM(T51)</f>
        <v>2070.6</v>
      </c>
      <c r="U52" s="70"/>
      <c r="V52" s="81">
        <f>SUM(V51)</f>
        <v>2142</v>
      </c>
      <c r="W52" s="70"/>
      <c r="X52" s="97">
        <f>SUM(X51)</f>
        <v>2213.4</v>
      </c>
      <c r="Y52" s="70"/>
      <c r="Z52" s="81">
        <f>SUM(Z51)</f>
        <v>2142</v>
      </c>
      <c r="AA52" s="70"/>
      <c r="AB52" s="81">
        <f t="shared" ref="AB52:AQ52" si="32">SUM(AB51)</f>
        <v>2213.4</v>
      </c>
      <c r="AC52" s="78">
        <f t="shared" si="32"/>
        <v>10781.4</v>
      </c>
      <c r="AD52" s="81">
        <f t="shared" si="32"/>
        <v>0</v>
      </c>
      <c r="AE52" s="81">
        <f t="shared" si="32"/>
        <v>0</v>
      </c>
      <c r="AF52" s="81">
        <f t="shared" si="32"/>
        <v>250</v>
      </c>
      <c r="AG52" s="81">
        <f t="shared" si="32"/>
        <v>1250</v>
      </c>
      <c r="AH52" s="81">
        <f t="shared" si="32"/>
        <v>0</v>
      </c>
      <c r="AI52" s="81">
        <f t="shared" si="32"/>
        <v>0</v>
      </c>
      <c r="AJ52" s="81">
        <f t="shared" si="32"/>
        <v>1500</v>
      </c>
      <c r="AK52" s="81">
        <f t="shared" si="32"/>
        <v>7500</v>
      </c>
      <c r="AL52" s="81">
        <f t="shared" si="32"/>
        <v>1750</v>
      </c>
      <c r="AM52" s="81">
        <f t="shared" si="32"/>
        <v>8750</v>
      </c>
      <c r="AN52" s="81">
        <f t="shared" si="32"/>
        <v>3642</v>
      </c>
      <c r="AO52" s="81">
        <f t="shared" si="32"/>
        <v>1523.45</v>
      </c>
      <c r="AP52" s="81">
        <f t="shared" si="32"/>
        <v>200</v>
      </c>
      <c r="AQ52" s="93">
        <f t="shared" si="32"/>
        <v>24896.85</v>
      </c>
      <c r="AU52" s="40"/>
    </row>
    <row r="53" spans="1:48" ht="63.75" x14ac:dyDescent="0.25">
      <c r="A53" s="75"/>
      <c r="B53" s="68" t="s">
        <v>55</v>
      </c>
      <c r="C53" s="13" t="s">
        <v>58</v>
      </c>
      <c r="D53" s="27">
        <v>80.86</v>
      </c>
      <c r="E53" s="99">
        <v>5</v>
      </c>
      <c r="F53" s="71">
        <f>D53*E53*31</f>
        <v>12533.3</v>
      </c>
      <c r="G53" s="99">
        <v>5</v>
      </c>
      <c r="H53" s="71">
        <f>D53*E53*28</f>
        <v>11320.4</v>
      </c>
      <c r="I53" s="100">
        <v>5</v>
      </c>
      <c r="J53" s="71">
        <f>D53*E53*31-889.46</f>
        <v>11643.84</v>
      </c>
      <c r="K53" s="99">
        <v>5</v>
      </c>
      <c r="L53" s="71">
        <f>D53*E53*30</f>
        <v>12129</v>
      </c>
      <c r="M53" s="99">
        <v>5</v>
      </c>
      <c r="N53" s="71">
        <f>D53*E53*31</f>
        <v>12533.3</v>
      </c>
      <c r="O53" s="99">
        <v>5</v>
      </c>
      <c r="P53" s="71">
        <f>D53*E53*30</f>
        <v>12129</v>
      </c>
      <c r="Q53" s="99">
        <v>5</v>
      </c>
      <c r="R53" s="71">
        <f>D53*5*31</f>
        <v>12533.3</v>
      </c>
      <c r="S53" s="99">
        <v>5</v>
      </c>
      <c r="T53" s="71">
        <f>D53*5*31</f>
        <v>12533.3</v>
      </c>
      <c r="U53" s="99">
        <v>5</v>
      </c>
      <c r="V53" s="71">
        <f>D53*5*30</f>
        <v>12129</v>
      </c>
      <c r="W53" s="99">
        <v>5</v>
      </c>
      <c r="X53" s="71">
        <f>D53*5*31</f>
        <v>12533.3</v>
      </c>
      <c r="Y53" s="99">
        <v>5</v>
      </c>
      <c r="Z53" s="71">
        <f>D53*5*30</f>
        <v>12129</v>
      </c>
      <c r="AA53" s="99">
        <v>5</v>
      </c>
      <c r="AB53" s="71">
        <f>D53*5*31</f>
        <v>12533.3</v>
      </c>
      <c r="AC53" s="71">
        <f>F53+H53+J53+L53+N53+P53+R53+T53+V53+X53+Z53+AB53</f>
        <v>146680.04</v>
      </c>
      <c r="AD53" s="87">
        <f>0*0</f>
        <v>0</v>
      </c>
      <c r="AE53" s="87">
        <f>AD53*6</f>
        <v>0</v>
      </c>
      <c r="AF53" s="87">
        <f>250*5</f>
        <v>1250</v>
      </c>
      <c r="AG53" s="87">
        <f>AF53*12</f>
        <v>15000</v>
      </c>
      <c r="AH53" s="87">
        <f>250*5</f>
        <v>1250</v>
      </c>
      <c r="AI53" s="87">
        <f>AH53*6</f>
        <v>7500</v>
      </c>
      <c r="AJ53" s="87">
        <f>1500*5</f>
        <v>7500</v>
      </c>
      <c r="AK53" s="87">
        <f>AJ53*12</f>
        <v>90000</v>
      </c>
      <c r="AL53" s="71">
        <f>AF53+AH53+AJ53</f>
        <v>10000</v>
      </c>
      <c r="AM53" s="71">
        <f t="shared" ref="AL53:AM55" si="33">AG53+AI53+AK53</f>
        <v>112500</v>
      </c>
      <c r="AN53" s="71">
        <f>(((Z53+AD53+AH53+AJ53)/365)*365)</f>
        <v>20879</v>
      </c>
      <c r="AO53" s="71">
        <f>(((AC53+AE53+AI53+AK53)/12))</f>
        <v>20348.34</v>
      </c>
      <c r="AP53" s="73">
        <f>(((200/365)*365))*5</f>
        <v>1000</v>
      </c>
      <c r="AQ53" s="74">
        <f>AC53+AE53+AG53+AI53+AK53+AN53+AO53+AP53</f>
        <v>301407.38</v>
      </c>
      <c r="AU53" s="40"/>
    </row>
    <row r="54" spans="1:48" ht="63.75" x14ac:dyDescent="0.25">
      <c r="A54" s="75"/>
      <c r="B54" s="68" t="s">
        <v>55</v>
      </c>
      <c r="C54" s="13" t="s">
        <v>57</v>
      </c>
      <c r="D54" s="27">
        <v>71.400000000000006</v>
      </c>
      <c r="E54" s="99">
        <v>2</v>
      </c>
      <c r="F54" s="71">
        <f>D54*E54*31</f>
        <v>4426.8</v>
      </c>
      <c r="G54" s="99">
        <v>2</v>
      </c>
      <c r="H54" s="71">
        <f>D54*E54*28</f>
        <v>3998.4</v>
      </c>
      <c r="I54" s="99">
        <v>2</v>
      </c>
      <c r="J54" s="71">
        <f>D54*E54*31</f>
        <v>4426.8</v>
      </c>
      <c r="K54" s="100">
        <v>2</v>
      </c>
      <c r="L54" s="71">
        <f>D54*E54*30</f>
        <v>4284</v>
      </c>
      <c r="M54" s="100">
        <v>2</v>
      </c>
      <c r="N54" s="71">
        <f>D54*E54*31</f>
        <v>4426.8</v>
      </c>
      <c r="O54" s="99">
        <v>2</v>
      </c>
      <c r="P54" s="71">
        <f>D54*E54*30</f>
        <v>4284</v>
      </c>
      <c r="Q54" s="100">
        <v>1</v>
      </c>
      <c r="R54" s="71">
        <f>D54*1*31</f>
        <v>2213.4</v>
      </c>
      <c r="S54" s="100">
        <v>1</v>
      </c>
      <c r="T54" s="71">
        <f>D54*1*31</f>
        <v>2213.4</v>
      </c>
      <c r="U54" s="100">
        <v>1</v>
      </c>
      <c r="V54" s="71">
        <f>D54*1*30</f>
        <v>2142</v>
      </c>
      <c r="W54" s="100">
        <v>1</v>
      </c>
      <c r="X54" s="71">
        <f>D54*1*31</f>
        <v>2213.4</v>
      </c>
      <c r="Y54" s="100">
        <v>1</v>
      </c>
      <c r="Z54" s="71">
        <f>D54*1*30</f>
        <v>2142</v>
      </c>
      <c r="AA54" s="100">
        <v>1</v>
      </c>
      <c r="AB54" s="71">
        <f>D54*1*31</f>
        <v>2213.4</v>
      </c>
      <c r="AC54" s="71">
        <f>F54+H54+J54+L54+N54+P54+R54+T54+V54+X54+Z54+AB54</f>
        <v>38984.400000000001</v>
      </c>
      <c r="AD54" s="87">
        <f>0*0</f>
        <v>0</v>
      </c>
      <c r="AE54" s="87">
        <f>AD54*6</f>
        <v>0</v>
      </c>
      <c r="AF54" s="87">
        <f>250*1</f>
        <v>250</v>
      </c>
      <c r="AG54" s="87">
        <f>AF54*12</f>
        <v>3000</v>
      </c>
      <c r="AH54" s="87">
        <f>373*1</f>
        <v>373</v>
      </c>
      <c r="AI54" s="87">
        <f>AH54*6</f>
        <v>2238</v>
      </c>
      <c r="AJ54" s="87">
        <f>1500*1</f>
        <v>1500</v>
      </c>
      <c r="AK54" s="87">
        <f>AJ54*12</f>
        <v>18000</v>
      </c>
      <c r="AL54" s="71">
        <f t="shared" si="33"/>
        <v>2123</v>
      </c>
      <c r="AM54" s="71">
        <f t="shared" si="33"/>
        <v>23238</v>
      </c>
      <c r="AN54" s="71">
        <f>(((Z54+AD54+AH54+AJ54)/365)*365)</f>
        <v>4015</v>
      </c>
      <c r="AO54" s="71">
        <f>(((AC54+AE54+AI54+AK54)/12))</f>
        <v>4935.2</v>
      </c>
      <c r="AP54" s="73">
        <f>(((200/365)*365))*1</f>
        <v>200</v>
      </c>
      <c r="AQ54" s="74">
        <f>AC54+AE54+AG54+AI54+AK54+AN54+AO54+AP54</f>
        <v>71372.600000000006</v>
      </c>
      <c r="AU54" s="40"/>
    </row>
    <row r="55" spans="1:48" ht="63.75" x14ac:dyDescent="0.25">
      <c r="A55" s="75"/>
      <c r="B55" s="68" t="s">
        <v>55</v>
      </c>
      <c r="C55" s="13" t="s">
        <v>56</v>
      </c>
      <c r="D55" s="27">
        <v>75.64</v>
      </c>
      <c r="E55" s="99">
        <v>2</v>
      </c>
      <c r="F55" s="71">
        <f>D55*E55*31</f>
        <v>4689.68</v>
      </c>
      <c r="G55" s="99">
        <v>2</v>
      </c>
      <c r="H55" s="71">
        <f>D55*E55*28</f>
        <v>4235.84</v>
      </c>
      <c r="I55" s="99">
        <v>2</v>
      </c>
      <c r="J55" s="71">
        <f>D55*E55*31</f>
        <v>4689.68</v>
      </c>
      <c r="K55" s="100">
        <v>2</v>
      </c>
      <c r="L55" s="71">
        <f>D55*E55*30</f>
        <v>4538.3999999999996</v>
      </c>
      <c r="M55" s="100">
        <v>2</v>
      </c>
      <c r="N55" s="71">
        <f>D55*E55*31</f>
        <v>4689.68</v>
      </c>
      <c r="O55" s="99">
        <v>2</v>
      </c>
      <c r="P55" s="71">
        <f>D55*1*30+D55*1*2</f>
        <v>2420.48</v>
      </c>
      <c r="Q55" s="100">
        <v>1</v>
      </c>
      <c r="R55" s="71">
        <f>D55*1*31</f>
        <v>2344.84</v>
      </c>
      <c r="S55" s="100">
        <v>1</v>
      </c>
      <c r="T55" s="71">
        <f>D55*1*31</f>
        <v>2344.84</v>
      </c>
      <c r="U55" s="100">
        <v>1</v>
      </c>
      <c r="V55" s="71">
        <f>D55*1*30</f>
        <v>2269.1999999999998</v>
      </c>
      <c r="W55" s="100">
        <v>1</v>
      </c>
      <c r="X55" s="71">
        <f>D55*1*31</f>
        <v>2344.84</v>
      </c>
      <c r="Y55" s="100">
        <v>1</v>
      </c>
      <c r="Z55" s="71">
        <f>D55*1*30</f>
        <v>2269.1999999999998</v>
      </c>
      <c r="AA55" s="100">
        <v>1</v>
      </c>
      <c r="AB55" s="71">
        <f>D55*1*31</f>
        <v>2344.84</v>
      </c>
      <c r="AC55" s="71">
        <f>F55+H55+J55+L55+N55+P55+R55+T55+V55+X55+Z55+AB55</f>
        <v>39181.519999999997</v>
      </c>
      <c r="AD55" s="87">
        <f>0*0</f>
        <v>0</v>
      </c>
      <c r="AE55" s="87">
        <f>AD55*6</f>
        <v>0</v>
      </c>
      <c r="AF55" s="87">
        <f>250</f>
        <v>250</v>
      </c>
      <c r="AG55" s="87">
        <f>AF55*12</f>
        <v>3000</v>
      </c>
      <c r="AH55" s="87">
        <v>300</v>
      </c>
      <c r="AI55" s="87">
        <f>AH55*6</f>
        <v>1800</v>
      </c>
      <c r="AJ55" s="87">
        <f>1500*1</f>
        <v>1500</v>
      </c>
      <c r="AK55" s="87">
        <f>AJ55*12</f>
        <v>18000</v>
      </c>
      <c r="AL55" s="71">
        <f t="shared" si="33"/>
        <v>2050</v>
      </c>
      <c r="AM55" s="71">
        <f t="shared" si="33"/>
        <v>22800</v>
      </c>
      <c r="AN55" s="71">
        <f>(((Z55+AD55+AH55+AJ55)/365)*365)</f>
        <v>4069.2</v>
      </c>
      <c r="AO55" s="71">
        <f>(((AC55+AE55+AI55+AK55)/12))</f>
        <v>4915.13</v>
      </c>
      <c r="AP55" s="73">
        <f>(((200/365)*365))*1</f>
        <v>200</v>
      </c>
      <c r="AQ55" s="74">
        <f>AC55+AE55+AG55+AI55+AK55+AN55+AO55+AP55</f>
        <v>71165.850000000006</v>
      </c>
      <c r="AU55" s="40"/>
    </row>
    <row r="56" spans="1:48" x14ac:dyDescent="0.25">
      <c r="A56" s="75"/>
      <c r="B56" s="68"/>
      <c r="C56" s="13"/>
      <c r="D56" s="69"/>
      <c r="E56" s="77">
        <f>SUM(E53:E55)</f>
        <v>9</v>
      </c>
      <c r="F56" s="81">
        <f>SUM(F53:F55)</f>
        <v>21649.78</v>
      </c>
      <c r="G56" s="70"/>
      <c r="H56" s="81">
        <f>SUM(H53:H55)</f>
        <v>19554.64</v>
      </c>
      <c r="I56" s="70"/>
      <c r="J56" s="81">
        <f>SUM(J53:J55)</f>
        <v>20760.32</v>
      </c>
      <c r="K56" s="70"/>
      <c r="L56" s="81">
        <f>SUM(L53:L55)</f>
        <v>20951.400000000001</v>
      </c>
      <c r="M56" s="70"/>
      <c r="N56" s="97">
        <f>SUM(N53:N55)</f>
        <v>21649.78</v>
      </c>
      <c r="O56" s="70"/>
      <c r="P56" s="97">
        <f>SUM(P53:P55)</f>
        <v>18833.48</v>
      </c>
      <c r="Q56" s="70"/>
      <c r="R56" s="97">
        <f>SUM(R53:R55)</f>
        <v>17091.54</v>
      </c>
      <c r="S56" s="70"/>
      <c r="T56" s="98">
        <f>SUM(T53:T55)</f>
        <v>17091.54</v>
      </c>
      <c r="U56" s="70"/>
      <c r="V56" s="81">
        <f>SUM(V53:V55)</f>
        <v>16540.2</v>
      </c>
      <c r="W56" s="70"/>
      <c r="X56" s="97">
        <f>SUM(X53:X55)</f>
        <v>17091.54</v>
      </c>
      <c r="Y56" s="70"/>
      <c r="Z56" s="81">
        <f>SUM(Z53:Z55)</f>
        <v>16540.2</v>
      </c>
      <c r="AA56" s="70"/>
      <c r="AB56" s="81">
        <f t="shared" ref="AB56:AQ56" si="34">SUM(AB53:AB55)</f>
        <v>17091.54</v>
      </c>
      <c r="AC56" s="78">
        <f t="shared" si="34"/>
        <v>224845.96</v>
      </c>
      <c r="AD56" s="78">
        <f t="shared" si="34"/>
        <v>0</v>
      </c>
      <c r="AE56" s="78">
        <f t="shared" si="34"/>
        <v>0</v>
      </c>
      <c r="AF56" s="78">
        <f t="shared" si="34"/>
        <v>1750</v>
      </c>
      <c r="AG56" s="78">
        <f t="shared" si="34"/>
        <v>21000</v>
      </c>
      <c r="AH56" s="78">
        <f t="shared" si="34"/>
        <v>1923</v>
      </c>
      <c r="AI56" s="78">
        <f t="shared" si="34"/>
        <v>11538</v>
      </c>
      <c r="AJ56" s="78">
        <f t="shared" si="34"/>
        <v>10500</v>
      </c>
      <c r="AK56" s="78">
        <f t="shared" si="34"/>
        <v>126000</v>
      </c>
      <c r="AL56" s="78">
        <f t="shared" si="34"/>
        <v>14173</v>
      </c>
      <c r="AM56" s="78">
        <f t="shared" si="34"/>
        <v>158538</v>
      </c>
      <c r="AN56" s="78">
        <f t="shared" si="34"/>
        <v>28963.200000000001</v>
      </c>
      <c r="AO56" s="78">
        <f t="shared" si="34"/>
        <v>30198.67</v>
      </c>
      <c r="AP56" s="78">
        <f t="shared" si="34"/>
        <v>1400</v>
      </c>
      <c r="AQ56" s="89">
        <f t="shared" si="34"/>
        <v>443945.83</v>
      </c>
      <c r="AU56" s="40"/>
    </row>
    <row r="57" spans="1:48" x14ac:dyDescent="0.25">
      <c r="A57" s="75"/>
      <c r="B57" s="101"/>
      <c r="C57" s="21" t="s">
        <v>46</v>
      </c>
      <c r="D57" s="69"/>
      <c r="E57" s="70">
        <f>E23+E30+E48+E56+E50+26+E51</f>
        <v>104</v>
      </c>
      <c r="F57" s="102">
        <f>F23+F30+F48+F56+F50+F27</f>
        <v>173747.56</v>
      </c>
      <c r="G57" s="102"/>
      <c r="H57" s="102">
        <f>H23+H30+H48+H56+H50+H27</f>
        <v>152784.24</v>
      </c>
      <c r="I57" s="102"/>
      <c r="J57" s="102">
        <f>J23+J30+J48+J56+J50+J27</f>
        <v>172318.04</v>
      </c>
      <c r="K57" s="102"/>
      <c r="L57" s="102">
        <f>L23+L30+L48+L56+L50+L27</f>
        <v>165839.4</v>
      </c>
      <c r="M57" s="102"/>
      <c r="N57" s="102">
        <f>N23+N30+N48+N56+N50+N27</f>
        <v>171367.38</v>
      </c>
      <c r="O57" s="102"/>
      <c r="P57" s="102">
        <f>P23+P30+P48+P56+P50+P27</f>
        <v>168195.38</v>
      </c>
      <c r="Q57" s="102"/>
      <c r="R57" s="102">
        <f>R23+R30+R48+R56+R50+R27</f>
        <v>230206.31</v>
      </c>
      <c r="S57" s="102"/>
      <c r="T57" s="103">
        <f>T23+T30+T48+T56+T50+T27+T52</f>
        <v>232276.91</v>
      </c>
      <c r="U57" s="102"/>
      <c r="V57" s="102">
        <f>V23+V30+V48+V56+V50+V27+V52</f>
        <v>231606.6</v>
      </c>
      <c r="W57" s="102"/>
      <c r="X57" s="102">
        <f>X23+X30+X48+X56+X50+X27+X52</f>
        <v>239326.82</v>
      </c>
      <c r="Y57" s="102"/>
      <c r="Z57" s="102">
        <f>Z23+Z30+Z48+Z56+Z50+Z27+Z52</f>
        <v>231606.6</v>
      </c>
      <c r="AA57" s="102"/>
      <c r="AB57" s="102">
        <f t="shared" ref="AB57:AQ57" si="35">AB23+AB30+AB48+AB56+AB50+AB27+AB52</f>
        <v>239326.82</v>
      </c>
      <c r="AC57" s="102">
        <f t="shared" si="35"/>
        <v>2408602.06</v>
      </c>
      <c r="AD57" s="102">
        <f t="shared" si="35"/>
        <v>1470</v>
      </c>
      <c r="AE57" s="102">
        <f t="shared" si="35"/>
        <v>17290</v>
      </c>
      <c r="AF57" s="102">
        <f t="shared" si="35"/>
        <v>23500</v>
      </c>
      <c r="AG57" s="102">
        <f t="shared" si="35"/>
        <v>265500</v>
      </c>
      <c r="AH57" s="102">
        <f t="shared" si="35"/>
        <v>41875</v>
      </c>
      <c r="AI57" s="102">
        <f t="shared" si="35"/>
        <v>487560</v>
      </c>
      <c r="AJ57" s="102">
        <f t="shared" si="35"/>
        <v>141000</v>
      </c>
      <c r="AK57" s="102">
        <f t="shared" si="35"/>
        <v>1654500</v>
      </c>
      <c r="AL57" s="102">
        <f t="shared" si="35"/>
        <v>206375</v>
      </c>
      <c r="AM57" s="102">
        <f t="shared" si="35"/>
        <v>2407560</v>
      </c>
      <c r="AN57" s="102">
        <f t="shared" si="35"/>
        <v>415951.6</v>
      </c>
      <c r="AO57" s="102">
        <f t="shared" si="35"/>
        <v>380662.69</v>
      </c>
      <c r="AP57" s="102">
        <f t="shared" si="35"/>
        <v>20800</v>
      </c>
      <c r="AQ57" s="102">
        <f t="shared" si="35"/>
        <v>5650866.3499999996</v>
      </c>
      <c r="AU57" s="40"/>
    </row>
    <row r="58" spans="1:48" x14ac:dyDescent="0.25">
      <c r="AU58" s="40"/>
    </row>
    <row r="59" spans="1:48" x14ac:dyDescent="0.25">
      <c r="AU59" s="40"/>
    </row>
    <row r="60" spans="1:48" x14ac:dyDescent="0.25">
      <c r="AU60" s="40"/>
    </row>
    <row r="61" spans="1:48" x14ac:dyDescent="0.25">
      <c r="AU61" s="40"/>
    </row>
    <row r="62" spans="1:48" x14ac:dyDescent="0.25">
      <c r="AU62" s="40"/>
    </row>
    <row r="63" spans="1:48" x14ac:dyDescent="0.25">
      <c r="AU63" s="40"/>
    </row>
    <row r="64" spans="1:48" x14ac:dyDescent="0.25">
      <c r="AU64" s="40"/>
    </row>
    <row r="65" spans="47:47" x14ac:dyDescent="0.25">
      <c r="AU65" s="40"/>
    </row>
    <row r="66" spans="47:47" x14ac:dyDescent="0.25">
      <c r="AU66" s="40"/>
    </row>
    <row r="67" spans="47:47" x14ac:dyDescent="0.25">
      <c r="AU67" s="40"/>
    </row>
    <row r="68" spans="47:47" x14ac:dyDescent="0.25">
      <c r="AU68" s="40"/>
    </row>
    <row r="69" spans="47:47" x14ac:dyDescent="0.25">
      <c r="AU69" s="40"/>
    </row>
  </sheetData>
  <mergeCells count="33">
    <mergeCell ref="K17:L17"/>
    <mergeCell ref="S17:T17"/>
    <mergeCell ref="O17:P17"/>
    <mergeCell ref="M17:N17"/>
    <mergeCell ref="W17:X17"/>
    <mergeCell ref="A8:G8"/>
    <mergeCell ref="A10:C10"/>
    <mergeCell ref="A12:C12"/>
    <mergeCell ref="A15:A18"/>
    <mergeCell ref="B15:B18"/>
    <mergeCell ref="C15:C18"/>
    <mergeCell ref="D15:D18"/>
    <mergeCell ref="E17:F17"/>
    <mergeCell ref="G17:H17"/>
    <mergeCell ref="E15:AB16"/>
    <mergeCell ref="AA17:AB17"/>
    <mergeCell ref="Y17:Z17"/>
    <mergeCell ref="Q17:R17"/>
    <mergeCell ref="U17:V17"/>
    <mergeCell ref="K11:L11"/>
    <mergeCell ref="I17:J17"/>
    <mergeCell ref="AQ15:AQ18"/>
    <mergeCell ref="AD16:AE16"/>
    <mergeCell ref="AL16:AM16"/>
    <mergeCell ref="AN16:AN18"/>
    <mergeCell ref="AO16:AO18"/>
    <mergeCell ref="AP16:AP18"/>
    <mergeCell ref="AD15:AP15"/>
    <mergeCell ref="AD17:AD18"/>
    <mergeCell ref="AE17:AE18"/>
    <mergeCell ref="AF16:AG16"/>
    <mergeCell ref="AH16:AI16"/>
    <mergeCell ref="AJ16:AK16"/>
  </mergeCells>
  <pageMargins left="0.70866141732283472" right="0.70866141732283472" top="0.74803149606299213" bottom="0.74803149606299213" header="0.31496062992125984" footer="0.31496062992125984"/>
  <pageSetup paperSize="121" scale="4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Artes</cp:lastModifiedBy>
  <cp:lastPrinted>2024-05-02T22:20:54Z</cp:lastPrinted>
  <dcterms:created xsi:type="dcterms:W3CDTF">2022-03-31T18:56:32Z</dcterms:created>
  <dcterms:modified xsi:type="dcterms:W3CDTF">2026-09-04T21:37:11Z</dcterms:modified>
</cp:coreProperties>
</file>